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https://sempra-my.sharepoint.com/personal/kpitsko_semprautilities_com/Documents/User Folders/Desktop/Customer Programs/"/>
    </mc:Choice>
  </mc:AlternateContent>
  <xr:revisionPtr revIDLastSave="7" documentId="8_{13E8BC36-2097-4258-A31D-91BF41D2C269}" xr6:coauthVersionLast="47" xr6:coauthVersionMax="47" xr10:uidLastSave="{9BBF6E7F-EFDF-486B-9604-71F320553919}"/>
  <bookViews>
    <workbookView xWindow="-38510" yWindow="-50" windowWidth="38620" windowHeight="21220" tabRatio="873" firstSheet="1" activeTab="10"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Event Summary" sheetId="57" r:id="rId6"/>
    <sheet name="Auto DR (TI) &amp; Tech Deployment" sheetId="131" r:id="rId7"/>
    <sheet name="Marketing" sheetId="134" r:id="rId8"/>
    <sheet name="DRP Expenditures" sheetId="117" r:id="rId9"/>
    <sheet name="Fund Shift Log" sheetId="29" r:id="rId10"/>
    <sheet name="SDGE Costs - AMDRMA Balance" sheetId="119" r:id="rId11"/>
    <sheet name="SDGE Costs -GRC " sheetId="120" r:id="rId12"/>
    <sheet name="SDGE Costs -DPDRMA" sheetId="129" r:id="rId13"/>
    <sheet name="SDGE Costs -ELRP" sheetId="137" r:id="rId14"/>
  </sheets>
  <externalReferences>
    <externalReference r:id="rId15"/>
    <externalReference r:id="rId16"/>
  </externalReferences>
  <definedNames>
    <definedName name="_AMO_UniqueIdentifier" hidden="1">"'149b2d1a-72c1-44e5-bc61-8e647e92c66a'"</definedName>
    <definedName name="_DAT1" localSheetId="8">#REF!</definedName>
    <definedName name="_DAT1" localSheetId="7">#REF!</definedName>
    <definedName name="_DAT1" localSheetId="10">#REF!</definedName>
    <definedName name="_DAT1" localSheetId="12">#REF!</definedName>
    <definedName name="_DAT1" localSheetId="13">'SDGE Costs -ELRP'!#REF!</definedName>
    <definedName name="_DAT1">#REF!</definedName>
    <definedName name="_DAT10" localSheetId="8">#REF!</definedName>
    <definedName name="_DAT10" localSheetId="7">#REF!</definedName>
    <definedName name="_DAT10" localSheetId="12">#REF!</definedName>
    <definedName name="_DAT10" localSheetId="13">'SDGE Costs -ELRP'!#REF!</definedName>
    <definedName name="_DAT10">#REF!</definedName>
    <definedName name="_DAT11" localSheetId="8">#REF!</definedName>
    <definedName name="_DAT11" localSheetId="7">#REF!</definedName>
    <definedName name="_DAT11" localSheetId="12">#REF!</definedName>
    <definedName name="_DAT11" localSheetId="13">'SDGE Costs -ELRP'!#REF!</definedName>
    <definedName name="_DAT11">#REF!</definedName>
    <definedName name="_DAT12" localSheetId="8">#REF!</definedName>
    <definedName name="_DAT12" localSheetId="12">#REF!</definedName>
    <definedName name="_DAT12" localSheetId="13">'SDGE Costs -ELRP'!#REF!</definedName>
    <definedName name="_DAT12">#REF!</definedName>
    <definedName name="_DAT13" localSheetId="8">#REF!</definedName>
    <definedName name="_DAT13" localSheetId="12">#REF!</definedName>
    <definedName name="_DAT13" localSheetId="13">'SDGE Costs -ELRP'!#REF!</definedName>
    <definedName name="_DAT13">#REF!</definedName>
    <definedName name="_DAT14" localSheetId="8">#REF!</definedName>
    <definedName name="_DAT14" localSheetId="12">#REF!</definedName>
    <definedName name="_DAT14" localSheetId="13">'SDGE Costs -ELRP'!#REF!</definedName>
    <definedName name="_DAT14">#REF!</definedName>
    <definedName name="_DAT15" localSheetId="8">#REF!</definedName>
    <definedName name="_DAT15" localSheetId="12">#REF!</definedName>
    <definedName name="_DAT15" localSheetId="13">'SDGE Costs -ELRP'!#REF!</definedName>
    <definedName name="_DAT15">#REF!</definedName>
    <definedName name="_DAT16" localSheetId="8">#REF!</definedName>
    <definedName name="_DAT16" localSheetId="12">#REF!</definedName>
    <definedName name="_DAT16" localSheetId="13">'SDGE Costs -ELRP'!#REF!</definedName>
    <definedName name="_DAT16">#REF!</definedName>
    <definedName name="_DAT17" localSheetId="8">#REF!</definedName>
    <definedName name="_DAT17" localSheetId="12">#REF!</definedName>
    <definedName name="_DAT17" localSheetId="13">'SDGE Costs -ELRP'!#REF!</definedName>
    <definedName name="_DAT17">#REF!</definedName>
    <definedName name="_DAT2" localSheetId="8">#REF!</definedName>
    <definedName name="_DAT2" localSheetId="12">#REF!</definedName>
    <definedName name="_DAT2" localSheetId="13">'SDGE Costs -ELRP'!#REF!</definedName>
    <definedName name="_DAT2">#REF!</definedName>
    <definedName name="_DAT3" localSheetId="8">#REF!</definedName>
    <definedName name="_DAT3" localSheetId="12">#REF!</definedName>
    <definedName name="_DAT3" localSheetId="13">'SDGE Costs -ELRP'!#REF!</definedName>
    <definedName name="_DAT3">#REF!</definedName>
    <definedName name="_DAT4" localSheetId="8">#REF!</definedName>
    <definedName name="_DAT4" localSheetId="12">#REF!</definedName>
    <definedName name="_DAT4" localSheetId="13">'SDGE Costs -ELRP'!#REF!</definedName>
    <definedName name="_DAT4">#REF!</definedName>
    <definedName name="_DAT5" localSheetId="8">#REF!</definedName>
    <definedName name="_DAT5" localSheetId="12">#REF!</definedName>
    <definedName name="_DAT5" localSheetId="13">'SDGE Costs -ELRP'!#REF!</definedName>
    <definedName name="_DAT5">#REF!</definedName>
    <definedName name="_DAT6" localSheetId="8">#REF!</definedName>
    <definedName name="_DAT6" localSheetId="12">#REF!</definedName>
    <definedName name="_DAT6" localSheetId="13">'SDGE Costs -ELRP'!#REF!</definedName>
    <definedName name="_DAT6">#REF!</definedName>
    <definedName name="_DAT7" localSheetId="8">#REF!</definedName>
    <definedName name="_DAT7" localSheetId="12">#REF!</definedName>
    <definedName name="_DAT7" localSheetId="13">'SDGE Costs -ELRP'!#REF!</definedName>
    <definedName name="_DAT7">#REF!</definedName>
    <definedName name="_DAT8" localSheetId="8">#REF!</definedName>
    <definedName name="_DAT8" localSheetId="12">#REF!</definedName>
    <definedName name="_DAT8" localSheetId="13">'SDGE Costs -ELRP'!#REF!</definedName>
    <definedName name="_DAT8">#REF!</definedName>
    <definedName name="_DAT9" localSheetId="8">#REF!</definedName>
    <definedName name="_DAT9" localSheetId="12">#REF!</definedName>
    <definedName name="_DAT9" localSheetId="13">'SDGE Costs -ELRP'!#REF!</definedName>
    <definedName name="_DAT9">#REF!</definedName>
    <definedName name="_xlnm._FilterDatabase" localSheetId="5" hidden="1">'Event Summary'!$A$8:$G$10</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13">'SDGE Costs -ELRP'!#REF!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13">'SDGE Costs -ELRP'!#REF!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13">'SDGE Costs -ELRP'!#REF!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13">'SDGE Costs -ELRP'!#REF!</definedName>
    <definedName name="Collect_Revenue" localSheetId="4">#REF!</definedName>
    <definedName name="Collect_Revenue">#REF!</definedName>
    <definedName name="DATA1" localSheetId="8">#REF!</definedName>
    <definedName name="DATA1" localSheetId="12">#REF!</definedName>
    <definedName name="DATA1" localSheetId="13">'SDGE Costs -ELRP'!#REF!</definedName>
    <definedName name="DATA1">#REF!</definedName>
    <definedName name="DATA10" localSheetId="8">#REF!</definedName>
    <definedName name="DATA10" localSheetId="12">#REF!</definedName>
    <definedName name="DATA10" localSheetId="13">'SDGE Costs -ELRP'!#REF!</definedName>
    <definedName name="DATA10">#REF!</definedName>
    <definedName name="DATA11" localSheetId="8">#REF!</definedName>
    <definedName name="DATA11" localSheetId="12">#REF!</definedName>
    <definedName name="DATA11" localSheetId="13">'SDGE Costs -ELRP'!#REF!</definedName>
    <definedName name="DATA11">#REF!</definedName>
    <definedName name="DATA12" localSheetId="8">#REF!</definedName>
    <definedName name="DATA12" localSheetId="12">#REF!</definedName>
    <definedName name="DATA12" localSheetId="13">'SDGE Costs -ELRP'!#REF!</definedName>
    <definedName name="DATA12">#REF!</definedName>
    <definedName name="DATA13" localSheetId="8">#REF!</definedName>
    <definedName name="DATA13" localSheetId="12">#REF!</definedName>
    <definedName name="DATA13" localSheetId="13">'SDGE Costs -ELRP'!#REF!</definedName>
    <definedName name="DATA13">#REF!</definedName>
    <definedName name="DATA14" localSheetId="8">#REF!</definedName>
    <definedName name="DATA14" localSheetId="12">#REF!</definedName>
    <definedName name="DATA14" localSheetId="13">'SDGE Costs -ELRP'!#REF!</definedName>
    <definedName name="DATA14">#REF!</definedName>
    <definedName name="DATA15" localSheetId="8">#REF!</definedName>
    <definedName name="DATA15" localSheetId="12">#REF!</definedName>
    <definedName name="DATA15" localSheetId="13">'SDGE Costs -ELRP'!#REF!</definedName>
    <definedName name="DATA15">#REF!</definedName>
    <definedName name="DATA16" localSheetId="8">#REF!</definedName>
    <definedName name="DATA16" localSheetId="12">#REF!</definedName>
    <definedName name="DATA16" localSheetId="13">'SDGE Costs -ELRP'!#REF!</definedName>
    <definedName name="DATA16">#REF!</definedName>
    <definedName name="DATA17" localSheetId="8">#REF!</definedName>
    <definedName name="DATA17" localSheetId="12">#REF!</definedName>
    <definedName name="DATA17" localSheetId="13">'SDGE Costs -ELRP'!#REF!</definedName>
    <definedName name="DATA17">#REF!</definedName>
    <definedName name="DATA18" localSheetId="8">#REF!</definedName>
    <definedName name="DATA18" localSheetId="12">#REF!</definedName>
    <definedName name="DATA18" localSheetId="13">'SDGE Costs -ELRP'!#REF!</definedName>
    <definedName name="DATA18">#REF!</definedName>
    <definedName name="DATA19" localSheetId="8">#REF!</definedName>
    <definedName name="DATA19" localSheetId="12">#REF!</definedName>
    <definedName name="DATA19" localSheetId="13">'SDGE Costs -ELRP'!#REF!</definedName>
    <definedName name="DATA19">#REF!</definedName>
    <definedName name="DATA2" localSheetId="8">#REF!</definedName>
    <definedName name="DATA2" localSheetId="12">#REF!</definedName>
    <definedName name="DATA2" localSheetId="13">'SDGE Costs -ELRP'!#REF!</definedName>
    <definedName name="DATA2">#REF!</definedName>
    <definedName name="DATA20" localSheetId="8">#REF!</definedName>
    <definedName name="DATA20" localSheetId="12">#REF!</definedName>
    <definedName name="DATA20" localSheetId="13">'SDGE Costs -ELRP'!#REF!</definedName>
    <definedName name="DATA20">#REF!</definedName>
    <definedName name="DATA3" localSheetId="8">#REF!</definedName>
    <definedName name="DATA3" localSheetId="12">#REF!</definedName>
    <definedName name="DATA3" localSheetId="13">'SDGE Costs -ELRP'!#REF!</definedName>
    <definedName name="DATA3">#REF!</definedName>
    <definedName name="DATA4" localSheetId="8">#REF!</definedName>
    <definedName name="DATA4" localSheetId="12">#REF!</definedName>
    <definedName name="DATA4" localSheetId="13">'SDGE Costs -ELRP'!#REF!</definedName>
    <definedName name="DATA4">#REF!</definedName>
    <definedName name="DATA5" localSheetId="8">#REF!</definedName>
    <definedName name="DATA5" localSheetId="12">#REF!</definedName>
    <definedName name="DATA5" localSheetId="13">'SDGE Costs -ELRP'!#REF!</definedName>
    <definedName name="DATA5">#REF!</definedName>
    <definedName name="data5000">'[1]ACTMA Detail'!$N$2:$N$102</definedName>
    <definedName name="DATA6" localSheetId="8">#REF!</definedName>
    <definedName name="DATA6" localSheetId="7">#REF!</definedName>
    <definedName name="DATA6" localSheetId="12">#REF!</definedName>
    <definedName name="DATA6" localSheetId="13">'SDGE Costs -ELRP'!#REF!</definedName>
    <definedName name="DATA6">#REF!</definedName>
    <definedName name="DATA7" localSheetId="8">#REF!</definedName>
    <definedName name="DATA7" localSheetId="7">#REF!</definedName>
    <definedName name="DATA7" localSheetId="12">#REF!</definedName>
    <definedName name="DATA7" localSheetId="13">'SDGE Costs -ELRP'!#REF!</definedName>
    <definedName name="DATA7">#REF!</definedName>
    <definedName name="DATA8" localSheetId="8">#REF!</definedName>
    <definedName name="DATA8" localSheetId="7">#REF!</definedName>
    <definedName name="DATA8" localSheetId="12">#REF!</definedName>
    <definedName name="DATA8" localSheetId="13">'SDGE Costs -ELRP'!#REF!</definedName>
    <definedName name="DATA8">#REF!</definedName>
    <definedName name="DATA9" localSheetId="8">#REF!</definedName>
    <definedName name="DATA9" localSheetId="12">#REF!</definedName>
    <definedName name="DATA9" localSheetId="13">'SDGE Costs -ELRP'!#REF!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3">[2]LOOKUP!$E$2:$E$14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13">'SDGE Costs -ELRP'!#REF!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13">'SDGE Costs -ELRP'!#REF!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13">'SDGE Costs -ELRP'!#REF!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13">'SDGE Costs -ELRP'!#REF!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13">'SDGE Costs -ELRP'!#REF!</definedName>
    <definedName name="Meet_Financial_Targets" localSheetId="4">#REF!</definedName>
    <definedName name="Meet_Financial_Targets">#REF!</definedName>
    <definedName name="nnnnnn">'[1]ACTMA Detail'!$P$2:$P$102</definedName>
    <definedName name="_xlnm.Print_Area" localSheetId="6">'Auto DR (TI) &amp; Tech Deployment'!$A$1:$M$44</definedName>
    <definedName name="_xlnm.Print_Area" localSheetId="8">'DRP Expenditures'!$A$54:$M$54</definedName>
    <definedName name="_xlnm.Print_Area" localSheetId="2">'Ex ante LI &amp; Eligibility Stats'!$A$1:$O$19</definedName>
    <definedName name="_xlnm.Print_Area" localSheetId="3">'Ex post LI &amp; Eligibility Stats'!$A$1:$O$31</definedName>
    <definedName name="_xlnm.Print_Area" localSheetId="9">'Fund Shift Log'!$A$1:$E$23</definedName>
    <definedName name="_xlnm.Print_Area" localSheetId="7">Marketing!$A$1:$Q$40</definedName>
    <definedName name="_xlnm.Print_Area" localSheetId="1">'Program MW '!$A$1:$S$56</definedName>
    <definedName name="_xlnm.Print_Area" localSheetId="12">'SDGE Costs -DPDRMA'!$A$2:$N$45</definedName>
    <definedName name="_xlnm.Print_Area" localSheetId="13">'SDGE Costs -ELRP'!$A$2:$N$41</definedName>
    <definedName name="_xlnm.Print_Area" localSheetId="11">'SDGE Costs -GRC '!$A$1:$N$34</definedName>
    <definedName name="Reliability_Expectations" localSheetId="8">#REF!</definedName>
    <definedName name="Reliability_Expectations" localSheetId="2">#REF!</definedName>
    <definedName name="Reliability_Expectations" localSheetId="3">#REF!</definedName>
    <definedName name="Reliability_Expectations" localSheetId="7">#REF!</definedName>
    <definedName name="Reliability_Expectations" localSheetId="1">#REF!</definedName>
    <definedName name="Reliability_Expectations" localSheetId="12">#REF!</definedName>
    <definedName name="Reliability_Expectations" localSheetId="13">'SDGE Costs -ELRP'!#REF!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7">#REF!</definedName>
    <definedName name="Stabilization_Customer_Base" localSheetId="1">#REF!</definedName>
    <definedName name="Stabilization_Customer_Base" localSheetId="12">#REF!</definedName>
    <definedName name="Stabilization_Customer_Base" localSheetId="13">'SDGE Costs -ELRP'!#REF!</definedName>
    <definedName name="Stabilization_Customer_Base" localSheetId="4">#REF!</definedName>
    <definedName name="Stabilization_Customer_Base">#REF!</definedName>
    <definedName name="TEST0" localSheetId="8">#REF!</definedName>
    <definedName name="TEST0" localSheetId="7">#REF!</definedName>
    <definedName name="TEST0" localSheetId="12">#REF!</definedName>
    <definedName name="TEST0" localSheetId="13">'SDGE Costs -ELRP'!#REF!</definedName>
    <definedName name="TEST0">#REF!</definedName>
    <definedName name="TEST1" localSheetId="8">#REF!</definedName>
    <definedName name="TEST1" localSheetId="12">#REF!</definedName>
    <definedName name="TEST1" localSheetId="13">'SDGE Costs -ELRP'!#REF!</definedName>
    <definedName name="TEST1">#REF!</definedName>
    <definedName name="TEST10" localSheetId="8">#REF!</definedName>
    <definedName name="TEST10" localSheetId="12">#REF!</definedName>
    <definedName name="TEST10" localSheetId="13">'SDGE Costs -ELRP'!#REF!</definedName>
    <definedName name="TEST10">#REF!</definedName>
    <definedName name="TEST11" localSheetId="8">#REF!</definedName>
    <definedName name="TEST11" localSheetId="12">#REF!</definedName>
    <definedName name="TEST11" localSheetId="13">'SDGE Costs -ELRP'!#REF!</definedName>
    <definedName name="TEST11">#REF!</definedName>
    <definedName name="TEST12" localSheetId="8">#REF!</definedName>
    <definedName name="TEST12" localSheetId="12">#REF!</definedName>
    <definedName name="TEST12" localSheetId="13">'SDGE Costs -ELRP'!#REF!</definedName>
    <definedName name="TEST12">#REF!</definedName>
    <definedName name="TEST13" localSheetId="8">#REF!</definedName>
    <definedName name="TEST13" localSheetId="12">#REF!</definedName>
    <definedName name="TEST13" localSheetId="13">'SDGE Costs -ELRP'!#REF!</definedName>
    <definedName name="TEST13">#REF!</definedName>
    <definedName name="TEST14" localSheetId="8">#REF!</definedName>
    <definedName name="TEST14" localSheetId="12">#REF!</definedName>
    <definedName name="TEST14" localSheetId="13">'SDGE Costs -ELRP'!#REF!</definedName>
    <definedName name="TEST14">#REF!</definedName>
    <definedName name="TEST15" localSheetId="8">#REF!</definedName>
    <definedName name="TEST15" localSheetId="12">#REF!</definedName>
    <definedName name="TEST15" localSheetId="13">'SDGE Costs -ELRP'!#REF!</definedName>
    <definedName name="TEST15">#REF!</definedName>
    <definedName name="TEST16" localSheetId="8">#REF!</definedName>
    <definedName name="TEST16" localSheetId="12">#REF!</definedName>
    <definedName name="TEST16" localSheetId="13">'SDGE Costs -ELRP'!#REF!</definedName>
    <definedName name="TEST16">#REF!</definedName>
    <definedName name="TEST17" localSheetId="8">#REF!</definedName>
    <definedName name="TEST17" localSheetId="12">#REF!</definedName>
    <definedName name="TEST17" localSheetId="13">'SDGE Costs -ELRP'!#REF!</definedName>
    <definedName name="TEST17">#REF!</definedName>
    <definedName name="TEST18" localSheetId="8">#REF!</definedName>
    <definedName name="TEST18" localSheetId="12">#REF!</definedName>
    <definedName name="TEST18" localSheetId="13">'SDGE Costs -ELRP'!#REF!</definedName>
    <definedName name="TEST18">#REF!</definedName>
    <definedName name="TEST19" localSheetId="8">#REF!</definedName>
    <definedName name="TEST19" localSheetId="12">#REF!</definedName>
    <definedName name="TEST19" localSheetId="13">'SDGE Costs -ELRP'!#REF!</definedName>
    <definedName name="TEST19">#REF!</definedName>
    <definedName name="TEST2" localSheetId="8">#REF!</definedName>
    <definedName name="TEST2" localSheetId="12">#REF!</definedName>
    <definedName name="TEST2" localSheetId="13">'SDGE Costs -ELRP'!#REF!</definedName>
    <definedName name="TEST2">#REF!</definedName>
    <definedName name="TEST20" localSheetId="8">#REF!</definedName>
    <definedName name="TEST20" localSheetId="12">#REF!</definedName>
    <definedName name="TEST20" localSheetId="13">'SDGE Costs -ELRP'!#REF!</definedName>
    <definedName name="TEST20">#REF!</definedName>
    <definedName name="TEST21" localSheetId="8">#REF!</definedName>
    <definedName name="TEST21" localSheetId="12">#REF!</definedName>
    <definedName name="TEST21" localSheetId="13">'SDGE Costs -ELRP'!#REF!</definedName>
    <definedName name="TEST21">#REF!</definedName>
    <definedName name="TEST22" localSheetId="8">#REF!</definedName>
    <definedName name="TEST22" localSheetId="12">#REF!</definedName>
    <definedName name="TEST22" localSheetId="13">'SDGE Costs -ELRP'!#REF!</definedName>
    <definedName name="TEST22">#REF!</definedName>
    <definedName name="TEST23" localSheetId="8">#REF!</definedName>
    <definedName name="TEST23" localSheetId="12">#REF!</definedName>
    <definedName name="TEST23" localSheetId="13">'SDGE Costs -ELRP'!#REF!</definedName>
    <definedName name="TEST23">#REF!</definedName>
    <definedName name="TEST24" localSheetId="8">#REF!</definedName>
    <definedName name="TEST24" localSheetId="12">#REF!</definedName>
    <definedName name="TEST24" localSheetId="13">'SDGE Costs -ELRP'!#REF!</definedName>
    <definedName name="TEST24">#REF!</definedName>
    <definedName name="TEST25" localSheetId="8">#REF!</definedName>
    <definedName name="TEST25" localSheetId="12">#REF!</definedName>
    <definedName name="TEST25" localSheetId="13">'SDGE Costs -ELRP'!#REF!</definedName>
    <definedName name="TEST25">#REF!</definedName>
    <definedName name="TEST26" localSheetId="8">#REF!</definedName>
    <definedName name="TEST26" localSheetId="12">#REF!</definedName>
    <definedName name="TEST26" localSheetId="13">'SDGE Costs -ELRP'!#REF!</definedName>
    <definedName name="TEST26">#REF!</definedName>
    <definedName name="TEST27" localSheetId="8">#REF!</definedName>
    <definedName name="TEST27" localSheetId="12">#REF!</definedName>
    <definedName name="TEST27" localSheetId="13">'SDGE Costs -ELRP'!#REF!</definedName>
    <definedName name="TEST27">#REF!</definedName>
    <definedName name="TEST28" localSheetId="8">#REF!</definedName>
    <definedName name="TEST28" localSheetId="12">#REF!</definedName>
    <definedName name="TEST28" localSheetId="13">'SDGE Costs -ELRP'!#REF!</definedName>
    <definedName name="TEST28">#REF!</definedName>
    <definedName name="TEST3" localSheetId="8">#REF!</definedName>
    <definedName name="TEST3" localSheetId="12">#REF!</definedName>
    <definedName name="TEST3" localSheetId="13">'SDGE Costs -ELRP'!#REF!</definedName>
    <definedName name="TEST3">#REF!</definedName>
    <definedName name="TEST4" localSheetId="8">#REF!</definedName>
    <definedName name="TEST4" localSheetId="12">#REF!</definedName>
    <definedName name="TEST4" localSheetId="13">'SDGE Costs -ELRP'!#REF!</definedName>
    <definedName name="TEST4">#REF!</definedName>
    <definedName name="TEST5" localSheetId="8">#REF!</definedName>
    <definedName name="TEST5" localSheetId="12">#REF!</definedName>
    <definedName name="TEST5" localSheetId="13">'SDGE Costs -ELRP'!#REF!</definedName>
    <definedName name="TEST5">#REF!</definedName>
    <definedName name="TEST6" localSheetId="8">#REF!</definedName>
    <definedName name="TEST6" localSheetId="12">#REF!</definedName>
    <definedName name="TEST6" localSheetId="13">'SDGE Costs -ELRP'!#REF!</definedName>
    <definedName name="TEST6">#REF!</definedName>
    <definedName name="TEST7" localSheetId="8">#REF!</definedName>
    <definedName name="TEST7" localSheetId="12">#REF!</definedName>
    <definedName name="TEST7" localSheetId="13">'SDGE Costs -ELRP'!#REF!</definedName>
    <definedName name="TEST7">#REF!</definedName>
    <definedName name="TEST8" localSheetId="8">#REF!</definedName>
    <definedName name="TEST8" localSheetId="12">#REF!</definedName>
    <definedName name="TEST8" localSheetId="13">'SDGE Costs -ELRP'!#REF!</definedName>
    <definedName name="TEST8">#REF!</definedName>
    <definedName name="TEST9" localSheetId="8">#REF!</definedName>
    <definedName name="TEST9" localSheetId="12">#REF!</definedName>
    <definedName name="TEST9" localSheetId="13">'SDGE Costs -ELRP'!#REF!</definedName>
    <definedName name="TEST9">#REF!</definedName>
    <definedName name="TESTHKEY" localSheetId="8">#REF!</definedName>
    <definedName name="TESTHKEY" localSheetId="12">#REF!</definedName>
    <definedName name="TESTHKEY" localSheetId="13">'SDGE Costs -ELRP'!#REF!</definedName>
    <definedName name="TESTHKEY">#REF!</definedName>
    <definedName name="TESTKEYS" localSheetId="8">#REF!</definedName>
    <definedName name="TESTKEYS" localSheetId="12">#REF!</definedName>
    <definedName name="TESTKEYS" localSheetId="13">'SDGE Costs -ELRP'!#REF!</definedName>
    <definedName name="TESTKEYS">#REF!</definedName>
    <definedName name="TESTVKEY" localSheetId="8">#REF!</definedName>
    <definedName name="TESTVKEY" localSheetId="12">#REF!</definedName>
    <definedName name="TESTVKEY" localSheetId="13">'SDGE Costs -ELRP'!#REF!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13">'SDGE Costs -ELRP'!#REF!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13">'SDGE Costs -ELRP'!#REF!</definedName>
    <definedName name="Voice_of_Customer" localSheetId="4">#REF!</definedName>
    <definedName name="Voice_of_Customer">#REF!</definedName>
    <definedName name="Z_E5DF83AA_DC53_4EBF_A523_33DA0FE284E8_.wvu.PrintArea" localSheetId="3" hidden="1">'Ex post LI &amp; Eligibility Stats'!$A$2:$O$28</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119" l="1"/>
  <c r="N46" i="119"/>
  <c r="N47" i="119"/>
  <c r="N11" i="117"/>
  <c r="H50" i="117"/>
  <c r="G39" i="119" l="1"/>
  <c r="N31" i="137" l="1"/>
  <c r="N27" i="137"/>
  <c r="B29" i="137"/>
  <c r="C29" i="137"/>
  <c r="N29" i="137" s="1"/>
  <c r="D29" i="137"/>
  <c r="E29" i="137"/>
  <c r="F29" i="137"/>
  <c r="G29" i="137"/>
  <c r="H29" i="137"/>
  <c r="I29" i="137"/>
  <c r="J29" i="137"/>
  <c r="K29" i="137"/>
  <c r="L29" i="137"/>
  <c r="M29" i="137"/>
  <c r="N23" i="137"/>
  <c r="B24" i="137"/>
  <c r="C24" i="137"/>
  <c r="D24" i="137"/>
  <c r="E24" i="137"/>
  <c r="F24" i="137"/>
  <c r="G24" i="137"/>
  <c r="H24" i="137"/>
  <c r="I24" i="137"/>
  <c r="J24" i="137"/>
  <c r="K24" i="137"/>
  <c r="L24" i="137"/>
  <c r="M24" i="137"/>
  <c r="N24" i="137"/>
  <c r="N12" i="137"/>
  <c r="B13" i="137"/>
  <c r="B32" i="137" s="1"/>
  <c r="C13" i="137"/>
  <c r="D13" i="137"/>
  <c r="D32" i="137" s="1"/>
  <c r="D33" i="137" s="1"/>
  <c r="E13" i="137"/>
  <c r="E32" i="137" s="1"/>
  <c r="E33" i="137" s="1"/>
  <c r="F13" i="137"/>
  <c r="F32" i="137" s="1"/>
  <c r="F33" i="137" s="1"/>
  <c r="G13" i="137"/>
  <c r="G32" i="137" s="1"/>
  <c r="G33" i="137" s="1"/>
  <c r="H13" i="137"/>
  <c r="H32" i="137" s="1"/>
  <c r="H33" i="137" s="1"/>
  <c r="I13" i="137"/>
  <c r="I32" i="137" s="1"/>
  <c r="J13" i="137"/>
  <c r="J32" i="137" s="1"/>
  <c r="K13" i="137"/>
  <c r="K32" i="137" s="1"/>
  <c r="L13" i="137"/>
  <c r="L32" i="137" s="1"/>
  <c r="M13" i="137"/>
  <c r="M32" i="137" s="1"/>
  <c r="N16" i="137"/>
  <c r="N17" i="137"/>
  <c r="N18" i="137"/>
  <c r="N19" i="137"/>
  <c r="B20" i="137"/>
  <c r="C20" i="137"/>
  <c r="N20" i="137" s="1"/>
  <c r="D20" i="137"/>
  <c r="E20" i="137"/>
  <c r="F20" i="137"/>
  <c r="G20" i="137"/>
  <c r="H20" i="137"/>
  <c r="I20" i="137"/>
  <c r="J20" i="137"/>
  <c r="K20" i="137"/>
  <c r="L20" i="137"/>
  <c r="M20" i="137"/>
  <c r="E5" i="137"/>
  <c r="H23" i="134"/>
  <c r="H36" i="131"/>
  <c r="H34" i="131"/>
  <c r="H23" i="131"/>
  <c r="H24" i="131"/>
  <c r="G35" i="117"/>
  <c r="N13" i="137" l="1"/>
  <c r="B33" i="137"/>
  <c r="C32" i="137"/>
  <c r="C33" i="137" s="1"/>
  <c r="G31" i="134"/>
  <c r="N33" i="137" l="1"/>
  <c r="N32" i="137"/>
  <c r="G36" i="131"/>
  <c r="G34" i="131"/>
  <c r="G23" i="131"/>
  <c r="G24" i="131"/>
  <c r="F13" i="131"/>
  <c r="F37" i="129"/>
  <c r="F36" i="131" l="1"/>
  <c r="F34" i="131"/>
  <c r="F23" i="131"/>
  <c r="F24" i="131"/>
  <c r="O36" i="117"/>
  <c r="E47" i="117"/>
  <c r="E46" i="117"/>
  <c r="D14" i="117"/>
  <c r="E14" i="117" s="1"/>
  <c r="E28" i="117"/>
  <c r="E29" i="117"/>
  <c r="E12" i="117"/>
  <c r="E11" i="117"/>
  <c r="E37" i="129" l="1"/>
  <c r="E36" i="131"/>
  <c r="E39" i="131"/>
  <c r="E34" i="131"/>
  <c r="E23" i="131"/>
  <c r="E24" i="131"/>
  <c r="D16" i="129"/>
  <c r="D13" i="129"/>
  <c r="D26" i="119"/>
  <c r="D25" i="119"/>
  <c r="D24" i="119"/>
  <c r="D22" i="119"/>
  <c r="D19" i="119"/>
  <c r="D21" i="119"/>
  <c r="D43" i="119"/>
  <c r="D17" i="119"/>
  <c r="D16" i="119"/>
  <c r="D42" i="119"/>
  <c r="D15" i="119"/>
  <c r="D13" i="119"/>
  <c r="D11" i="119"/>
  <c r="D39" i="119"/>
  <c r="D38" i="119"/>
  <c r="D10" i="119"/>
  <c r="D37" i="119"/>
  <c r="D9" i="119"/>
  <c r="D46" i="117"/>
  <c r="D45" i="117"/>
  <c r="E45" i="117" s="1"/>
  <c r="D44" i="117"/>
  <c r="E44" i="117" s="1"/>
  <c r="D34" i="117"/>
  <c r="E34" i="117" s="1"/>
  <c r="D35" i="117"/>
  <c r="D23" i="117"/>
  <c r="E23" i="117" s="1"/>
  <c r="D13" i="117"/>
  <c r="D12" i="117"/>
  <c r="D36" i="131" l="1"/>
  <c r="D34" i="131"/>
  <c r="D23" i="131"/>
  <c r="C37" i="129" l="1"/>
  <c r="C36" i="131"/>
  <c r="C34" i="131"/>
  <c r="C38" i="131"/>
  <c r="C39" i="131"/>
  <c r="C24" i="131"/>
  <c r="C23" i="131"/>
  <c r="B17" i="29" l="1"/>
  <c r="F22" i="33" l="1"/>
  <c r="H33" i="129" l="1"/>
  <c r="O15" i="117"/>
  <c r="B37" i="129" l="1"/>
  <c r="Q11" i="134" l="1"/>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4" i="119" l="1"/>
  <c r="D34" i="119"/>
  <c r="E34" i="119"/>
  <c r="F34" i="119"/>
  <c r="G34" i="119"/>
  <c r="H34" i="119"/>
  <c r="I34" i="119"/>
  <c r="J34" i="119"/>
  <c r="K34" i="119"/>
  <c r="L34" i="119"/>
  <c r="M34" i="119"/>
  <c r="M31" i="134" l="1"/>
  <c r="O36" i="33" l="1"/>
  <c r="C4" i="57" l="1"/>
  <c r="L13" i="131"/>
  <c r="K13" i="131" l="1"/>
  <c r="N12" i="134"/>
  <c r="O12" i="134" s="1"/>
  <c r="N13" i="134"/>
  <c r="N14" i="134"/>
  <c r="O14" i="134" s="1"/>
  <c r="N15" i="134"/>
  <c r="O15" i="134" s="1"/>
  <c r="N16" i="134"/>
  <c r="O16" i="134" s="1"/>
  <c r="N17" i="134"/>
  <c r="O17" i="134" s="1"/>
  <c r="N18" i="134"/>
  <c r="O18" i="134" s="1"/>
  <c r="N19" i="134"/>
  <c r="O19" i="134" s="1"/>
  <c r="N20" i="134"/>
  <c r="O20" i="134" s="1"/>
  <c r="N21" i="134"/>
  <c r="O21" i="134" s="1"/>
  <c r="N22" i="134"/>
  <c r="O22" i="134" s="1"/>
  <c r="N11" i="134"/>
  <c r="O11" i="134" s="1"/>
  <c r="N23" i="134" l="1"/>
  <c r="I40"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8" i="119"/>
  <c r="P46" i="117"/>
  <c r="P45" i="117"/>
  <c r="P44" i="117"/>
  <c r="L30" i="117"/>
  <c r="K30" i="117"/>
  <c r="J30" i="117"/>
  <c r="P48" i="117" l="1"/>
  <c r="N49" i="119"/>
  <c r="O13" i="134" l="1"/>
  <c r="O23" i="134" s="1"/>
  <c r="S44" i="33" l="1"/>
  <c r="R44" i="33"/>
  <c r="S43" i="33"/>
  <c r="R43" i="33"/>
  <c r="S42" i="33"/>
  <c r="R42" i="33"/>
  <c r="S41" i="33"/>
  <c r="R41" i="33"/>
  <c r="S40" i="33"/>
  <c r="R40" i="33"/>
  <c r="S39" i="33"/>
  <c r="R39" i="33"/>
  <c r="S38" i="33"/>
  <c r="R38" i="33"/>
  <c r="S37" i="33"/>
  <c r="R37" i="33"/>
  <c r="S36" i="33"/>
  <c r="R36" i="33"/>
  <c r="S34" i="33"/>
  <c r="R34" i="33"/>
  <c r="P44" i="33"/>
  <c r="O44" i="33"/>
  <c r="P43" i="33"/>
  <c r="O43" i="33"/>
  <c r="P42" i="33"/>
  <c r="O42" i="33"/>
  <c r="P41" i="33"/>
  <c r="O41" i="33"/>
  <c r="P40" i="33"/>
  <c r="O40" i="33"/>
  <c r="P39" i="33"/>
  <c r="O39" i="33"/>
  <c r="P38" i="33"/>
  <c r="O38" i="33"/>
  <c r="P37" i="33"/>
  <c r="O37" i="33"/>
  <c r="P36" i="33"/>
  <c r="L25" i="131" s="1"/>
  <c r="P34" i="33"/>
  <c r="O34" i="33"/>
  <c r="M44" i="33"/>
  <c r="L44" i="33"/>
  <c r="M43" i="33"/>
  <c r="L43" i="33"/>
  <c r="M42" i="33"/>
  <c r="L42" i="33"/>
  <c r="M41" i="33"/>
  <c r="L41" i="33"/>
  <c r="M40" i="33"/>
  <c r="L40" i="33"/>
  <c r="M39" i="33"/>
  <c r="L39" i="33"/>
  <c r="M38" i="33"/>
  <c r="L38" i="33"/>
  <c r="M37" i="33"/>
  <c r="L37" i="33"/>
  <c r="M36" i="33"/>
  <c r="K25" i="131" s="1"/>
  <c r="L36" i="33"/>
  <c r="M34" i="33"/>
  <c r="L34" i="33"/>
  <c r="J44" i="33"/>
  <c r="I44" i="33"/>
  <c r="J43" i="33"/>
  <c r="I43" i="33"/>
  <c r="J42" i="33"/>
  <c r="I42" i="33"/>
  <c r="J41" i="33"/>
  <c r="I41" i="33"/>
  <c r="J40" i="33"/>
  <c r="J39" i="33"/>
  <c r="J40" i="131" s="1"/>
  <c r="I39" i="33"/>
  <c r="J38" i="33"/>
  <c r="I38" i="33"/>
  <c r="J37" i="33"/>
  <c r="I37" i="33"/>
  <c r="J36" i="33"/>
  <c r="J25" i="131" s="1"/>
  <c r="I36" i="33"/>
  <c r="J34" i="33"/>
  <c r="I34" i="33"/>
  <c r="S31" i="33"/>
  <c r="R31" i="33"/>
  <c r="P31" i="33"/>
  <c r="O31" i="33"/>
  <c r="M31" i="33"/>
  <c r="L31" i="33"/>
  <c r="J31" i="33"/>
  <c r="I31" i="33"/>
  <c r="F31" i="33"/>
  <c r="C31" i="33"/>
  <c r="G31" i="33"/>
  <c r="L40" i="131" l="1"/>
  <c r="K40" i="131"/>
  <c r="G44" i="33"/>
  <c r="F44" i="33"/>
  <c r="G43" i="33"/>
  <c r="F43" i="33"/>
  <c r="G42" i="33"/>
  <c r="F42" i="33"/>
  <c r="G41" i="33"/>
  <c r="F41" i="33"/>
  <c r="G40" i="33"/>
  <c r="F40" i="33"/>
  <c r="G39" i="33"/>
  <c r="F39" i="33"/>
  <c r="G38" i="33"/>
  <c r="F38" i="33"/>
  <c r="G37" i="33"/>
  <c r="F37" i="33"/>
  <c r="G36" i="33"/>
  <c r="I25" i="131" s="1"/>
  <c r="F36" i="33"/>
  <c r="G34" i="33"/>
  <c r="F34" i="33"/>
  <c r="D36" i="33"/>
  <c r="H22" i="131" s="1"/>
  <c r="D37" i="33"/>
  <c r="H33" i="131" s="1"/>
  <c r="D38" i="33"/>
  <c r="D39" i="33"/>
  <c r="D40" i="33"/>
  <c r="D41" i="33"/>
  <c r="D42" i="33"/>
  <c r="D43" i="33"/>
  <c r="D44" i="33"/>
  <c r="C36" i="33"/>
  <c r="C37" i="33"/>
  <c r="C38" i="33"/>
  <c r="C39" i="33"/>
  <c r="C40" i="33"/>
  <c r="C41" i="33"/>
  <c r="C42" i="33"/>
  <c r="C43" i="33"/>
  <c r="C44" i="33"/>
  <c r="D34" i="33"/>
  <c r="C34" i="33"/>
  <c r="D31" i="33"/>
  <c r="S45" i="33" l="1"/>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N13" i="129" l="1"/>
  <c r="N14" i="129"/>
  <c r="N15" i="129"/>
  <c r="N16" i="129"/>
  <c r="S22" i="33" l="1"/>
  <c r="R22" i="33"/>
  <c r="S21" i="33"/>
  <c r="R21" i="33"/>
  <c r="S20" i="33"/>
  <c r="R20" i="33"/>
  <c r="S19" i="33"/>
  <c r="R19" i="33"/>
  <c r="S18" i="33"/>
  <c r="R18" i="33"/>
  <c r="S17" i="33"/>
  <c r="R17" i="33"/>
  <c r="S16" i="33"/>
  <c r="R16" i="33"/>
  <c r="S15" i="33"/>
  <c r="G33" i="131" s="1"/>
  <c r="R15" i="33"/>
  <c r="S14" i="33"/>
  <c r="G22" i="131" s="1"/>
  <c r="R14" i="33"/>
  <c r="S12" i="33"/>
  <c r="R12" i="33"/>
  <c r="S9" i="33"/>
  <c r="S10" i="33" s="1"/>
  <c r="R9" i="33"/>
  <c r="R10" i="33" s="1"/>
  <c r="G23" i="134" l="1"/>
  <c r="N15" i="117" l="1"/>
  <c r="N14" i="117"/>
  <c r="O14" i="117" s="1"/>
  <c r="N13" i="117"/>
  <c r="N12" i="117"/>
  <c r="O12" i="117" s="1"/>
  <c r="O13" i="117" l="1"/>
  <c r="D24" i="131"/>
  <c r="P9" i="33" l="1"/>
  <c r="O9" i="33"/>
  <c r="P22" i="33" l="1"/>
  <c r="O22" i="33"/>
  <c r="P21" i="33"/>
  <c r="O21" i="33"/>
  <c r="P20" i="33"/>
  <c r="O20" i="33"/>
  <c r="P19" i="33"/>
  <c r="O19" i="33"/>
  <c r="P18" i="33"/>
  <c r="O18" i="33"/>
  <c r="P17" i="33"/>
  <c r="O17" i="33"/>
  <c r="P16" i="33"/>
  <c r="O16" i="33"/>
  <c r="P15" i="33"/>
  <c r="O15" i="33"/>
  <c r="P14" i="33"/>
  <c r="O14" i="33"/>
  <c r="P12" i="33"/>
  <c r="O12" i="33"/>
  <c r="F33" i="131" l="1"/>
  <c r="F40" i="131" s="1"/>
  <c r="F22" i="131"/>
  <c r="F25" i="131" s="1"/>
  <c r="N23" i="33"/>
  <c r="F23" i="134" l="1"/>
  <c r="M40" i="131" l="1"/>
  <c r="I40" i="131"/>
  <c r="H40" i="131"/>
  <c r="G40" i="131"/>
  <c r="P10" i="33"/>
  <c r="M22" i="33" l="1"/>
  <c r="L22" i="33"/>
  <c r="M21" i="33"/>
  <c r="L21" i="33"/>
  <c r="M20" i="33"/>
  <c r="L20" i="33"/>
  <c r="M19" i="33"/>
  <c r="L19" i="33"/>
  <c r="M18" i="33"/>
  <c r="L18" i="33"/>
  <c r="M17" i="33"/>
  <c r="L17" i="33"/>
  <c r="M16" i="33"/>
  <c r="L16" i="33"/>
  <c r="M15" i="33"/>
  <c r="E33" i="131" s="1"/>
  <c r="L15" i="33"/>
  <c r="M14" i="33"/>
  <c r="E22" i="131" s="1"/>
  <c r="E25" i="131" s="1"/>
  <c r="L14" i="33"/>
  <c r="M12" i="33"/>
  <c r="L12" i="33"/>
  <c r="M9" i="33"/>
  <c r="M10" i="33" s="1"/>
  <c r="L9" i="33"/>
  <c r="L10" i="33" s="1"/>
  <c r="M23" i="33" l="1"/>
  <c r="M24" i="33" s="1"/>
  <c r="L23" i="33"/>
  <c r="L24" i="33" s="1"/>
  <c r="D39" i="131" l="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B38" i="131" l="1"/>
  <c r="D17" i="33" l="1"/>
  <c r="C14" i="33"/>
  <c r="D16" i="33"/>
  <c r="M49" i="119" l="1"/>
  <c r="L49" i="119"/>
  <c r="K49" i="119"/>
  <c r="J49" i="119"/>
  <c r="I49" i="119"/>
  <c r="H49" i="119"/>
  <c r="G49" i="119"/>
  <c r="F49" i="119"/>
  <c r="E49" i="119"/>
  <c r="D49" i="119"/>
  <c r="C49" i="119"/>
  <c r="B49"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4" i="119"/>
  <c r="B50" i="119" s="1"/>
  <c r="B52" i="119" s="1"/>
  <c r="Q15" i="134"/>
  <c r="Q23" i="134" s="1"/>
  <c r="P30" i="117"/>
  <c r="P16" i="117"/>
  <c r="B20" i="117"/>
  <c r="C20" i="117"/>
  <c r="D20" i="117"/>
  <c r="E20" i="117"/>
  <c r="F20" i="117"/>
  <c r="G20" i="117"/>
  <c r="H20" i="117"/>
  <c r="I20" i="117"/>
  <c r="J20" i="117"/>
  <c r="K20" i="117"/>
  <c r="L20" i="117"/>
  <c r="M20" i="117"/>
  <c r="N47" i="117"/>
  <c r="O47" i="117" s="1"/>
  <c r="N34" i="117"/>
  <c r="O34" i="117" s="1"/>
  <c r="N33" i="117"/>
  <c r="N35" i="117"/>
  <c r="O35" i="117" s="1"/>
  <c r="N36" i="117"/>
  <c r="P37" i="117"/>
  <c r="N19" i="117"/>
  <c r="N16" i="117"/>
  <c r="F15" i="33"/>
  <c r="G15" i="33"/>
  <c r="F16" i="33"/>
  <c r="G16" i="33"/>
  <c r="F17" i="33"/>
  <c r="G17" i="33"/>
  <c r="F18" i="33"/>
  <c r="D37" i="131" s="1"/>
  <c r="F19" i="33"/>
  <c r="D38" i="131" s="1"/>
  <c r="G18" i="33"/>
  <c r="E37" i="131" s="1"/>
  <c r="G19" i="33"/>
  <c r="E38" i="131" s="1"/>
  <c r="D14" i="33"/>
  <c r="B22" i="131" s="1"/>
  <c r="F14" i="33"/>
  <c r="H20" i="136" s="1"/>
  <c r="G14" i="33"/>
  <c r="C22" i="131" s="1"/>
  <c r="H33" i="136"/>
  <c r="H46" i="136"/>
  <c r="M25" i="131"/>
  <c r="M17" i="129"/>
  <c r="M24" i="129"/>
  <c r="M28" i="129"/>
  <c r="M33" i="129"/>
  <c r="B33" i="129"/>
  <c r="C33" i="129"/>
  <c r="D33" i="129"/>
  <c r="E33" i="129"/>
  <c r="F33" i="129"/>
  <c r="G33" i="129"/>
  <c r="I33" i="129"/>
  <c r="J33" i="129"/>
  <c r="K33" i="129"/>
  <c r="L33" i="129"/>
  <c r="N46" i="117"/>
  <c r="O46" i="117" s="1"/>
  <c r="N45" i="117"/>
  <c r="O45" i="117" s="1"/>
  <c r="N44" i="117"/>
  <c r="O44" i="117" s="1"/>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Q48" i="117"/>
  <c r="Q16" i="117"/>
  <c r="G13" i="131"/>
  <c r="E13" i="131"/>
  <c r="G48" i="117"/>
  <c r="G41" i="117"/>
  <c r="G37" i="117"/>
  <c r="G30" i="117"/>
  <c r="G24" i="117"/>
  <c r="G16" i="117"/>
  <c r="D13" i="131"/>
  <c r="D38" i="134"/>
  <c r="C13" i="131"/>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F31" i="134"/>
  <c r="E31" i="134"/>
  <c r="D31" i="134"/>
  <c r="B31" i="134"/>
  <c r="M23" i="134"/>
  <c r="L23" i="134"/>
  <c r="K23" i="134"/>
  <c r="J23" i="134"/>
  <c r="I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K24" i="117"/>
  <c r="M24" i="117"/>
  <c r="Q24" i="117"/>
  <c r="N27" i="117"/>
  <c r="O27" i="117" s="1"/>
  <c r="N28" i="117"/>
  <c r="O28" i="117" s="1"/>
  <c r="M30" i="117"/>
  <c r="Q30" i="117"/>
  <c r="K37" i="117"/>
  <c r="L37" i="117"/>
  <c r="M37" i="117"/>
  <c r="M41" i="117"/>
  <c r="Q37" i="117"/>
  <c r="N40" i="117"/>
  <c r="O40" i="117" s="1"/>
  <c r="K41" i="117"/>
  <c r="L41" i="117"/>
  <c r="Q41"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50" i="119"/>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E40" i="131" l="1"/>
  <c r="O11" i="117"/>
  <c r="R11" i="117" s="1"/>
  <c r="P15" i="36"/>
  <c r="Q50" i="117"/>
  <c r="O19" i="117"/>
  <c r="O20" i="117" s="1"/>
  <c r="N20" i="117"/>
  <c r="N48" i="117"/>
  <c r="O24" i="117"/>
  <c r="R24" i="117" s="1"/>
  <c r="N24" i="117"/>
  <c r="N34" i="119"/>
  <c r="N50" i="119" s="1"/>
  <c r="P50" i="117"/>
  <c r="N24" i="33"/>
  <c r="D40" i="131"/>
  <c r="H147" i="136"/>
  <c r="H134" i="136"/>
  <c r="H82" i="136"/>
  <c r="H121" i="136"/>
  <c r="H108" i="136"/>
  <c r="H95" i="136"/>
  <c r="G147" i="136"/>
  <c r="G134" i="136"/>
  <c r="G121" i="136"/>
  <c r="G108" i="136"/>
  <c r="G95" i="136"/>
  <c r="G82" i="136"/>
  <c r="C25" i="131"/>
  <c r="C33" i="131"/>
  <c r="C40" i="131" s="1"/>
  <c r="N46" i="33"/>
  <c r="H85" i="136"/>
  <c r="D42" i="36"/>
  <c r="B50" i="117"/>
  <c r="O33" i="117"/>
  <c r="R33" i="117" s="1"/>
  <c r="R28" i="117"/>
  <c r="R34" i="117"/>
  <c r="R27" i="117"/>
  <c r="R13" i="117"/>
  <c r="R36" i="117"/>
  <c r="R47" i="117"/>
  <c r="R45"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4" i="33"/>
  <c r="Q33" i="36"/>
  <c r="Q42" i="36" s="1"/>
  <c r="H15" i="36"/>
  <c r="X15" i="36"/>
  <c r="G15" i="36"/>
  <c r="C50" i="119"/>
  <c r="C52" i="119" s="1"/>
  <c r="Y13" i="36"/>
  <c r="E33" i="36"/>
  <c r="E42" i="36" s="1"/>
  <c r="F50" i="119"/>
  <c r="F52" i="119" s="1"/>
  <c r="D15" i="36"/>
  <c r="O15" i="36"/>
  <c r="L31" i="120"/>
  <c r="E36" i="129"/>
  <c r="E7" i="36"/>
  <c r="E15" i="36" s="1"/>
  <c r="Q7" i="36"/>
  <c r="Q15" i="36" s="1"/>
  <c r="Y7" i="36"/>
  <c r="H42" i="36"/>
  <c r="B31" i="120"/>
  <c r="H36" i="129"/>
  <c r="H37" i="129" s="1"/>
  <c r="L50" i="117"/>
  <c r="R14" i="117"/>
  <c r="N33" i="129"/>
  <c r="L50" i="119"/>
  <c r="I33" i="36"/>
  <c r="K31" i="120"/>
  <c r="F31" i="120"/>
  <c r="E31" i="120"/>
  <c r="B36" i="129"/>
  <c r="M36" i="129"/>
  <c r="L36" i="129"/>
  <c r="N14" i="120"/>
  <c r="O38" i="134"/>
  <c r="I50" i="117"/>
  <c r="C23" i="33"/>
  <c r="M50" i="119"/>
  <c r="E50" i="119"/>
  <c r="E52" i="119" s="1"/>
  <c r="G50" i="119"/>
  <c r="G52" i="119" s="1"/>
  <c r="J50" i="119"/>
  <c r="D50" i="119"/>
  <c r="D52" i="119" s="1"/>
  <c r="K50" i="119"/>
  <c r="Q24" i="33"/>
  <c r="C31" i="120"/>
  <c r="I36" i="129"/>
  <c r="D50" i="117"/>
  <c r="G50" i="117"/>
  <c r="G23" i="33"/>
  <c r="G24" i="33" s="1"/>
  <c r="B24" i="33"/>
  <c r="Q46" i="33"/>
  <c r="I7" i="36"/>
  <c r="I15" i="36" s="1"/>
  <c r="T15" i="36"/>
  <c r="Y33" i="36"/>
  <c r="Y42" i="36" s="1"/>
  <c r="M40" i="36"/>
  <c r="H50" i="119"/>
  <c r="H52" i="119" s="1"/>
  <c r="M31" i="120"/>
  <c r="I31" i="120"/>
  <c r="N22" i="120"/>
  <c r="C36" i="129"/>
  <c r="J36" i="129"/>
  <c r="G36" i="129"/>
  <c r="G37" i="129" s="1"/>
  <c r="K36" i="129"/>
  <c r="H24" i="33"/>
  <c r="E50" i="117"/>
  <c r="N28" i="120"/>
  <c r="O23" i="33"/>
  <c r="K46" i="33"/>
  <c r="W15" i="36"/>
  <c r="G42" i="36"/>
  <c r="U33" i="36"/>
  <c r="U42" i="36" s="1"/>
  <c r="J31" i="120"/>
  <c r="F50" i="117"/>
  <c r="M50" i="117"/>
  <c r="K15" i="36"/>
  <c r="S42" i="36"/>
  <c r="W42" i="36"/>
  <c r="I40" i="36"/>
  <c r="N18" i="120"/>
  <c r="D31" i="120"/>
  <c r="N41" i="117"/>
  <c r="K50" i="117"/>
  <c r="I4" i="33"/>
  <c r="F27" i="33"/>
  <c r="G4" i="33"/>
  <c r="G27" i="33" s="1"/>
  <c r="N28" i="129"/>
  <c r="N17" i="129"/>
  <c r="M33" i="36"/>
  <c r="K42" i="36"/>
  <c r="K24" i="33"/>
  <c r="U7" i="36"/>
  <c r="U15" i="36" s="1"/>
  <c r="D23" i="33"/>
  <c r="D24" i="33" s="1"/>
  <c r="C50" i="117"/>
  <c r="F36" i="129"/>
  <c r="R46" i="117"/>
  <c r="J23" i="33"/>
  <c r="J24" i="33" s="1"/>
  <c r="P23" i="33"/>
  <c r="P24" i="33" s="1"/>
  <c r="E46" i="33"/>
  <c r="B46" i="33"/>
  <c r="H31" i="120"/>
  <c r="O31" i="134"/>
  <c r="F23" i="33"/>
  <c r="I23" i="33"/>
  <c r="R40" i="117"/>
  <c r="O41" i="117"/>
  <c r="R41" i="117" s="1"/>
  <c r="R35" i="117"/>
  <c r="N37" i="117"/>
  <c r="N30" i="117"/>
  <c r="R12" i="117"/>
  <c r="B25" i="131"/>
  <c r="G31" i="120"/>
  <c r="N24" i="129"/>
  <c r="R23" i="33"/>
  <c r="S23" i="33"/>
  <c r="S24" i="33" s="1"/>
  <c r="N36" i="129" l="1"/>
  <c r="N52" i="119"/>
  <c r="Y15" i="36"/>
  <c r="O48" i="117"/>
  <c r="R48" i="117" s="1"/>
  <c r="R44" i="117"/>
  <c r="R23" i="117"/>
  <c r="O16" i="117"/>
  <c r="I42" i="36"/>
  <c r="N50" i="117"/>
  <c r="O30" i="117"/>
  <c r="R30" i="117" s="1"/>
  <c r="B40" i="131"/>
  <c r="O37" i="117"/>
  <c r="R37" i="117" s="1"/>
  <c r="C24" i="33"/>
  <c r="O24" i="33"/>
  <c r="R24" i="33"/>
  <c r="I24" i="33"/>
  <c r="F24" i="33"/>
  <c r="N37" i="129"/>
  <c r="M42" i="36"/>
  <c r="N31" i="120"/>
  <c r="J4" i="33"/>
  <c r="J27" i="33" s="1"/>
  <c r="I27" i="33"/>
  <c r="L4" i="33"/>
  <c r="R16" i="117" l="1"/>
  <c r="O50" i="117"/>
  <c r="R50" i="117" s="1"/>
  <c r="M4" i="33"/>
  <c r="M27" i="33" s="1"/>
  <c r="O4" i="33"/>
  <c r="L27" i="33"/>
  <c r="O27" i="33" l="1"/>
  <c r="P4" i="33"/>
  <c r="P27" i="33" s="1"/>
  <c r="R4" i="33"/>
  <c r="S4" i="33" l="1"/>
  <c r="S27" i="33" s="1"/>
  <c r="R27" i="33"/>
</calcChain>
</file>

<file path=xl/sharedStrings.xml><?xml version="1.0" encoding="utf-8"?>
<sst xmlns="http://schemas.openxmlformats.org/spreadsheetml/2006/main" count="1447" uniqueCount="366">
  <si>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</si>
  <si>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</si>
  <si>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</si>
  <si>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</si>
  <si>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</si>
  <si>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</si>
  <si>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</si>
  <si>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</si>
  <si>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</si>
  <si>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</si>
  <si>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</si>
  <si>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</si>
  <si>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</si>
  <si>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</si>
  <si>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</si>
  <si>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</si>
  <si>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</si>
  <si>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</si>
  <si>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</si>
  <si>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</si>
  <si>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</si>
  <si>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</si>
  <si>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</si>
  <si>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</si>
  <si>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</si>
  <si>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</si>
  <si>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</si>
  <si>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</si>
  <si>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</si>
  <si>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</si>
  <si>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</si>
  <si>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</si>
  <si>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</si>
  <si>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</si>
  <si>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</si>
  <si>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</si>
  <si>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</si>
  <si>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</si>
  <si>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</si>
  <si>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</si>
  <si>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</si>
  <si>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</si>
  <si>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</si>
  <si>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</si>
  <si>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</si>
  <si>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</si>
  <si>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</si>
  <si>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</si>
  <si>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</si>
  <si>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</si>
  <si>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</si>
  <si>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</si>
  <si>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</si>
  <si>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</si>
  <si>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</si>
  <si>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</si>
  <si>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</si>
  <si>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</si>
  <si>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</si>
  <si>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</si>
  <si>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</si>
  <si>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</si>
  <si>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</si>
  <si>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</si>
  <si>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</si>
  <si>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</si>
  <si>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</si>
  <si>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</si>
  <si>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</si>
  <si>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</si>
  <si>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</si>
  <si>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</si>
  <si>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</si>
  <si>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</si>
  <si>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</si>
  <si>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</si>
  <si>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</si>
  <si>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</si>
  <si>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</si>
  <si>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</si>
  <si>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</si>
  <si>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</si>
  <si>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</si>
  <si>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</si>
  <si>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</si>
  <si>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</si>
  <si>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</si>
  <si>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</si>
  <si>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</si>
  <si>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</si>
  <si>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</si>
  <si>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</si>
  <si>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</si>
  <si>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</si>
  <si>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</si>
  <si>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</si>
  <si>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</si>
  <si>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</si>
  <si>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</si>
  <si>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</si>
  <si>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</si>
  <si>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</si>
  <si>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</si>
  <si>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</si>
  <si>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</si>
  <si>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</si>
  <si>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</si>
  <si>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</si>
  <si>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</si>
  <si>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</si>
  <si>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</si>
  <si>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</si>
  <si>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</si>
  <si>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</si>
  <si>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</si>
  <si>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</si>
  <si>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</si>
  <si>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</si>
  <si>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</si>
  <si>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</si>
  <si>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</si>
  <si>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</si>
  <si>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</si>
  <si>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</si>
  <si>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</si>
  <si>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</si>
  <si>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</si>
  <si>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</si>
  <si>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</si>
  <si>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</si>
  <si>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</si>
  <si>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</si>
  <si>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</si>
  <si>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</si>
  <si>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</si>
  <si>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</si>
  <si>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</si>
  <si>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</si>
  <si>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</si>
  <si>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</si>
  <si>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</si>
  <si>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</si>
  <si>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</si>
  <si>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</si>
  <si>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</si>
  <si>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</si>
  <si>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</si>
  <si>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</si>
  <si>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</si>
  <si>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</si>
  <si>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</si>
  <si>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</si>
  <si>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</si>
  <si>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</si>
  <si>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</si>
  <si>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</si>
  <si>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</si>
  <si>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</si>
  <si>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</si>
  <si>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</si>
  <si>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</si>
  <si>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</si>
  <si>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</si>
  <si>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</si>
  <si>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</si>
  <si>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</si>
  <si>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</si>
  <si>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</si>
  <si>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</si>
  <si>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</si>
  <si>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</si>
  <si>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</si>
  <si>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</si>
  <si>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</si>
  <si>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</si>
  <si>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</si>
  <si>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</si>
  <si>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</si>
  <si>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</si>
  <si>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</si>
  <si>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</si>
  <si>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</si>
  <si>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</si>
  <si>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</si>
  <si>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</si>
  <si>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</si>
  <si>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</si>
  <si>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</si>
  <si>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</si>
  <si>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</si>
  <si>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</si>
  <si>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</si>
  <si>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</si>
  <si>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</si>
  <si>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</si>
  <si>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</si>
  <si>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</si>
  <si>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</si>
  <si>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</si>
  <si>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</si>
  <si>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t>Constrained Local Capacity Program (CLCP)</t>
  </si>
  <si>
    <t>General Admin</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</si>
  <si>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</si>
  <si>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</si>
  <si>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</si>
  <si>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</si>
  <si>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</si>
  <si>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</si>
  <si>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</si>
  <si>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</si>
  <si>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</si>
  <si>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</si>
  <si>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</si>
  <si>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</si>
  <si>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</si>
  <si>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</si>
  <si>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</si>
  <si>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</si>
  <si>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</si>
  <si>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</si>
  <si>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</si>
  <si>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</si>
  <si>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</si>
  <si>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</si>
  <si>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</si>
  <si>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</si>
  <si>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</si>
  <si>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</si>
  <si>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</si>
  <si>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</si>
  <si>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</si>
  <si>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</si>
  <si>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</si>
  <si>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</si>
  <si>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</si>
  <si>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</si>
  <si>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</si>
  <si>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</si>
  <si>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</si>
  <si>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</si>
  <si>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</si>
  <si>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</si>
  <si>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</si>
  <si>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</si>
  <si>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</si>
  <si>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</si>
  <si>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</si>
  <si>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</si>
  <si>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</si>
  <si>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CPP-D, TOU-DR-P (Voluntary Residential) and TOU-A-P (Small Commercial) ex-ante estimates include Technology Deployment (TD).</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</si>
  <si>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</si>
  <si>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</si>
  <si>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</si>
  <si>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</si>
  <si>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</si>
  <si>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</si>
  <si>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</si>
  <si>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</si>
  <si>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</si>
  <si>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</si>
  <si>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</si>
  <si>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</si>
  <si>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</si>
  <si>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</si>
  <si>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</si>
  <si>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</si>
  <si>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SW-IND</t>
    </r>
    <r>
      <rPr>
        <b/>
        <vertAlign val="superscript"/>
        <sz val="9"/>
        <color rgb="FFFF0000"/>
        <rFont val="Arial"/>
        <family val="2"/>
      </rPr>
      <t xml:space="preserve"> </t>
    </r>
  </si>
  <si>
    <t xml:space="preserve">Behavioral </t>
  </si>
  <si>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</si>
  <si>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</si>
  <si>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</si>
  <si>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</si>
  <si>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</si>
  <si>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</si>
  <si>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</si>
  <si>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</si>
  <si>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</si>
  <si>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</si>
  <si>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</si>
  <si>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</si>
  <si>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</si>
  <si>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</si>
  <si>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</si>
  <si>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</si>
  <si>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</si>
  <si>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</si>
  <si>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</si>
  <si>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Category 4: Emerging &amp; Enabling Technologies</t>
  </si>
  <si>
    <t>Category 7: Portfolio Support</t>
  </si>
  <si>
    <t>Program Cycle to Date (2018 - 2021)</t>
  </si>
  <si>
    <t>-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t>
  </si>
  <si>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</si>
  <si>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</si>
  <si>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r>
  </si>
  <si>
    <r>
      <t xml:space="preserve">IDSM DR COM </t>
    </r>
    <r>
      <rPr>
        <vertAlign val="superscript"/>
        <sz val="9"/>
        <color rgb="FFFF0000"/>
        <rFont val="Arial"/>
        <family val="2"/>
      </rPr>
      <t>1,2</t>
    </r>
  </si>
  <si>
    <r>
      <t xml:space="preserve">Local Capacity Requirements (LCR) </t>
    </r>
    <r>
      <rPr>
        <vertAlign val="superscript"/>
        <sz val="9"/>
        <color rgb="FFFF0000"/>
        <rFont val="Arial"/>
        <family val="2"/>
      </rPr>
      <t>1</t>
    </r>
  </si>
  <si>
    <r>
      <rPr>
        <vertAlign val="superscript"/>
        <sz val="10"/>
        <color rgb="FFFF0000"/>
        <rFont val="Arial"/>
        <family val="2"/>
      </rPr>
      <t>1</t>
    </r>
    <r>
      <rPr>
        <vertAlign val="superscript"/>
        <sz val="10"/>
        <rFont val="Arial"/>
        <family val="2"/>
      </rPr>
      <t xml:space="preserve"> </t>
    </r>
    <r>
      <rPr>
        <sz val="10"/>
        <rFont val="Arial"/>
        <family val="2"/>
      </rPr>
      <t>February credits are related to accrual reversals related to a prior period expense (January 2021).</t>
    </r>
  </si>
  <si>
    <r>
      <rPr>
        <vertAlign val="superscript"/>
        <sz val="10"/>
        <color rgb="FFFF0000"/>
        <rFont val="Arial"/>
        <family val="2"/>
      </rPr>
      <t>2</t>
    </r>
    <r>
      <rPr>
        <sz val="10"/>
        <rFont val="Arial"/>
        <family val="2"/>
      </rPr>
      <t xml:space="preserve"> March Credit is related to a discount received on services purchased in a prior period.</t>
    </r>
  </si>
  <si>
    <t>-  Capacity Bidding Program reports the number of nominations not enrollments.</t>
  </si>
  <si>
    <r>
      <t>Technology Incentives</t>
    </r>
    <r>
      <rPr>
        <vertAlign val="superscript"/>
        <sz val="10"/>
        <color rgb="FFFF0000"/>
        <rFont val="Arial"/>
        <family val="2"/>
      </rPr>
      <t xml:space="preserve"> </t>
    </r>
    <r>
      <rPr>
        <b/>
        <vertAlign val="superscript"/>
        <sz val="10"/>
        <color rgb="FFFF0000"/>
        <rFont val="Arial"/>
        <family val="2"/>
      </rPr>
      <t>3</t>
    </r>
  </si>
  <si>
    <r>
      <t>Smart Pricing</t>
    </r>
    <r>
      <rPr>
        <vertAlign val="superscript"/>
        <sz val="10"/>
        <color rgb="FFFF0000"/>
        <rFont val="Arial"/>
        <family val="2"/>
      </rPr>
      <t xml:space="preserve"> </t>
    </r>
    <r>
      <rPr>
        <b/>
        <vertAlign val="superscript"/>
        <sz val="10"/>
        <color rgb="FFFF0000"/>
        <rFont val="Arial"/>
        <family val="2"/>
      </rPr>
      <t>3</t>
    </r>
  </si>
  <si>
    <r>
      <rPr>
        <vertAlign val="superscript"/>
        <sz val="10"/>
        <color rgb="FFFF0000"/>
        <rFont val="Arial"/>
        <family val="2"/>
      </rPr>
      <t>3</t>
    </r>
    <r>
      <rPr>
        <sz val="10"/>
        <rFont val="Arial"/>
        <family val="2"/>
      </rPr>
      <t xml:space="preserve"> April Bill credits for BIP were not posted as a result of Reporting outages related to Envision Cross Over.</t>
    </r>
  </si>
  <si>
    <r>
      <t xml:space="preserve">Labor </t>
    </r>
    <r>
      <rPr>
        <b/>
        <vertAlign val="superscript"/>
        <sz val="10"/>
        <color rgb="FFFF0000"/>
        <rFont val="Arial"/>
        <family val="2"/>
      </rPr>
      <t>4</t>
    </r>
  </si>
  <si>
    <r>
      <t>Demand Response Auction Mechanism Pilot (DRAM)</t>
    </r>
    <r>
      <rPr>
        <vertAlign val="superscript"/>
        <sz val="10"/>
        <color rgb="FFFF0000"/>
        <rFont val="Arial"/>
        <family val="2"/>
      </rPr>
      <t xml:space="preserve"> 3</t>
    </r>
  </si>
  <si>
    <r>
      <rPr>
        <b/>
        <vertAlign val="superscript"/>
        <sz val="11"/>
        <color rgb="FFFF0000"/>
        <rFont val="Arial"/>
        <family val="2"/>
      </rPr>
      <t>1</t>
    </r>
    <r>
      <rPr>
        <sz val="11"/>
        <rFont val="Arial"/>
        <family val="2"/>
      </rPr>
      <t xml:space="preserve"> BIP total does not include April bill credits as a result of Reporting outages related to Envision Cross Over.</t>
    </r>
  </si>
  <si>
    <r>
      <rPr>
        <vertAlign val="superscript"/>
        <sz val="11"/>
        <color rgb="FFFF0000"/>
        <rFont val="Arial"/>
        <family val="2"/>
      </rPr>
      <t>2</t>
    </r>
    <r>
      <rPr>
        <sz val="11"/>
        <rFont val="Arial"/>
        <family val="2"/>
      </rPr>
      <t xml:space="preserve"> BIP April total of $6,695 was revised to include April bill credits of $1,935 that were posted in a different reporting period as a result of the Envision Cross Over.</t>
    </r>
  </si>
  <si>
    <r>
      <rPr>
        <vertAlign val="superscript"/>
        <sz val="11"/>
        <color rgb="FFFF0000"/>
        <rFont val="Arial"/>
        <family val="2"/>
      </rPr>
      <t>3</t>
    </r>
    <r>
      <rPr>
        <sz val="11"/>
        <rFont val="Arial"/>
        <family val="2"/>
      </rPr>
      <t xml:space="preserve"> May credits are a result of accrual reversals that occurred in prior reporting period (April).</t>
    </r>
  </si>
  <si>
    <r>
      <rPr>
        <b/>
        <vertAlign val="superscript"/>
        <sz val="11"/>
        <color rgb="FFFF0000"/>
        <rFont val="Arial"/>
        <family val="2"/>
      </rPr>
      <t>3</t>
    </r>
    <r>
      <rPr>
        <sz val="11"/>
        <rFont val="Arial"/>
        <family val="2"/>
      </rPr>
      <t xml:space="preserve"> April credits are related to accrual reversals that occurred in a previous reporting period (March).</t>
    </r>
  </si>
  <si>
    <r>
      <rPr>
        <b/>
        <vertAlign val="superscript"/>
        <sz val="11"/>
        <color rgb="FFFF0000"/>
        <rFont val="Arial"/>
        <family val="2"/>
      </rPr>
      <t xml:space="preserve">4 </t>
    </r>
    <r>
      <rPr>
        <sz val="11"/>
        <rFont val="Arial"/>
        <family val="2"/>
      </rPr>
      <t>May credits are related to labor reversals to reflect proper labor allocation.</t>
    </r>
  </si>
  <si>
    <r>
      <t xml:space="preserve">EM&amp;V </t>
    </r>
    <r>
      <rPr>
        <vertAlign val="superscript"/>
        <sz val="9"/>
        <color rgb="FFFF0000"/>
        <rFont val="Arial"/>
        <family val="2"/>
      </rPr>
      <t>6</t>
    </r>
  </si>
  <si>
    <r>
      <t xml:space="preserve">Base Interruptible Program (BIP) </t>
    </r>
    <r>
      <rPr>
        <b/>
        <vertAlign val="superscript"/>
        <sz val="9"/>
        <color rgb="FFFF0000"/>
        <rFont val="Arial"/>
        <family val="2"/>
      </rPr>
      <t>3</t>
    </r>
    <r>
      <rPr>
        <vertAlign val="superscript"/>
        <sz val="9"/>
        <color rgb="FFFF0000"/>
        <rFont val="Arial"/>
        <family val="2"/>
      </rPr>
      <t>,4</t>
    </r>
  </si>
  <si>
    <r>
      <rPr>
        <vertAlign val="superscript"/>
        <sz val="10"/>
        <color rgb="FFFF0000"/>
        <rFont val="Arial"/>
        <family val="2"/>
      </rPr>
      <t>5</t>
    </r>
    <r>
      <rPr>
        <sz val="10"/>
        <rFont val="Arial"/>
        <family val="2"/>
      </rPr>
      <t xml:space="preserve"> May incentive credits are a result of accrual reversals that occurred in prior reporting period (April).</t>
    </r>
  </si>
  <si>
    <r>
      <rPr>
        <vertAlign val="superscript"/>
        <sz val="10"/>
        <color rgb="FFFF0000"/>
        <rFont val="Arial"/>
        <family val="2"/>
      </rPr>
      <t xml:space="preserve">6 </t>
    </r>
    <r>
      <rPr>
        <sz val="10"/>
        <rFont val="Arial"/>
        <family val="2"/>
      </rPr>
      <t>EM&amp;V charges for May include a misclassification of incentive payment.  This charge is pending a journal entry to reclassify $540 to the correct cost type and will be reflected in June Report.</t>
    </r>
  </si>
  <si>
    <t>AC Saver DO (Summer Saver) Commercial</t>
  </si>
  <si>
    <t>Heat Rate</t>
  </si>
  <si>
    <t>6:00pm-8:00pm</t>
  </si>
  <si>
    <t>AC Saver DO (Summer Saver) Residential</t>
  </si>
  <si>
    <t>CBP Day Ahead 11-7</t>
  </si>
  <si>
    <t>Market Price</t>
  </si>
  <si>
    <t>4:00pm-7:00pm</t>
  </si>
  <si>
    <t>CBP Day Ahead 1-9</t>
  </si>
  <si>
    <t>CBP Day Of 1-9</t>
  </si>
  <si>
    <t>Real Time Price</t>
  </si>
  <si>
    <t>5:00pm-7:00pm</t>
  </si>
  <si>
    <t>AC Saver DA Residential</t>
  </si>
  <si>
    <t>6:00pm-9:00pm</t>
  </si>
  <si>
    <t>Temperature and System Load</t>
  </si>
  <si>
    <t>3:00pm-7:00pm</t>
  </si>
  <si>
    <t>5:00pm-9:00pm</t>
  </si>
  <si>
    <t>7:00pm-9:00pm</t>
  </si>
  <si>
    <t>-  Count of Service Accounts reported for TOU-PA-P Agricultural, TOU-A-P Small Commercial and TOU-DR-P Voluntary Residential for April 2021 includes accounts enrolled through May 13, 2021 due to Envision cutover data validation activities.</t>
  </si>
  <si>
    <t>-  The reduction in the number of customers on AC Saver Day-Ahead Commercial in March is due to the un-enrollment of customer with thermostat that had been offline for more then 18 months.</t>
  </si>
  <si>
    <t>- The TOU-PA-P Agricultural Ex-Post average per customer estimates are based on Program Year 2020 draft SDG&amp;E DR Load Impacts report for the months of January and February. The draft ex-post estimates show an increase load impact of (-0.06kW), therefore the estimates were converted to zero.</t>
  </si>
  <si>
    <r>
      <t xml:space="preserve">General Admin </t>
    </r>
    <r>
      <rPr>
        <vertAlign val="superscript"/>
        <sz val="9"/>
        <color rgb="FFFF0000"/>
        <rFont val="Arial"/>
        <family val="2"/>
      </rPr>
      <t>7</t>
    </r>
  </si>
  <si>
    <r>
      <rPr>
        <vertAlign val="superscript"/>
        <sz val="10"/>
        <color rgb="FFFF0000"/>
        <rFont val="Arial"/>
        <family val="2"/>
      </rPr>
      <t>7</t>
    </r>
    <r>
      <rPr>
        <sz val="10"/>
        <rFont val="Arial"/>
        <family val="2"/>
      </rPr>
      <t xml:space="preserve"> EM&amp;V charges for May include a misclassification of incentive payment, charge was corrected using incorrect program IO to reclassify $540 to the correct cost type. Correction will be reflected in July Reporting.</t>
    </r>
  </si>
  <si>
    <t xml:space="preserve">-  The reduction in the number of customer on AC Saver day-ahead residential in June, is due to approximately 2,500 customers with Google-Nest devices did not agree to the new Google terms and conditions. </t>
  </si>
  <si>
    <t>July 2021</t>
  </si>
  <si>
    <r>
      <t>Base Interruptible Program (BIP)</t>
    </r>
    <r>
      <rPr>
        <b/>
        <vertAlign val="superscript"/>
        <sz val="10"/>
        <color rgb="FFFF0000"/>
        <rFont val="Arial"/>
        <family val="2"/>
      </rPr>
      <t xml:space="preserve"> 1</t>
    </r>
    <r>
      <rPr>
        <vertAlign val="superscript"/>
        <sz val="10"/>
        <color rgb="FFFF0000"/>
        <rFont val="Arial"/>
        <family val="2"/>
      </rPr>
      <t>,</t>
    </r>
    <r>
      <rPr>
        <b/>
        <vertAlign val="superscript"/>
        <sz val="10"/>
        <color rgb="FFFF0000"/>
        <rFont val="Arial"/>
        <family val="2"/>
      </rPr>
      <t>2</t>
    </r>
    <r>
      <rPr>
        <vertAlign val="superscript"/>
        <sz val="10"/>
        <color rgb="FFFF0000"/>
        <rFont val="Arial"/>
        <family val="2"/>
      </rPr>
      <t>,4</t>
    </r>
  </si>
  <si>
    <t>SAN DIEGO GAS &amp; ELECTRIC COMPANY REPORT ON INTERRUPTIBLE LOAD AND DEMAND RESPONSE EMERGENCY</t>
  </si>
  <si>
    <t>Program in Emergency Loadshed Reduction Balancing Account</t>
  </si>
  <si>
    <t>ELRP</t>
  </si>
  <si>
    <t>ELRP Tax</t>
  </si>
  <si>
    <t>ELRP Property Tax</t>
  </si>
  <si>
    <t>Total ELRP Program Costs</t>
  </si>
  <si>
    <t>Total ELRP Program Costs with Interest</t>
  </si>
  <si>
    <r>
      <t xml:space="preserve">   Over Generation Pilot (OGP) </t>
    </r>
    <r>
      <rPr>
        <vertAlign val="superscript"/>
        <sz val="10"/>
        <color rgb="FFFF0000"/>
        <rFont val="Arial"/>
        <family val="2"/>
      </rPr>
      <t>5</t>
    </r>
  </si>
  <si>
    <r>
      <t>Over Gen Pilot</t>
    </r>
    <r>
      <rPr>
        <vertAlign val="superscript"/>
        <sz val="9"/>
        <color rgb="FFFF0000"/>
        <rFont val="Arial"/>
        <family val="2"/>
      </rPr>
      <t xml:space="preserve"> 8</t>
    </r>
  </si>
  <si>
    <r>
      <t>SW-COM</t>
    </r>
    <r>
      <rPr>
        <vertAlign val="superscript"/>
        <sz val="9"/>
        <color rgb="FFFF0000"/>
        <rFont val="Arial"/>
        <family val="2"/>
      </rPr>
      <t xml:space="preserve"> 9</t>
    </r>
  </si>
  <si>
    <r>
      <t>Demand Response Auction Mechanism (DRAM)</t>
    </r>
    <r>
      <rPr>
        <vertAlign val="superscript"/>
        <sz val="9"/>
        <color rgb="FFFF0000"/>
        <rFont val="Arial"/>
        <family val="2"/>
      </rPr>
      <t xml:space="preserve"> </t>
    </r>
    <r>
      <rPr>
        <b/>
        <vertAlign val="superscript"/>
        <sz val="9"/>
        <color rgb="FFFF0000"/>
        <rFont val="Arial"/>
        <family val="2"/>
      </rPr>
      <t>5</t>
    </r>
    <r>
      <rPr>
        <vertAlign val="superscript"/>
        <sz val="9"/>
        <color rgb="FFFF0000"/>
        <rFont val="Arial"/>
        <family val="2"/>
      </rPr>
      <t>,9</t>
    </r>
  </si>
  <si>
    <r>
      <t>CPP-D</t>
    </r>
    <r>
      <rPr>
        <vertAlign val="superscript"/>
        <sz val="10"/>
        <color rgb="FFFF0000"/>
        <rFont val="Arial"/>
        <family val="2"/>
      </rPr>
      <t xml:space="preserve"> 1</t>
    </r>
  </si>
  <si>
    <r>
      <t xml:space="preserve">Rule 32 Click-Through </t>
    </r>
    <r>
      <rPr>
        <vertAlign val="superscript"/>
        <sz val="10"/>
        <color rgb="FFFF0000"/>
        <rFont val="Arial"/>
        <family val="2"/>
      </rPr>
      <t>1,5</t>
    </r>
  </si>
  <si>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</si>
  <si>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</si>
  <si>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r>
      <rPr>
        <sz val="8"/>
        <color rgb="FFFF0000"/>
        <rFont val="Arial"/>
        <family val="2"/>
      </rPr>
      <t xml:space="preserve">3 </t>
    </r>
    <r>
      <rPr>
        <sz val="11"/>
        <color rgb="FF444444"/>
        <rFont val="Arial"/>
        <family val="2"/>
      </rPr>
      <t xml:space="preserve"> Due to time differences in our new and old customer information systems event performance has been revised from June 2021 report.</t>
    </r>
  </si>
  <si>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</si>
  <si>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</si>
  <si>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r>
      <rPr>
        <vertAlign val="superscript"/>
        <sz val="10"/>
        <color rgb="FFFF0000"/>
        <rFont val="Arial"/>
        <family val="2"/>
      </rPr>
      <t xml:space="preserve">8 </t>
    </r>
    <r>
      <rPr>
        <sz val="10"/>
        <rFont val="Arial"/>
        <family val="2"/>
      </rPr>
      <t>July Credits are due to labor reversals.</t>
    </r>
  </si>
  <si>
    <r>
      <rPr>
        <vertAlign val="superscript"/>
        <sz val="10"/>
        <color rgb="FFFF0000"/>
        <rFont val="Arial"/>
        <family val="2"/>
      </rPr>
      <t xml:space="preserve">9 </t>
    </r>
    <r>
      <rPr>
        <sz val="10"/>
        <rFont val="Arial"/>
        <family val="2"/>
      </rPr>
      <t>July Credits are due to accrual reversals.</t>
    </r>
  </si>
  <si>
    <r>
      <rPr>
        <vertAlign val="superscript"/>
        <sz val="11"/>
        <color rgb="FFFF0000"/>
        <rFont val="Arial"/>
        <family val="2"/>
      </rPr>
      <t xml:space="preserve">5 </t>
    </r>
    <r>
      <rPr>
        <sz val="11"/>
        <rFont val="Arial"/>
        <family val="2"/>
      </rPr>
      <t>July Credits are due to labor reversals.</t>
    </r>
  </si>
  <si>
    <r>
      <rPr>
        <vertAlign val="superscript"/>
        <sz val="11"/>
        <color rgb="FFFF0000"/>
        <rFont val="Arial"/>
        <family val="2"/>
      </rPr>
      <t>4</t>
    </r>
    <r>
      <rPr>
        <sz val="11"/>
        <rFont val="Arial"/>
        <family val="2"/>
      </rPr>
      <t xml:space="preserve"> June BIP incentives were adjusted to exclude $783.50 that was reversed in Envision.</t>
    </r>
  </si>
  <si>
    <r>
      <rPr>
        <vertAlign val="superscript"/>
        <sz val="11"/>
        <color rgb="FFFF0000"/>
        <rFont val="Arial"/>
        <family val="2"/>
      </rPr>
      <t xml:space="preserve">1 </t>
    </r>
    <r>
      <rPr>
        <sz val="11"/>
        <rFont val="Arial"/>
        <family val="2"/>
      </rPr>
      <t>July credits are due to accrual reversals and labor corrections.</t>
    </r>
  </si>
  <si>
    <r>
      <rPr>
        <vertAlign val="superscript"/>
        <sz val="11"/>
        <color rgb="FFFF0000"/>
        <rFont val="Arial"/>
        <family val="2"/>
      </rPr>
      <t xml:space="preserve">5 </t>
    </r>
    <r>
      <rPr>
        <sz val="11"/>
        <rFont val="Arial"/>
        <family val="2"/>
      </rPr>
      <t xml:space="preserve">July Credits are due to accrual reversals. </t>
    </r>
  </si>
  <si>
    <t>ELRP was approved in Decision 21.02.006.</t>
  </si>
  <si>
    <t>LOADSHED REDUCTION PROGRAM (ELRP) BALANCING ACCOUNT ($000)</t>
  </si>
  <si>
    <t xml:space="preserve"> - The "TOU-DR-P Voluntary Residential" and “TOU-A-P Small Commercial” service accounts numbers were inadvertently reported on the wrong row January through June.  This report has been corrected to reflect the service account numbers for both programs. </t>
  </si>
  <si>
    <r>
      <rPr>
        <vertAlign val="superscript"/>
        <sz val="10"/>
        <color rgb="FFFF0000"/>
        <rFont val="Arial"/>
        <family val="2"/>
      </rPr>
      <t>4</t>
    </r>
    <r>
      <rPr>
        <sz val="10"/>
        <rFont val="Arial"/>
        <family val="2"/>
      </rPr>
      <t xml:space="preserve"> BIP April Incentive total was revised to include April bill credits of $1,935 that were posted in a different reporting period as a result of the Envision Cross Over. June BIP incentives were adjusted to exclude $783.50 that was reversed in Envision.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</si>
</sst>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_(&quot;$&quot;* #,##0.00_);_(&quot;$&quot;* \(#,##0.00\);_(&quot;$&quot;* &quot;-&quot;_);_(@_)"/>
  </numFmts>
  <fonts count="1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ont>
    <font>
      <sz val="8"/>
      <color rgb="FF444444"/>
      <name val="Arial"/>
      <family val="2"/>
    </font>
    <font>
      <sz val="8"/>
      <color rgb="FFFF0000"/>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5686">
    <xf numFmtId="175" fontId="0" fillId="0" borderId="0"/>
    <xf numFmtId="175" fontId="20" fillId="2" borderId="0" applyNumberFormat="0" applyBorder="0" applyAlignment="0" applyProtection="0"/>
    <xf numFmtId="175" fontId="20" fillId="3" borderId="0" applyNumberFormat="0" applyBorder="0" applyAlignment="0" applyProtection="0"/>
    <xf numFmtId="175" fontId="20" fillId="4" borderId="0" applyNumberFormat="0" applyBorder="0" applyAlignment="0" applyProtection="0"/>
    <xf numFmtId="175" fontId="20" fillId="5" borderId="0" applyNumberFormat="0" applyBorder="0" applyAlignment="0" applyProtection="0"/>
    <xf numFmtId="175" fontId="20" fillId="6" borderId="0" applyNumberFormat="0" applyBorder="0" applyAlignment="0" applyProtection="0"/>
    <xf numFmtId="175" fontId="20" fillId="7" borderId="0" applyNumberFormat="0" applyBorder="0" applyAlignment="0" applyProtection="0"/>
    <xf numFmtId="175" fontId="20" fillId="8" borderId="0" applyNumberFormat="0" applyBorder="0" applyAlignment="0" applyProtection="0"/>
    <xf numFmtId="175" fontId="20" fillId="3" borderId="0" applyNumberFormat="0" applyBorder="0" applyAlignment="0" applyProtection="0"/>
    <xf numFmtId="175" fontId="20" fillId="9" borderId="0" applyNumberFormat="0" applyBorder="0" applyAlignment="0" applyProtection="0"/>
    <xf numFmtId="175" fontId="20" fillId="10" borderId="0" applyNumberFormat="0" applyBorder="0" applyAlignment="0" applyProtection="0"/>
    <xf numFmtId="175" fontId="20" fillId="8" borderId="0" applyNumberFormat="0" applyBorder="0" applyAlignment="0" applyProtection="0"/>
    <xf numFmtId="175" fontId="20"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5" borderId="0" applyNumberFormat="0" applyBorder="0" applyAlignment="0" applyProtection="0"/>
    <xf numFmtId="175" fontId="22" fillId="16" borderId="0" applyNumberFormat="0" applyBorder="0" applyAlignment="0" applyProtection="0"/>
    <xf numFmtId="175" fontId="23" fillId="17" borderId="0" applyNumberFormat="0" applyBorder="0" applyAlignment="0" applyProtection="0"/>
    <xf numFmtId="175" fontId="23" fillId="18" borderId="0" applyNumberFormat="0" applyBorder="0" applyAlignment="0" applyProtection="0"/>
    <xf numFmtId="175" fontId="22" fillId="19" borderId="0" applyNumberFormat="0" applyBorder="0" applyAlignment="0" applyProtection="0"/>
    <xf numFmtId="175" fontId="22" fillId="19" borderId="0" applyNumberFormat="0" applyBorder="0" applyAlignment="0" applyProtection="0"/>
    <xf numFmtId="175" fontId="23" fillId="20" borderId="0" applyNumberFormat="0" applyBorder="0" applyAlignment="0" applyProtection="0"/>
    <xf numFmtId="175" fontId="23"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1" borderId="0" applyNumberFormat="0" applyBorder="0" applyAlignment="0" applyProtection="0"/>
    <xf numFmtId="175" fontId="23" fillId="22" borderId="0" applyNumberFormat="0" applyBorder="0" applyAlignment="0" applyProtection="0"/>
    <xf numFmtId="175" fontId="22" fillId="22" borderId="0" applyNumberFormat="0" applyBorder="0" applyAlignment="0" applyProtection="0"/>
    <xf numFmtId="175" fontId="22" fillId="24"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4" borderId="0" applyNumberFormat="0" applyBorder="0" applyAlignment="0" applyProtection="0"/>
    <xf numFmtId="175" fontId="22" fillId="25" borderId="0" applyNumberFormat="0" applyBorder="0" applyAlignment="0" applyProtection="0"/>
    <xf numFmtId="175" fontId="23" fillId="26" borderId="0" applyNumberFormat="0" applyBorder="0" applyAlignment="0" applyProtection="0"/>
    <xf numFmtId="175" fontId="23" fillId="18" borderId="0" applyNumberFormat="0" applyBorder="0" applyAlignment="0" applyProtection="0"/>
    <xf numFmtId="175" fontId="22" fillId="27"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175" fontId="27" fillId="29" borderId="0" applyNumberFormat="0" applyBorder="0" applyAlignment="0" applyProtection="0"/>
    <xf numFmtId="175" fontId="27" fillId="30" borderId="0" applyNumberFormat="0" applyBorder="0" applyAlignment="0" applyProtection="0"/>
    <xf numFmtId="175" fontId="27" fillId="31" borderId="0" applyNumberFormat="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0" borderId="0"/>
    <xf numFmtId="175" fontId="18" fillId="0" borderId="0"/>
    <xf numFmtId="175" fontId="16" fillId="26" borderId="7" applyNumberFormat="0" applyFont="0" applyAlignment="0" applyProtection="0"/>
    <xf numFmtId="175" fontId="36" fillId="28" borderId="8" applyNumberFormat="0" applyAlignment="0" applyProtection="0"/>
    <xf numFmtId="9" fontId="51" fillId="0" borderId="0" applyFont="0" applyFill="0" applyBorder="0" applyAlignment="0" applyProtection="0"/>
    <xf numFmtId="9" fontId="16" fillId="0" borderId="0" applyFont="0" applyFill="0" applyBorder="0" applyAlignment="0" applyProtection="0"/>
    <xf numFmtId="4" fontId="37" fillId="33" borderId="9" applyNumberFormat="0" applyProtection="0">
      <alignment vertical="center"/>
    </xf>
    <xf numFmtId="4" fontId="38" fillId="33" borderId="9" applyNumberFormat="0" applyProtection="0">
      <alignment vertical="center"/>
    </xf>
    <xf numFmtId="4" fontId="37" fillId="33" borderId="9" applyNumberFormat="0" applyProtection="0">
      <alignment horizontal="left" vertical="center" indent="1"/>
    </xf>
    <xf numFmtId="175" fontId="37" fillId="33" borderId="9" applyNumberFormat="0" applyProtection="0">
      <alignment horizontal="left" vertical="top" indent="1"/>
    </xf>
    <xf numFmtId="4" fontId="37" fillId="2" borderId="0" applyNumberFormat="0" applyProtection="0">
      <alignment horizontal="left" vertical="center"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20" fillId="9"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37" fillId="40" borderId="10" applyNumberFormat="0" applyProtection="0">
      <alignment horizontal="left" vertical="center" indent="1"/>
    </xf>
    <xf numFmtId="4" fontId="20" fillId="41" borderId="0" applyNumberFormat="0" applyProtection="0">
      <alignment horizontal="left" vertical="center" indent="1"/>
    </xf>
    <xf numFmtId="4" fontId="39" fillId="8" borderId="0" applyNumberFormat="0" applyProtection="0">
      <alignment horizontal="left" vertical="center" indent="1"/>
    </xf>
    <xf numFmtId="4" fontId="20" fillId="2" borderId="9" applyNumberFormat="0" applyProtection="0">
      <alignment horizontal="right" vertical="center"/>
    </xf>
    <xf numFmtId="4" fontId="18" fillId="41" borderId="0" applyNumberFormat="0" applyProtection="0">
      <alignment horizontal="left" vertical="center" indent="1"/>
    </xf>
    <xf numFmtId="4" fontId="18" fillId="2" borderId="0" applyNumberFormat="0" applyProtection="0">
      <alignment horizontal="left" vertical="center" indent="1"/>
    </xf>
    <xf numFmtId="175" fontId="16" fillId="8" borderId="9" applyNumberFormat="0" applyProtection="0">
      <alignment horizontal="left" vertical="center" indent="1"/>
    </xf>
    <xf numFmtId="175" fontId="16" fillId="8" borderId="9" applyNumberFormat="0" applyProtection="0">
      <alignment horizontal="left" vertical="top" indent="1"/>
    </xf>
    <xf numFmtId="175" fontId="16" fillId="2" borderId="9" applyNumberFormat="0" applyProtection="0">
      <alignment horizontal="left" vertical="center" indent="1"/>
    </xf>
    <xf numFmtId="175" fontId="16" fillId="2" borderId="9" applyNumberFormat="0" applyProtection="0">
      <alignment horizontal="left" vertical="top" indent="1"/>
    </xf>
    <xf numFmtId="175" fontId="16" fillId="6" borderId="9" applyNumberFormat="0" applyProtection="0">
      <alignment horizontal="left" vertical="center" indent="1"/>
    </xf>
    <xf numFmtId="175" fontId="16" fillId="6" borderId="9" applyNumberFormat="0" applyProtection="0">
      <alignment horizontal="left" vertical="top" indent="1"/>
    </xf>
    <xf numFmtId="175" fontId="16" fillId="41" borderId="9" applyNumberFormat="0" applyProtection="0">
      <alignment horizontal="left" vertical="center" indent="1"/>
    </xf>
    <xf numFmtId="175" fontId="16" fillId="41" borderId="9" applyNumberFormat="0" applyProtection="0">
      <alignment horizontal="left" vertical="top" indent="1"/>
    </xf>
    <xf numFmtId="175" fontId="16" fillId="5" borderId="11" applyNumberFormat="0">
      <protection locked="0"/>
    </xf>
    <xf numFmtId="4" fontId="20" fillId="4" borderId="9" applyNumberFormat="0" applyProtection="0">
      <alignment vertical="center"/>
    </xf>
    <xf numFmtId="4" fontId="40" fillId="4" borderId="9" applyNumberFormat="0" applyProtection="0">
      <alignment vertical="center"/>
    </xf>
    <xf numFmtId="4" fontId="20" fillId="4" borderId="9" applyNumberFormat="0" applyProtection="0">
      <alignment horizontal="left" vertical="center" indent="1"/>
    </xf>
    <xf numFmtId="175" fontId="20" fillId="4" borderId="9" applyNumberFormat="0" applyProtection="0">
      <alignment horizontal="left" vertical="top" indent="1"/>
    </xf>
    <xf numFmtId="4" fontId="20" fillId="41" borderId="9" applyNumberFormat="0" applyProtection="0">
      <alignment horizontal="right" vertical="center"/>
    </xf>
    <xf numFmtId="4" fontId="40" fillId="41" borderId="9" applyNumberFormat="0" applyProtection="0">
      <alignment horizontal="right" vertical="center"/>
    </xf>
    <xf numFmtId="4" fontId="20" fillId="2" borderId="9" applyNumberFormat="0" applyProtection="0">
      <alignment horizontal="left" vertical="center" indent="1"/>
    </xf>
    <xf numFmtId="175" fontId="20" fillId="2" borderId="9" applyNumberFormat="0" applyProtection="0">
      <alignment horizontal="left" vertical="top" indent="1"/>
    </xf>
    <xf numFmtId="4" fontId="41" fillId="42" borderId="0" applyNumberFormat="0" applyProtection="0">
      <alignment horizontal="left" vertical="center" indent="1"/>
    </xf>
    <xf numFmtId="4" fontId="42" fillId="41" borderId="9" applyNumberFormat="0" applyProtection="0">
      <alignment horizontal="right" vertical="center"/>
    </xf>
    <xf numFmtId="175" fontId="43" fillId="0" borderId="0" applyNumberFormat="0" applyFill="0" applyBorder="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44" fontId="16" fillId="0" borderId="0" applyFont="0" applyFill="0" applyBorder="0" applyAlignment="0" applyProtection="0"/>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18" fillId="41" borderId="0" applyNumberFormat="0" applyProtection="0">
      <alignment horizontal="left" vertical="center" indent="1"/>
    </xf>
    <xf numFmtId="4" fontId="18" fillId="2" borderId="9" applyNumberFormat="0" applyProtection="0">
      <alignment horizontal="right" vertical="center"/>
    </xf>
    <xf numFmtId="4" fontId="1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9" fontId="58" fillId="0" borderId="0" applyFont="0" applyFill="0" applyBorder="0" applyAlignment="0" applyProtection="0"/>
    <xf numFmtId="175" fontId="60" fillId="0" borderId="0"/>
    <xf numFmtId="175" fontId="15"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6" fillId="0" borderId="0"/>
    <xf numFmtId="175" fontId="14" fillId="0" borderId="0"/>
    <xf numFmtId="175" fontId="61"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4" fillId="0" borderId="0"/>
    <xf numFmtId="175" fontId="13"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3" fillId="0" borderId="0"/>
    <xf numFmtId="175" fontId="13" fillId="0" borderId="0"/>
    <xf numFmtId="175" fontId="16" fillId="0" borderId="0"/>
    <xf numFmtId="175" fontId="13" fillId="0" borderId="0"/>
    <xf numFmtId="175" fontId="12"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1" fillId="0" borderId="0"/>
    <xf numFmtId="175" fontId="10" fillId="0" borderId="0"/>
    <xf numFmtId="175" fontId="63"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6" fillId="0" borderId="0"/>
    <xf numFmtId="175" fontId="9" fillId="0" borderId="0"/>
    <xf numFmtId="0" fontId="8"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6"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7"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6" fillId="0" borderId="0"/>
    <xf numFmtId="175" fontId="75"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7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5" fillId="0" borderId="0"/>
    <xf numFmtId="175" fontId="16"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16" fillId="0" borderId="0"/>
    <xf numFmtId="0" fontId="4" fillId="0" borderId="0"/>
    <xf numFmtId="4" fontId="45" fillId="0" borderId="69" applyNumberFormat="0" applyProtection="0">
      <alignment horizontal="right" vertical="center"/>
    </xf>
    <xf numFmtId="4" fontId="45" fillId="51" borderId="69" applyNumberFormat="0" applyProtection="0">
      <alignment horizontal="left" vertical="center" indent="1"/>
    </xf>
    <xf numFmtId="43" fontId="4"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26" borderId="0" applyNumberFormat="0" applyBorder="0" applyAlignment="0" applyProtection="0"/>
    <xf numFmtId="0" fontId="23" fillId="18" borderId="0" applyNumberFormat="0" applyBorder="0" applyAlignment="0" applyProtection="0"/>
    <xf numFmtId="0" fontId="22" fillId="27" borderId="0" applyNumberFormat="0" applyBorder="0" applyAlignment="0" applyProtection="0"/>
    <xf numFmtId="0" fontId="105" fillId="76"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105" fillId="7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65" borderId="0" applyNumberFormat="0" applyBorder="0" applyAlignment="0" applyProtection="0"/>
    <xf numFmtId="0" fontId="104" fillId="0" borderId="82" applyNumberFormat="0" applyFill="0" applyAlignment="0" applyProtection="0"/>
    <xf numFmtId="0" fontId="103" fillId="0" borderId="0" applyNumberFormat="0" applyFill="0" applyBorder="0" applyAlignment="0" applyProtection="0"/>
    <xf numFmtId="0" fontId="99" fillId="57" borderId="77" applyNumberFormat="0" applyAlignment="0" applyProtection="0"/>
    <xf numFmtId="0" fontId="95" fillId="53" borderId="0" applyNumberFormat="0" applyBorder="0" applyAlignment="0" applyProtection="0"/>
    <xf numFmtId="0" fontId="37" fillId="33" borderId="9" applyNumberFormat="0" applyProtection="0">
      <alignment horizontal="left" vertical="top" indent="1"/>
    </xf>
    <xf numFmtId="0" fontId="94" fillId="0" borderId="0" applyNumberFormat="0" applyFill="0" applyBorder="0" applyAlignment="0" applyProtection="0"/>
    <xf numFmtId="0" fontId="94" fillId="0" borderId="76" applyNumberFormat="0" applyFill="0" applyAlignment="0" applyProtection="0"/>
    <xf numFmtId="0" fontId="93" fillId="0" borderId="75" applyNumberFormat="0" applyFill="0" applyAlignment="0" applyProtection="0"/>
    <xf numFmtId="0" fontId="92" fillId="0" borderId="74" applyNumberFormat="0" applyFill="0" applyAlignment="0" applyProtection="0"/>
    <xf numFmtId="43" fontId="16" fillId="0" borderId="0" applyFont="0" applyFill="0" applyBorder="0" applyAlignment="0" applyProtection="0"/>
    <xf numFmtId="0" fontId="105" fillId="64" borderId="0" applyNumberFormat="0" applyBorder="0" applyAlignment="0" applyProtection="0"/>
    <xf numFmtId="0" fontId="3" fillId="61" borderId="0" applyNumberFormat="0" applyBorder="0" applyAlignment="0" applyProtection="0"/>
    <xf numFmtId="0" fontId="16" fillId="8" borderId="9" applyNumberFormat="0" applyProtection="0">
      <alignment horizontal="left" vertical="center" indent="1"/>
    </xf>
    <xf numFmtId="0" fontId="16" fillId="8" borderId="9" applyNumberFormat="0" applyProtection="0">
      <alignment horizontal="left" vertical="top" indent="1"/>
    </xf>
    <xf numFmtId="0" fontId="16" fillId="2" borderId="9" applyNumberFormat="0" applyProtection="0">
      <alignment horizontal="left" vertical="center" indent="1"/>
    </xf>
    <xf numFmtId="0" fontId="16" fillId="2" borderId="9" applyNumberFormat="0" applyProtection="0">
      <alignment horizontal="left" vertical="top" indent="1"/>
    </xf>
    <xf numFmtId="0" fontId="16" fillId="6" borderId="9" applyNumberFormat="0" applyProtection="0">
      <alignment horizontal="left" vertical="center" indent="1"/>
    </xf>
    <xf numFmtId="0" fontId="16" fillId="6" borderId="9" applyNumberFormat="0" applyProtection="0">
      <alignment horizontal="left" vertical="top" indent="1"/>
    </xf>
    <xf numFmtId="0" fontId="16" fillId="41" borderId="9" applyNumberFormat="0" applyProtection="0">
      <alignment horizontal="left" vertical="center" indent="1"/>
    </xf>
    <xf numFmtId="0" fontId="16" fillId="41" borderId="9" applyNumberFormat="0" applyProtection="0">
      <alignment horizontal="left" vertical="top" indent="1"/>
    </xf>
    <xf numFmtId="0" fontId="16" fillId="5" borderId="11" applyNumberFormat="0">
      <protection locked="0"/>
    </xf>
    <xf numFmtId="0" fontId="3" fillId="61" borderId="0" applyNumberFormat="0" applyBorder="0" applyAlignment="0" applyProtection="0"/>
    <xf numFmtId="0" fontId="100" fillId="0" borderId="79" applyNumberFormat="0" applyFill="0" applyAlignment="0" applyProtection="0"/>
    <xf numFmtId="0" fontId="3" fillId="62" borderId="0" applyNumberFormat="0" applyBorder="0" applyAlignment="0" applyProtection="0"/>
    <xf numFmtId="0" fontId="18" fillId="4" borderId="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96" fillId="54" borderId="0" applyNumberFormat="0" applyBorder="0" applyAlignment="0" applyProtection="0"/>
    <xf numFmtId="0" fontId="18" fillId="2" borderId="9" applyNumberFormat="0" applyProtection="0">
      <alignment horizontal="left" vertical="top" indent="1"/>
    </xf>
    <xf numFmtId="0" fontId="105" fillId="64" borderId="0" applyNumberFormat="0" applyBorder="0" applyAlignment="0" applyProtection="0"/>
    <xf numFmtId="0" fontId="105" fillId="60" borderId="0" applyNumberFormat="0" applyBorder="0" applyAlignment="0" applyProtection="0"/>
    <xf numFmtId="0" fontId="43" fillId="0" borderId="0" applyNumberFormat="0" applyFill="0" applyBorder="0" applyAlignment="0" applyProtection="0"/>
    <xf numFmtId="0" fontId="105" fillId="68" borderId="0" applyNumberFormat="0" applyBorder="0" applyAlignment="0" applyProtection="0"/>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05" fillId="80"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3" fillId="86"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102" fillId="0" borderId="0" applyNumberFormat="0" applyFill="0" applyBorder="0" applyAlignment="0" applyProtection="0"/>
    <xf numFmtId="0" fontId="101" fillId="58" borderId="80" applyNumberFormat="0" applyAlignment="0" applyProtection="0"/>
    <xf numFmtId="0" fontId="23" fillId="7"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98" fillId="57" borderId="78" applyNumberFormat="0" applyAlignment="0" applyProtection="0"/>
    <xf numFmtId="0" fontId="97" fillId="56" borderId="77" applyNumberFormat="0" applyAlignment="0" applyProtection="0"/>
    <xf numFmtId="0" fontId="23" fillId="7" borderId="0" applyNumberFormat="0" applyBorder="0" applyAlignment="0" applyProtection="0"/>
    <xf numFmtId="0" fontId="23" fillId="86"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 fillId="87" borderId="0" applyNumberFormat="0" applyBorder="0" applyAlignment="0" applyProtection="0"/>
    <xf numFmtId="0" fontId="23" fillId="8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2" fillId="88" borderId="0" applyNumberFormat="0" applyBorder="0" applyAlignment="0" applyProtection="0"/>
    <xf numFmtId="0" fontId="22" fillId="3" borderId="0" applyNumberFormat="0" applyBorder="0" applyAlignment="0" applyProtection="0"/>
    <xf numFmtId="0" fontId="22" fillId="39" borderId="0" applyNumberFormat="0" applyBorder="0" applyAlignment="0" applyProtection="0"/>
    <xf numFmtId="0" fontId="22" fillId="89" borderId="0" applyNumberFormat="0" applyBorder="0" applyAlignment="0" applyProtection="0"/>
    <xf numFmtId="0" fontId="22" fillId="51" borderId="0" applyNumberFormat="0" applyBorder="0" applyAlignment="0" applyProtection="0"/>
    <xf numFmtId="0" fontId="22" fillId="36"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91" borderId="0" applyNumberFormat="0" applyBorder="0" applyAlignment="0" applyProtection="0"/>
    <xf numFmtId="0" fontId="22" fillId="1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94" borderId="0" applyNumberFormat="0" applyBorder="0" applyAlignment="0" applyProtection="0"/>
    <xf numFmtId="0" fontId="23" fillId="94"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2" fillId="96" borderId="0" applyNumberFormat="0" applyBorder="0" applyAlignment="0" applyProtection="0"/>
    <xf numFmtId="0" fontId="22"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98"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05" fillId="68" borderId="0" applyNumberFormat="0" applyBorder="0" applyAlignment="0" applyProtection="0"/>
    <xf numFmtId="0" fontId="22" fillId="91" borderId="0" applyNumberFormat="0" applyBorder="0" applyAlignment="0" applyProtection="0"/>
    <xf numFmtId="0" fontId="22" fillId="9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07" fillId="26" borderId="0" applyNumberFormat="0" applyBorder="0" applyAlignment="0" applyProtection="0"/>
    <xf numFmtId="0" fontId="96" fillId="54" borderId="0" applyNumberFormat="0" applyBorder="0" applyAlignment="0" applyProtection="0"/>
    <xf numFmtId="0" fontId="108" fillId="7" borderId="0" applyNumberFormat="0" applyBorder="0" applyAlignment="0" applyProtection="0"/>
    <xf numFmtId="0" fontId="109" fillId="101" borderId="69" applyNumberFormat="0" applyAlignment="0" applyProtection="0"/>
    <xf numFmtId="0" fontId="110" fillId="10" borderId="1" applyNumberFormat="0" applyAlignment="0" applyProtection="0"/>
    <xf numFmtId="0" fontId="26" fillId="98" borderId="2" applyNumberFormat="0" applyAlignment="0" applyProtection="0"/>
    <xf numFmtId="0" fontId="26" fillId="102" borderId="2" applyNumberFormat="0" applyAlignment="0" applyProtection="0"/>
    <xf numFmtId="41" fontId="1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05" fillId="6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6" fillId="0" borderId="0" applyFont="0" applyFill="0" applyBorder="0" applyAlignment="0" applyProtection="0"/>
    <xf numFmtId="44" fontId="111" fillId="0" borderId="0" applyFont="0" applyFill="0" applyBorder="0" applyAlignment="0" applyProtection="0"/>
    <xf numFmtId="44" fontId="16"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6"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6"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03" borderId="0" applyNumberFormat="0" applyBorder="0" applyAlignment="0" applyProtection="0"/>
    <xf numFmtId="0" fontId="27" fillId="104" borderId="0" applyNumberFormat="0" applyBorder="0" applyAlignment="0" applyProtection="0"/>
    <xf numFmtId="0" fontId="112" fillId="0" borderId="0" applyNumberFormat="0" applyFill="0" applyBorder="0" applyAlignment="0" applyProtection="0"/>
    <xf numFmtId="0" fontId="23" fillId="95" borderId="0" applyNumberFormat="0" applyBorder="0" applyAlignment="0" applyProtection="0"/>
    <xf numFmtId="0" fontId="29" fillId="85" borderId="0" applyNumberFormat="0" applyBorder="0" applyAlignment="0" applyProtection="0"/>
    <xf numFmtId="0" fontId="23" fillId="95" borderId="0" applyNumberFormat="0" applyBorder="0" applyAlignment="0" applyProtection="0"/>
    <xf numFmtId="0" fontId="30" fillId="0" borderId="3" applyNumberFormat="0" applyFill="0" applyAlignment="0" applyProtection="0"/>
    <xf numFmtId="0" fontId="113" fillId="0" borderId="84" applyNumberFormat="0" applyFill="0" applyAlignment="0" applyProtection="0"/>
    <xf numFmtId="0" fontId="31" fillId="0" borderId="85" applyNumberFormat="0" applyFill="0" applyAlignment="0" applyProtection="0"/>
    <xf numFmtId="0" fontId="114" fillId="0" borderId="4" applyNumberFormat="0" applyFill="0" applyAlignment="0" applyProtection="0"/>
    <xf numFmtId="0" fontId="32" fillId="0" borderId="86" applyNumberFormat="0" applyFill="0" applyAlignment="0" applyProtection="0"/>
    <xf numFmtId="0" fontId="115" fillId="0" borderId="87" applyNumberFormat="0" applyFill="0" applyAlignment="0" applyProtection="0"/>
    <xf numFmtId="0" fontId="32" fillId="0" borderId="0" applyNumberFormat="0" applyFill="0" applyBorder="0" applyAlignment="0" applyProtection="0"/>
    <xf numFmtId="0" fontId="115" fillId="0" borderId="0" applyNumberFormat="0" applyFill="0" applyBorder="0" applyAlignment="0" applyProtection="0"/>
    <xf numFmtId="0" fontId="33" fillId="27" borderId="69" applyNumberFormat="0" applyAlignment="0" applyProtection="0"/>
    <xf numFmtId="0" fontId="116" fillId="11" borderId="1" applyNumberFormat="0" applyAlignment="0" applyProtection="0"/>
    <xf numFmtId="0" fontId="29" fillId="0" borderId="88" applyNumberFormat="0" applyFill="0" applyAlignment="0" applyProtection="0"/>
    <xf numFmtId="0" fontId="117" fillId="0" borderId="89" applyNumberFormat="0" applyFill="0" applyAlignment="0" applyProtection="0"/>
    <xf numFmtId="0" fontId="29" fillId="27" borderId="0" applyNumberFormat="0" applyBorder="0" applyAlignment="0" applyProtection="0"/>
    <xf numFmtId="0" fontId="106" fillId="55" borderId="0" applyNumberFormat="0" applyBorder="0" applyAlignment="0" applyProtection="0"/>
    <xf numFmtId="0" fontId="35" fillId="33" borderId="0" applyNumberFormat="0" applyBorder="0" applyAlignment="0" applyProtection="0"/>
    <xf numFmtId="0" fontId="3" fillId="0" borderId="0"/>
    <xf numFmtId="0" fontId="3" fillId="0" borderId="0"/>
    <xf numFmtId="0" fontId="111" fillId="0" borderId="0"/>
    <xf numFmtId="0" fontId="111" fillId="0" borderId="0"/>
    <xf numFmtId="0" fontId="16" fillId="0" borderId="0"/>
    <xf numFmtId="0" fontId="111" fillId="0" borderId="0"/>
    <xf numFmtId="0" fontId="111" fillId="0" borderId="0"/>
    <xf numFmtId="0" fontId="111" fillId="0" borderId="0"/>
    <xf numFmtId="0" fontId="1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45" fillId="105" borderId="0"/>
    <xf numFmtId="0" fontId="23" fillId="0" borderId="0"/>
    <xf numFmtId="0" fontId="16" fillId="0" borderId="0"/>
    <xf numFmtId="0" fontId="16" fillId="0" borderId="0"/>
    <xf numFmtId="0" fontId="23" fillId="0" borderId="0"/>
    <xf numFmtId="0" fontId="23" fillId="0" borderId="0"/>
    <xf numFmtId="0" fontId="45" fillId="105"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1" fillId="0" borderId="0"/>
    <xf numFmtId="0" fontId="1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1" fillId="0" borderId="0"/>
    <xf numFmtId="0" fontId="3" fillId="59" borderId="81" applyNumberFormat="0" applyFont="0" applyAlignment="0" applyProtection="0"/>
    <xf numFmtId="0" fontId="18" fillId="4" borderId="7" applyNumberFormat="0" applyFont="0" applyAlignment="0" applyProtection="0"/>
    <xf numFmtId="0" fontId="23" fillId="59" borderId="81" applyNumberFormat="0" applyFont="0" applyAlignment="0" applyProtection="0"/>
    <xf numFmtId="0" fontId="45" fillId="26" borderId="69" applyNumberFormat="0" applyFont="0" applyAlignment="0" applyProtection="0"/>
    <xf numFmtId="0" fontId="23" fillId="59" borderId="81" applyNumberFormat="0" applyFont="0" applyAlignment="0" applyProtection="0"/>
    <xf numFmtId="0" fontId="23" fillId="59" borderId="81" applyNumberFormat="0" applyFont="0" applyAlignment="0" applyProtection="0"/>
    <xf numFmtId="0" fontId="3" fillId="59" borderId="81" applyNumberFormat="0" applyFont="0" applyAlignment="0" applyProtection="0"/>
    <xf numFmtId="0" fontId="36" fillId="101" borderId="8" applyNumberFormat="0" applyAlignment="0" applyProtection="0"/>
    <xf numFmtId="0" fontId="36" fillId="1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18" fillId="106" borderId="8" applyNumberFormat="0" applyProtection="0">
      <alignment vertical="center"/>
    </xf>
    <xf numFmtId="4" fontId="18" fillId="106" borderId="8" applyNumberFormat="0" applyProtection="0">
      <alignment vertical="center"/>
    </xf>
    <xf numFmtId="4" fontId="45" fillId="33" borderId="69" applyNumberFormat="0" applyProtection="0">
      <alignment vertical="center"/>
    </xf>
    <xf numFmtId="4" fontId="45" fillId="33" borderId="69" applyNumberFormat="0" applyProtection="0">
      <alignment vertical="center"/>
    </xf>
    <xf numFmtId="4" fontId="45" fillId="33" borderId="69" applyNumberFormat="0" applyProtection="0">
      <alignment vertical="center"/>
    </xf>
    <xf numFmtId="4" fontId="40" fillId="106" borderId="8" applyNumberFormat="0" applyProtection="0">
      <alignment vertical="center"/>
    </xf>
    <xf numFmtId="4" fontId="118" fillId="106" borderId="69" applyNumberFormat="0" applyProtection="0">
      <alignment vertical="center"/>
    </xf>
    <xf numFmtId="4" fontId="18" fillId="106" borderId="8" applyNumberFormat="0" applyProtection="0">
      <alignment horizontal="left" vertical="center" indent="1"/>
    </xf>
    <xf numFmtId="4" fontId="45" fillId="106" borderId="69" applyNumberFormat="0" applyProtection="0">
      <alignment horizontal="left" vertical="center" indent="1"/>
    </xf>
    <xf numFmtId="4" fontId="45" fillId="106" borderId="69" applyNumberFormat="0" applyProtection="0">
      <alignment horizontal="left" vertical="center" indent="1"/>
    </xf>
    <xf numFmtId="4" fontId="45" fillId="106" borderId="69" applyNumberFormat="0" applyProtection="0">
      <alignment horizontal="left" vertical="center" indent="1"/>
    </xf>
    <xf numFmtId="4" fontId="18" fillId="106" borderId="8" applyNumberFormat="0" applyProtection="0">
      <alignment horizontal="left" vertical="center" indent="1"/>
    </xf>
    <xf numFmtId="0" fontId="119" fillId="33" borderId="9" applyNumberFormat="0" applyProtection="0">
      <alignment horizontal="left" vertical="top" indent="1"/>
    </xf>
    <xf numFmtId="0" fontId="16" fillId="107" borderId="8" applyNumberFormat="0" applyProtection="0">
      <alignment horizontal="left" vertical="center" indent="1"/>
    </xf>
    <xf numFmtId="4" fontId="45" fillId="51" borderId="69" applyNumberFormat="0" applyProtection="0">
      <alignment horizontal="left" vertical="center" indent="1"/>
    </xf>
    <xf numFmtId="4" fontId="45" fillId="51" borderId="69" applyNumberFormat="0" applyProtection="0">
      <alignment horizontal="left" vertical="center" indent="1"/>
    </xf>
    <xf numFmtId="4" fontId="45" fillId="51" borderId="69" applyNumberFormat="0" applyProtection="0">
      <alignment horizontal="left" vertical="center" indent="1"/>
    </xf>
    <xf numFmtId="4" fontId="45" fillId="51" borderId="69" applyNumberFormat="0" applyProtection="0">
      <alignment horizontal="left" vertical="center" indent="1"/>
    </xf>
    <xf numFmtId="4" fontId="18" fillId="108" borderId="8" applyNumberFormat="0" applyProtection="0">
      <alignment horizontal="right" vertical="center"/>
    </xf>
    <xf numFmtId="4" fontId="45" fillId="7" borderId="69" applyNumberFormat="0" applyProtection="0">
      <alignment horizontal="right" vertical="center"/>
    </xf>
    <xf numFmtId="4" fontId="45" fillId="7" borderId="69" applyNumberFormat="0" applyProtection="0">
      <alignment horizontal="right" vertical="center"/>
    </xf>
    <xf numFmtId="4" fontId="45" fillId="7" borderId="69" applyNumberFormat="0" applyProtection="0">
      <alignment horizontal="right" vertical="center"/>
    </xf>
    <xf numFmtId="4" fontId="18" fillId="109" borderId="8" applyNumberFormat="0" applyProtection="0">
      <alignment horizontal="right" vertical="center"/>
    </xf>
    <xf numFmtId="4" fontId="45" fillId="110" borderId="69" applyNumberFormat="0" applyProtection="0">
      <alignment horizontal="right" vertical="center"/>
    </xf>
    <xf numFmtId="4" fontId="45" fillId="110" borderId="69" applyNumberFormat="0" applyProtection="0">
      <alignment horizontal="right" vertical="center"/>
    </xf>
    <xf numFmtId="4" fontId="45" fillId="110" borderId="69" applyNumberFormat="0" applyProtection="0">
      <alignment horizontal="right" vertical="center"/>
    </xf>
    <xf numFmtId="4" fontId="18" fillId="111" borderId="8" applyNumberFormat="0" applyProtection="0">
      <alignment horizontal="right" vertical="center"/>
    </xf>
    <xf numFmtId="4" fontId="45" fillId="34" borderId="83" applyNumberFormat="0" applyProtection="0">
      <alignment horizontal="right" vertical="center"/>
    </xf>
    <xf numFmtId="4" fontId="45" fillId="34" borderId="83" applyNumberFormat="0" applyProtection="0">
      <alignment horizontal="right" vertical="center"/>
    </xf>
    <xf numFmtId="4" fontId="45" fillId="34" borderId="83" applyNumberFormat="0" applyProtection="0">
      <alignment horizontal="right" vertical="center"/>
    </xf>
    <xf numFmtId="4" fontId="18" fillId="112" borderId="8"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18" fillId="113" borderId="8" applyNumberFormat="0" applyProtection="0">
      <alignment horizontal="right" vertical="center"/>
    </xf>
    <xf numFmtId="4" fontId="45" fillId="36" borderId="69" applyNumberFormat="0" applyProtection="0">
      <alignment horizontal="right" vertical="center"/>
    </xf>
    <xf numFmtId="4" fontId="45" fillId="36" borderId="69" applyNumberFormat="0" applyProtection="0">
      <alignment horizontal="right" vertical="center"/>
    </xf>
    <xf numFmtId="4" fontId="45" fillId="36" borderId="69" applyNumberFormat="0" applyProtection="0">
      <alignment horizontal="right" vertical="center"/>
    </xf>
    <xf numFmtId="4" fontId="18" fillId="114" borderId="8" applyNumberFormat="0" applyProtection="0">
      <alignment horizontal="right" vertical="center"/>
    </xf>
    <xf numFmtId="4" fontId="45" fillId="37" borderId="69" applyNumberFormat="0" applyProtection="0">
      <alignment horizontal="right" vertical="center"/>
    </xf>
    <xf numFmtId="4" fontId="45" fillId="37" borderId="69" applyNumberFormat="0" applyProtection="0">
      <alignment horizontal="right" vertical="center"/>
    </xf>
    <xf numFmtId="4" fontId="45" fillId="37" borderId="69" applyNumberFormat="0" applyProtection="0">
      <alignment horizontal="right" vertical="center"/>
    </xf>
    <xf numFmtId="4" fontId="18" fillId="115" borderId="8" applyNumberFormat="0" applyProtection="0">
      <alignment horizontal="right" vertical="center"/>
    </xf>
    <xf numFmtId="4" fontId="45" fillId="9" borderId="69" applyNumberFormat="0" applyProtection="0">
      <alignment horizontal="right" vertical="center"/>
    </xf>
    <xf numFmtId="4" fontId="45" fillId="9" borderId="69" applyNumberFormat="0" applyProtection="0">
      <alignment horizontal="right" vertical="center"/>
    </xf>
    <xf numFmtId="4" fontId="45" fillId="9" borderId="69" applyNumberFormat="0" applyProtection="0">
      <alignment horizontal="right" vertical="center"/>
    </xf>
    <xf numFmtId="4" fontId="18" fillId="116" borderId="8" applyNumberFormat="0" applyProtection="0">
      <alignment horizontal="right" vertical="center"/>
    </xf>
    <xf numFmtId="4" fontId="45" fillId="38" borderId="69" applyNumberFormat="0" applyProtection="0">
      <alignment horizontal="right" vertical="center"/>
    </xf>
    <xf numFmtId="4" fontId="45" fillId="38" borderId="69" applyNumberFormat="0" applyProtection="0">
      <alignment horizontal="right" vertical="center"/>
    </xf>
    <xf numFmtId="4" fontId="45" fillId="38" borderId="69" applyNumberFormat="0" applyProtection="0">
      <alignment horizontal="right" vertical="center"/>
    </xf>
    <xf numFmtId="4" fontId="18" fillId="117" borderId="8" applyNumberFormat="0" applyProtection="0">
      <alignment horizontal="right" vertical="center"/>
    </xf>
    <xf numFmtId="4" fontId="45" fillId="39" borderId="69" applyNumberFormat="0" applyProtection="0">
      <alignment horizontal="right" vertical="center"/>
    </xf>
    <xf numFmtId="4" fontId="45" fillId="39" borderId="69" applyNumberFormat="0" applyProtection="0">
      <alignment horizontal="right" vertical="center"/>
    </xf>
    <xf numFmtId="4" fontId="45" fillId="39" borderId="69" applyNumberFormat="0" applyProtection="0">
      <alignment horizontal="right" vertical="center"/>
    </xf>
    <xf numFmtId="4" fontId="37" fillId="118" borderId="8" applyNumberFormat="0" applyProtection="0">
      <alignment horizontal="left" vertical="center" indent="1"/>
    </xf>
    <xf numFmtId="4" fontId="45" fillId="40" borderId="83" applyNumberFormat="0" applyProtection="0">
      <alignment horizontal="left" vertical="center" indent="1"/>
    </xf>
    <xf numFmtId="4" fontId="45" fillId="40" borderId="83" applyNumberFormat="0" applyProtection="0">
      <alignment horizontal="left" vertical="center" indent="1"/>
    </xf>
    <xf numFmtId="4" fontId="45" fillId="40" borderId="83" applyNumberFormat="0" applyProtection="0">
      <alignment horizontal="left" vertical="center" indent="1"/>
    </xf>
    <xf numFmtId="4" fontId="18" fillId="119" borderId="90" applyNumberFormat="0" applyProtection="0">
      <alignment horizontal="left" vertical="center" indent="1"/>
    </xf>
    <xf numFmtId="4" fontId="16" fillId="8" borderId="83" applyNumberFormat="0" applyProtection="0">
      <alignment horizontal="left" vertical="center" indent="1"/>
    </xf>
    <xf numFmtId="4" fontId="39" fillId="120" borderId="0" applyNumberFormat="0" applyProtection="0">
      <alignment horizontal="left" vertical="center" indent="1"/>
    </xf>
    <xf numFmtId="4" fontId="16" fillId="8" borderId="83" applyNumberFormat="0" applyProtection="0">
      <alignment horizontal="left" vertical="center" indent="1"/>
    </xf>
    <xf numFmtId="0" fontId="16" fillId="107" borderId="8" applyNumberFormat="0" applyProtection="0">
      <alignment horizontal="left" vertical="center" indent="1"/>
    </xf>
    <xf numFmtId="4" fontId="45" fillId="2" borderId="69" applyNumberFormat="0" applyProtection="0">
      <alignment horizontal="right" vertical="center"/>
    </xf>
    <xf numFmtId="4" fontId="45" fillId="2" borderId="69" applyNumberFormat="0" applyProtection="0">
      <alignment horizontal="right" vertical="center"/>
    </xf>
    <xf numFmtId="4" fontId="45" fillId="2" borderId="69" applyNumberFormat="0" applyProtection="0">
      <alignment horizontal="right" vertical="center"/>
    </xf>
    <xf numFmtId="4" fontId="18" fillId="119" borderId="8" applyNumberFormat="0" applyProtection="0">
      <alignment horizontal="left" vertical="center" indent="1"/>
    </xf>
    <xf numFmtId="4" fontId="45" fillId="41" borderId="83" applyNumberFormat="0" applyProtection="0">
      <alignment horizontal="left" vertical="center" indent="1"/>
    </xf>
    <xf numFmtId="4" fontId="45" fillId="41" borderId="83" applyNumberFormat="0" applyProtection="0">
      <alignment horizontal="left" vertical="center" indent="1"/>
    </xf>
    <xf numFmtId="4" fontId="45" fillId="41" borderId="83" applyNumberFormat="0" applyProtection="0">
      <alignment horizontal="left" vertical="center" indent="1"/>
    </xf>
    <xf numFmtId="4" fontId="18" fillId="46" borderId="8" applyNumberFormat="0" applyProtection="0">
      <alignment horizontal="left" vertical="center" indent="1"/>
    </xf>
    <xf numFmtId="4" fontId="45" fillId="2" borderId="83" applyNumberFormat="0" applyProtection="0">
      <alignment horizontal="left" vertical="center" indent="1"/>
    </xf>
    <xf numFmtId="4" fontId="45" fillId="2" borderId="83" applyNumberFormat="0" applyProtection="0">
      <alignment horizontal="left" vertical="center" indent="1"/>
    </xf>
    <xf numFmtId="4" fontId="45" fillId="2" borderId="83" applyNumberFormat="0" applyProtection="0">
      <alignment horizontal="left" vertical="center" indent="1"/>
    </xf>
    <xf numFmtId="0" fontId="16" fillId="46" borderId="8" applyNumberFormat="0" applyProtection="0">
      <alignment horizontal="left" vertical="center" indent="1"/>
    </xf>
    <xf numFmtId="0" fontId="45" fillId="10" borderId="69" applyNumberFormat="0" applyProtection="0">
      <alignment horizontal="left" vertical="center" indent="1"/>
    </xf>
    <xf numFmtId="0" fontId="45" fillId="10" borderId="69" applyNumberFormat="0" applyProtection="0">
      <alignment horizontal="left" vertical="center" indent="1"/>
    </xf>
    <xf numFmtId="0" fontId="45" fillId="10" borderId="69" applyNumberFormat="0" applyProtection="0">
      <alignment horizontal="left" vertical="center" indent="1"/>
    </xf>
    <xf numFmtId="0" fontId="16" fillId="46" borderId="8" applyNumberFormat="0" applyProtection="0">
      <alignment horizontal="left" vertical="center" indent="1"/>
    </xf>
    <xf numFmtId="0" fontId="45" fillId="8" borderId="9" applyNumberFormat="0" applyProtection="0">
      <alignment horizontal="left" vertical="top" indent="1"/>
    </xf>
    <xf numFmtId="0" fontId="16" fillId="45" borderId="8" applyNumberFormat="0" applyProtection="0">
      <alignment horizontal="left" vertical="center" indent="1"/>
    </xf>
    <xf numFmtId="0" fontId="45" fillId="121" borderId="69" applyNumberFormat="0" applyProtection="0">
      <alignment horizontal="left" vertical="center" indent="1"/>
    </xf>
    <xf numFmtId="0" fontId="45" fillId="121" borderId="69" applyNumberFormat="0" applyProtection="0">
      <alignment horizontal="left" vertical="center" indent="1"/>
    </xf>
    <xf numFmtId="0" fontId="45" fillId="121" borderId="69" applyNumberFormat="0" applyProtection="0">
      <alignment horizontal="left" vertical="center" indent="1"/>
    </xf>
    <xf numFmtId="0" fontId="16" fillId="45" borderId="8" applyNumberFormat="0" applyProtection="0">
      <alignment horizontal="left" vertical="center" indent="1"/>
    </xf>
    <xf numFmtId="0" fontId="45" fillId="2" borderId="9" applyNumberFormat="0" applyProtection="0">
      <alignment horizontal="left" vertical="top" indent="1"/>
    </xf>
    <xf numFmtId="0" fontId="16" fillId="122" borderId="8" applyNumberFormat="0" applyProtection="0">
      <alignment horizontal="left" vertical="center" indent="1"/>
    </xf>
    <xf numFmtId="0" fontId="45" fillId="6" borderId="69" applyNumberFormat="0" applyProtection="0">
      <alignment horizontal="left" vertical="center" indent="1"/>
    </xf>
    <xf numFmtId="0" fontId="45" fillId="6" borderId="69" applyNumberFormat="0" applyProtection="0">
      <alignment horizontal="left" vertical="center" indent="1"/>
    </xf>
    <xf numFmtId="0" fontId="45" fillId="6" borderId="69" applyNumberFormat="0" applyProtection="0">
      <alignment horizontal="left" vertical="center" indent="1"/>
    </xf>
    <xf numFmtId="0" fontId="16" fillId="122" borderId="8" applyNumberFormat="0" applyProtection="0">
      <alignment horizontal="left" vertical="center" indent="1"/>
    </xf>
    <xf numFmtId="0" fontId="45" fillId="6" borderId="9" applyNumberFormat="0" applyProtection="0">
      <alignment horizontal="left" vertical="top" indent="1"/>
    </xf>
    <xf numFmtId="0" fontId="16" fillId="107" borderId="8" applyNumberFormat="0" applyProtection="0">
      <alignment horizontal="left" vertical="center" indent="1"/>
    </xf>
    <xf numFmtId="0" fontId="45" fillId="41" borderId="69" applyNumberFormat="0" applyProtection="0">
      <alignment horizontal="left" vertical="center" indent="1"/>
    </xf>
    <xf numFmtId="0" fontId="45" fillId="41" borderId="69" applyNumberFormat="0" applyProtection="0">
      <alignment horizontal="left" vertical="center" indent="1"/>
    </xf>
    <xf numFmtId="0" fontId="45" fillId="41" borderId="69" applyNumberFormat="0" applyProtection="0">
      <alignment horizontal="left" vertical="center" indent="1"/>
    </xf>
    <xf numFmtId="0" fontId="16" fillId="107" borderId="8" applyNumberFormat="0" applyProtection="0">
      <alignment horizontal="left" vertical="center" indent="1"/>
    </xf>
    <xf numFmtId="0" fontId="45" fillId="41" borderId="9" applyNumberFormat="0" applyProtection="0">
      <alignment horizontal="left" vertical="top" indent="1"/>
    </xf>
    <xf numFmtId="0" fontId="3" fillId="0" borderId="0"/>
    <xf numFmtId="0" fontId="45" fillId="5" borderId="91"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0" fillId="8" borderId="92" applyBorder="0"/>
    <xf numFmtId="4" fontId="18" fillId="123" borderId="8" applyNumberFormat="0" applyProtection="0">
      <alignment vertical="center"/>
    </xf>
    <xf numFmtId="4" fontId="121" fillId="4" borderId="9" applyNumberFormat="0" applyProtection="0">
      <alignment vertical="center"/>
    </xf>
    <xf numFmtId="4" fontId="40" fillId="123" borderId="8" applyNumberFormat="0" applyProtection="0">
      <alignment vertical="center"/>
    </xf>
    <xf numFmtId="4" fontId="118" fillId="123" borderId="11" applyNumberFormat="0" applyProtection="0">
      <alignment vertical="center"/>
    </xf>
    <xf numFmtId="4" fontId="18" fillId="123" borderId="8" applyNumberFormat="0" applyProtection="0">
      <alignment horizontal="left" vertical="center" indent="1"/>
    </xf>
    <xf numFmtId="4" fontId="121" fillId="10" borderId="9" applyNumberFormat="0" applyProtection="0">
      <alignment horizontal="left" vertical="center" indent="1"/>
    </xf>
    <xf numFmtId="4" fontId="18" fillId="123" borderId="8" applyNumberFormat="0" applyProtection="0">
      <alignment horizontal="left" vertical="center" indent="1"/>
    </xf>
    <xf numFmtId="0" fontId="121" fillId="4" borderId="9" applyNumberFormat="0" applyProtection="0">
      <alignment horizontal="left" vertical="top" indent="1"/>
    </xf>
    <xf numFmtId="4" fontId="18" fillId="119" borderId="8" applyNumberFormat="0" applyProtection="0">
      <alignment horizontal="right" vertical="center"/>
    </xf>
    <xf numFmtId="4" fontId="18" fillId="119" borderId="8"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0" fillId="119" borderId="8" applyNumberFormat="0" applyProtection="0">
      <alignment horizontal="right" vertical="center"/>
    </xf>
    <xf numFmtId="4" fontId="118" fillId="43" borderId="69" applyNumberFormat="0" applyProtection="0">
      <alignment horizontal="right" vertical="center"/>
    </xf>
    <xf numFmtId="0" fontId="16" fillId="107" borderId="8" applyNumberFormat="0" applyProtection="0">
      <alignment horizontal="left" vertical="center" indent="1"/>
    </xf>
    <xf numFmtId="4" fontId="45" fillId="51" borderId="69" applyNumberFormat="0" applyProtection="0">
      <alignment horizontal="left" vertical="center" indent="1"/>
    </xf>
    <xf numFmtId="4" fontId="45" fillId="51" borderId="69" applyNumberFormat="0" applyProtection="0">
      <alignment horizontal="left" vertical="center" indent="1"/>
    </xf>
    <xf numFmtId="4" fontId="45" fillId="51" borderId="69" applyNumberFormat="0" applyProtection="0">
      <alignment horizontal="left" vertical="center" indent="1"/>
    </xf>
    <xf numFmtId="4" fontId="45" fillId="51" borderId="69" applyNumberFormat="0" applyProtection="0">
      <alignment horizontal="left" vertical="center" indent="1"/>
    </xf>
    <xf numFmtId="0" fontId="16" fillId="107" borderId="8" applyNumberFormat="0" applyProtection="0">
      <alignment horizontal="left" vertical="center" indent="1"/>
    </xf>
    <xf numFmtId="0" fontId="121" fillId="2" borderId="9" applyNumberFormat="0" applyProtection="0">
      <alignment horizontal="left" vertical="top" indent="1"/>
    </xf>
    <xf numFmtId="0" fontId="122" fillId="0" borderId="0"/>
    <xf numFmtId="4" fontId="123" fillId="42" borderId="83" applyNumberFormat="0" applyProtection="0">
      <alignment horizontal="left" vertical="center" indent="1"/>
    </xf>
    <xf numFmtId="0" fontId="45" fillId="124" borderId="11"/>
    <xf numFmtId="0" fontId="45" fillId="124" borderId="11"/>
    <xf numFmtId="0" fontId="45" fillId="124" borderId="11"/>
    <xf numFmtId="4" fontId="42" fillId="119" borderId="8" applyNumberFormat="0" applyProtection="0">
      <alignment horizontal="right" vertical="center"/>
    </xf>
    <xf numFmtId="4" fontId="124" fillId="5" borderId="69" applyNumberFormat="0" applyProtection="0">
      <alignment horizontal="right" vertical="center"/>
    </xf>
    <xf numFmtId="0" fontId="125" fillId="0" borderId="0" applyNumberFormat="0" applyFill="0" applyBorder="0" applyAlignment="0" applyProtection="0"/>
    <xf numFmtId="0" fontId="27" fillId="0" borderId="12" applyNumberFormat="0" applyFill="0" applyAlignment="0" applyProtection="0"/>
    <xf numFmtId="0" fontId="27" fillId="0" borderId="93" applyNumberFormat="0" applyFill="0" applyAlignment="0" applyProtection="0"/>
    <xf numFmtId="0" fontId="126" fillId="0" borderId="0" applyNumberFormat="0" applyFill="0" applyBorder="0" applyAlignment="0" applyProtection="0"/>
    <xf numFmtId="0" fontId="44" fillId="0" borderId="0" applyNumberFormat="0" applyFill="0" applyBorder="0" applyAlignment="0" applyProtection="0"/>
    <xf numFmtId="0" fontId="127" fillId="0" borderId="0" applyNumberFormat="0" applyFill="0" applyBorder="0" applyAlignment="0" applyProtection="0"/>
    <xf numFmtId="0" fontId="106" fillId="55"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105" fillId="71" borderId="0" applyNumberFormat="0" applyBorder="0" applyAlignment="0" applyProtection="0"/>
    <xf numFmtId="0" fontId="105" fillId="75" borderId="0" applyNumberFormat="0" applyBorder="0" applyAlignment="0" applyProtection="0"/>
    <xf numFmtId="0" fontId="105" fillId="79" borderId="0" applyNumberFormat="0" applyBorder="0" applyAlignment="0" applyProtection="0"/>
    <xf numFmtId="0" fontId="105" fillId="83"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59" borderId="8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0" borderId="0"/>
    <xf numFmtId="9" fontId="3" fillId="0" borderId="0" applyFont="0" applyFill="0" applyBorder="0" applyAlignment="0" applyProtection="0"/>
    <xf numFmtId="0" fontId="23" fillId="84" borderId="0" applyNumberFormat="0" applyBorder="0" applyAlignment="0" applyProtection="0"/>
    <xf numFmtId="0" fontId="23" fillId="7"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11" borderId="0" applyNumberFormat="0" applyBorder="0" applyAlignment="0" applyProtection="0"/>
    <xf numFmtId="0" fontId="16" fillId="0" borderId="0"/>
    <xf numFmtId="0" fontId="23" fillId="6"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6" borderId="0" applyNumberFormat="0" applyBorder="0" applyAlignment="0" applyProtection="0"/>
    <xf numFmtId="0" fontId="23" fillId="6" borderId="0" applyNumberFormat="0" applyBorder="0" applyAlignment="0" applyProtection="0"/>
    <xf numFmtId="0" fontId="23" fillId="35" borderId="0" applyNumberFormat="0" applyBorder="0" applyAlignment="0" applyProtection="0"/>
    <xf numFmtId="0" fontId="3" fillId="0" borderId="0"/>
    <xf numFmtId="0" fontId="16"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11" fillId="0" borderId="0"/>
    <xf numFmtId="0" fontId="18" fillId="4" borderId="7" applyNumberFormat="0" applyFont="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3" fillId="0" borderId="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81"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59" borderId="8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81" applyNumberFormat="0" applyFont="0" applyAlignment="0" applyProtection="0"/>
    <xf numFmtId="0" fontId="16" fillId="0" borderId="0"/>
    <xf numFmtId="43" fontId="3" fillId="0" borderId="0" applyFont="0" applyFill="0" applyBorder="0" applyAlignment="0" applyProtection="0"/>
    <xf numFmtId="4" fontId="45" fillId="0" borderId="69" applyNumberFormat="0" applyProtection="0">
      <alignment horizontal="right" vertical="center"/>
    </xf>
    <xf numFmtId="4" fontId="18" fillId="123" borderId="8" applyNumberFormat="0" applyProtection="0">
      <alignment vertical="center"/>
    </xf>
    <xf numFmtId="4" fontId="45" fillId="34" borderId="83" applyNumberFormat="0" applyProtection="0">
      <alignment horizontal="right" vertical="center"/>
    </xf>
    <xf numFmtId="4" fontId="45" fillId="40" borderId="83" applyNumberFormat="0" applyProtection="0">
      <alignment horizontal="left" vertical="center" indent="1"/>
    </xf>
    <xf numFmtId="4" fontId="45" fillId="37" borderId="69" applyNumberFormat="0" applyProtection="0">
      <alignment horizontal="right" vertical="center"/>
    </xf>
    <xf numFmtId="4" fontId="40" fillId="106" borderId="8" applyNumberFormat="0" applyProtection="0">
      <alignment vertical="center"/>
    </xf>
    <xf numFmtId="0" fontId="16" fillId="107" borderId="8" applyNumberFormat="0" applyProtection="0">
      <alignment horizontal="left" vertical="center" indent="1"/>
    </xf>
    <xf numFmtId="4" fontId="45" fillId="37" borderId="69" applyNumberFormat="0" applyProtection="0">
      <alignment horizontal="right" vertical="center"/>
    </xf>
    <xf numFmtId="4" fontId="45" fillId="0" borderId="69" applyNumberFormat="0" applyProtection="0">
      <alignment horizontal="right" vertical="center"/>
    </xf>
    <xf numFmtId="0" fontId="45" fillId="41" borderId="69" applyNumberFormat="0" applyProtection="0">
      <alignment horizontal="left" vertical="center" indent="1"/>
    </xf>
    <xf numFmtId="0" fontId="16" fillId="46" borderId="8" applyNumberFormat="0" applyProtection="0">
      <alignment horizontal="left" vertical="center" indent="1"/>
    </xf>
    <xf numFmtId="4" fontId="18" fillId="106" borderId="8" applyNumberFormat="0" applyProtection="0">
      <alignment horizontal="left" vertical="center" indent="1"/>
    </xf>
    <xf numFmtId="4" fontId="18" fillId="119" borderId="90" applyNumberFormat="0" applyProtection="0">
      <alignment horizontal="left" vertical="center" indent="1"/>
    </xf>
    <xf numFmtId="0" fontId="45" fillId="10" borderId="69" applyNumberFormat="0" applyProtection="0">
      <alignment horizontal="left" vertical="center" indent="1"/>
    </xf>
    <xf numFmtId="4" fontId="45" fillId="35" borderId="69" applyNumberFormat="0" applyProtection="0">
      <alignment horizontal="right" vertical="center"/>
    </xf>
    <xf numFmtId="0" fontId="119" fillId="33" borderId="9" applyNumberFormat="0" applyProtection="0">
      <alignment horizontal="left" vertical="top" indent="1"/>
    </xf>
    <xf numFmtId="0" fontId="120" fillId="8" borderId="92" applyBorder="0"/>
    <xf numFmtId="0" fontId="45" fillId="121" borderId="69" applyNumberFormat="0" applyProtection="0">
      <alignment horizontal="left" vertical="center" indent="1"/>
    </xf>
    <xf numFmtId="0" fontId="45" fillId="41" borderId="9" applyNumberFormat="0" applyProtection="0">
      <alignment horizontal="left" vertical="top" indent="1"/>
    </xf>
    <xf numFmtId="4" fontId="45" fillId="39" borderId="69" applyNumberFormat="0" applyProtection="0">
      <alignment horizontal="right" vertical="center"/>
    </xf>
    <xf numFmtId="4" fontId="45" fillId="35" borderId="69" applyNumberFormat="0" applyProtection="0">
      <alignment horizontal="right" vertical="center"/>
    </xf>
    <xf numFmtId="0" fontId="45" fillId="10" borderId="69" applyNumberFormat="0" applyProtection="0">
      <alignment horizontal="left" vertical="center" indent="1"/>
    </xf>
    <xf numFmtId="4" fontId="18" fillId="113" borderId="8" applyNumberFormat="0" applyProtection="0">
      <alignment horizontal="right" vertical="center"/>
    </xf>
    <xf numFmtId="0" fontId="45" fillId="10" borderId="69" applyNumberFormat="0" applyProtection="0">
      <alignment horizontal="left" vertical="center" indent="1"/>
    </xf>
    <xf numFmtId="4" fontId="124" fillId="5" borderId="69" applyNumberFormat="0" applyProtection="0">
      <alignment horizontal="right" vertical="center"/>
    </xf>
    <xf numFmtId="4" fontId="18" fillId="117" borderId="8" applyNumberFormat="0" applyProtection="0">
      <alignment horizontal="right" vertical="center"/>
    </xf>
    <xf numFmtId="4" fontId="45" fillId="33" borderId="69" applyNumberFormat="0" applyProtection="0">
      <alignment vertical="center"/>
    </xf>
    <xf numFmtId="4" fontId="45" fillId="37" borderId="69" applyNumberFormat="0" applyProtection="0">
      <alignment horizontal="right" vertical="center"/>
    </xf>
    <xf numFmtId="0" fontId="45" fillId="121" borderId="69" applyNumberFormat="0" applyProtection="0">
      <alignment horizontal="left" vertical="center" indent="1"/>
    </xf>
    <xf numFmtId="4" fontId="18" fillId="46" borderId="8" applyNumberFormat="0" applyProtection="0">
      <alignment horizontal="left" vertical="center" indent="1"/>
    </xf>
    <xf numFmtId="4" fontId="45" fillId="37" borderId="69" applyNumberFormat="0" applyProtection="0">
      <alignment horizontal="right" vertical="center"/>
    </xf>
    <xf numFmtId="4" fontId="37" fillId="118" borderId="8" applyNumberFormat="0" applyProtection="0">
      <alignment horizontal="left" vertical="center" indent="1"/>
    </xf>
    <xf numFmtId="4" fontId="45" fillId="9" borderId="69" applyNumberFormat="0" applyProtection="0">
      <alignment horizontal="right" vertical="center"/>
    </xf>
    <xf numFmtId="0" fontId="45" fillId="6" borderId="69" applyNumberFormat="0" applyProtection="0">
      <alignment horizontal="left" vertical="center" indent="1"/>
    </xf>
    <xf numFmtId="0" fontId="121" fillId="4" borderId="9" applyNumberFormat="0" applyProtection="0">
      <alignment horizontal="left" vertical="top" indent="1"/>
    </xf>
    <xf numFmtId="4" fontId="45" fillId="41" borderId="83" applyNumberFormat="0" applyProtection="0">
      <alignment horizontal="left" vertical="center" indent="1"/>
    </xf>
    <xf numFmtId="0" fontId="45" fillId="124" borderId="94"/>
    <xf numFmtId="4" fontId="45" fillId="51" borderId="69" applyNumberFormat="0" applyProtection="0">
      <alignment horizontal="left" vertical="center" indent="1"/>
    </xf>
    <xf numFmtId="0" fontId="36" fillId="10" borderId="8" applyNumberFormat="0" applyAlignment="0" applyProtection="0"/>
    <xf numFmtId="0" fontId="18" fillId="4" borderId="7" applyNumberFormat="0" applyFont="0" applyAlignment="0" applyProtection="0"/>
    <xf numFmtId="4" fontId="18" fillId="112" borderId="8" applyNumberFormat="0" applyProtection="0">
      <alignment horizontal="right" vertical="center"/>
    </xf>
    <xf numFmtId="0" fontId="16" fillId="45" borderId="8" applyNumberFormat="0" applyProtection="0">
      <alignment horizontal="left" vertical="center" indent="1"/>
    </xf>
    <xf numFmtId="0" fontId="16" fillId="46" borderId="8" applyNumberFormat="0" applyProtection="0">
      <alignment horizontal="left" vertical="center" indent="1"/>
    </xf>
    <xf numFmtId="4" fontId="45" fillId="38" borderId="69" applyNumberFormat="0" applyProtection="0">
      <alignment horizontal="right" vertical="center"/>
    </xf>
    <xf numFmtId="4" fontId="18" fillId="108" borderId="8" applyNumberFormat="0" applyProtection="0">
      <alignment horizontal="right" vertical="center"/>
    </xf>
    <xf numFmtId="4" fontId="45" fillId="51" borderId="69" applyNumberFormat="0" applyProtection="0">
      <alignment horizontal="left" vertical="center" indent="1"/>
    </xf>
    <xf numFmtId="0" fontId="45" fillId="41" borderId="69" applyNumberFormat="0" applyProtection="0">
      <alignment horizontal="left" vertical="center" indent="1"/>
    </xf>
    <xf numFmtId="4" fontId="45" fillId="2" borderId="69"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0" fontId="45" fillId="6" borderId="69" applyNumberFormat="0" applyProtection="0">
      <alignment horizontal="left" vertical="center" indent="1"/>
    </xf>
    <xf numFmtId="4" fontId="45" fillId="51" borderId="69" applyNumberFormat="0" applyProtection="0">
      <alignment horizontal="left" vertical="center" indent="1"/>
    </xf>
    <xf numFmtId="4" fontId="45" fillId="41" borderId="83" applyNumberFormat="0" applyProtection="0">
      <alignment horizontal="left" vertical="center" indent="1"/>
    </xf>
    <xf numFmtId="0" fontId="16" fillId="107" borderId="8" applyNumberFormat="0" applyProtection="0">
      <alignment horizontal="left" vertical="center" indent="1"/>
    </xf>
    <xf numFmtId="4" fontId="18" fillId="119" borderId="8" applyNumberFormat="0" applyProtection="0">
      <alignment horizontal="right" vertical="center"/>
    </xf>
    <xf numFmtId="4" fontId="40" fillId="106" borderId="8" applyNumberFormat="0" applyProtection="0">
      <alignment vertical="center"/>
    </xf>
    <xf numFmtId="4" fontId="18" fillId="119" borderId="8" applyNumberFormat="0" applyProtection="0">
      <alignment horizontal="right" vertical="center"/>
    </xf>
    <xf numFmtId="4" fontId="45" fillId="40" borderId="83" applyNumberFormat="0" applyProtection="0">
      <alignment horizontal="left" vertical="center" indent="1"/>
    </xf>
    <xf numFmtId="0" fontId="45" fillId="2" borderId="9" applyNumberFormat="0" applyProtection="0">
      <alignment horizontal="left" vertical="top" indent="1"/>
    </xf>
    <xf numFmtId="4" fontId="45" fillId="33" borderId="69" applyNumberFormat="0" applyProtection="0">
      <alignment vertical="center"/>
    </xf>
    <xf numFmtId="4" fontId="118" fillId="123" borderId="94" applyNumberFormat="0" applyProtection="0">
      <alignment vertical="center"/>
    </xf>
    <xf numFmtId="0" fontId="121" fillId="2" borderId="9" applyNumberFormat="0" applyProtection="0">
      <alignment horizontal="left" vertical="top" indent="1"/>
    </xf>
    <xf numFmtId="4" fontId="45" fillId="37" borderId="69" applyNumberFormat="0" applyProtection="0">
      <alignment horizontal="right" vertical="center"/>
    </xf>
    <xf numFmtId="0" fontId="109" fillId="101" borderId="69" applyNumberFormat="0" applyAlignment="0" applyProtection="0"/>
    <xf numFmtId="4" fontId="45" fillId="51" borderId="69" applyNumberFormat="0" applyProtection="0">
      <alignment horizontal="left" vertical="center" indent="1"/>
    </xf>
    <xf numFmtId="4" fontId="40" fillId="123" borderId="8" applyNumberFormat="0" applyProtection="0">
      <alignment vertical="center"/>
    </xf>
    <xf numFmtId="4" fontId="45" fillId="33" borderId="69" applyNumberFormat="0" applyProtection="0">
      <alignment vertical="center"/>
    </xf>
    <xf numFmtId="0" fontId="16" fillId="107" borderId="8" applyNumberFormat="0" applyProtection="0">
      <alignment horizontal="left" vertical="center" indent="1"/>
    </xf>
    <xf numFmtId="4" fontId="45" fillId="40" borderId="83" applyNumberFormat="0" applyProtection="0">
      <alignment horizontal="left" vertical="center" indent="1"/>
    </xf>
    <xf numFmtId="4" fontId="18" fillId="119" borderId="8" applyNumberFormat="0" applyProtection="0">
      <alignment horizontal="right" vertical="center"/>
    </xf>
    <xf numFmtId="0" fontId="16" fillId="107" borderId="8" applyNumberFormat="0" applyProtection="0">
      <alignment horizontal="left" vertical="center" indent="1"/>
    </xf>
    <xf numFmtId="4" fontId="45" fillId="39" borderId="69" applyNumberFormat="0" applyProtection="0">
      <alignment horizontal="right" vertical="center"/>
    </xf>
    <xf numFmtId="0" fontId="33" fillId="27" borderId="69" applyNumberFormat="0" applyAlignment="0" applyProtection="0"/>
    <xf numFmtId="4" fontId="18" fillId="112" borderId="8" applyNumberFormat="0" applyProtection="0">
      <alignment horizontal="right" vertical="center"/>
    </xf>
    <xf numFmtId="4" fontId="45" fillId="38" borderId="69" applyNumberFormat="0" applyProtection="0">
      <alignment horizontal="right" vertical="center"/>
    </xf>
    <xf numFmtId="4" fontId="45" fillId="106" borderId="69" applyNumberFormat="0" applyProtection="0">
      <alignment horizontal="left" vertical="center" indent="1"/>
    </xf>
    <xf numFmtId="4" fontId="45" fillId="36" borderId="69" applyNumberFormat="0" applyProtection="0">
      <alignment horizontal="right" vertical="center"/>
    </xf>
    <xf numFmtId="4" fontId="45" fillId="41" borderId="83" applyNumberFormat="0" applyProtection="0">
      <alignment horizontal="left" vertical="center" indent="1"/>
    </xf>
    <xf numFmtId="4" fontId="45" fillId="110" borderId="69" applyNumberFormat="0" applyProtection="0">
      <alignment horizontal="right" vertical="center"/>
    </xf>
    <xf numFmtId="4" fontId="45" fillId="2" borderId="83" applyNumberFormat="0" applyProtection="0">
      <alignment horizontal="left" vertical="center" indent="1"/>
    </xf>
    <xf numFmtId="4" fontId="45" fillId="39" borderId="69" applyNumberFormat="0" applyProtection="0">
      <alignment horizontal="right" vertical="center"/>
    </xf>
    <xf numFmtId="4" fontId="45" fillId="41" borderId="83" applyNumberFormat="0" applyProtection="0">
      <alignment horizontal="left" vertical="center" indent="1"/>
    </xf>
    <xf numFmtId="4" fontId="18" fillId="106" borderId="8" applyNumberFormat="0" applyProtection="0">
      <alignment horizontal="left" vertical="center" indent="1"/>
    </xf>
    <xf numFmtId="4" fontId="18" fillId="115" borderId="8" applyNumberFormat="0" applyProtection="0">
      <alignment horizontal="right" vertical="center"/>
    </xf>
    <xf numFmtId="4" fontId="18" fillId="106" borderId="8" applyNumberFormat="0" applyProtection="0">
      <alignment horizontal="left" vertical="center" indent="1"/>
    </xf>
    <xf numFmtId="4" fontId="45" fillId="38" borderId="69" applyNumberFormat="0" applyProtection="0">
      <alignment horizontal="right" vertical="center"/>
    </xf>
    <xf numFmtId="4" fontId="45" fillId="2" borderId="83" applyNumberFormat="0" applyProtection="0">
      <alignment horizontal="left" vertical="center" indent="1"/>
    </xf>
    <xf numFmtId="4" fontId="45" fillId="35" borderId="69" applyNumberFormat="0" applyProtection="0">
      <alignment horizontal="right" vertical="center"/>
    </xf>
    <xf numFmtId="0" fontId="45" fillId="2" borderId="9" applyNumberFormat="0" applyProtection="0">
      <alignment horizontal="left" vertical="top" indent="1"/>
    </xf>
    <xf numFmtId="4" fontId="45" fillId="7" borderId="69" applyNumberFormat="0" applyProtection="0">
      <alignment horizontal="right" vertical="center"/>
    </xf>
    <xf numFmtId="0" fontId="36" fillId="10" borderId="8" applyNumberFormat="0" applyAlignment="0" applyProtection="0"/>
    <xf numFmtId="4" fontId="45" fillId="51" borderId="69" applyNumberFormat="0" applyProtection="0">
      <alignment horizontal="left" vertical="center" indent="1"/>
    </xf>
    <xf numFmtId="4" fontId="45" fillId="40" borderId="83" applyNumberFormat="0" applyProtection="0">
      <alignment horizontal="left" vertical="center" indent="1"/>
    </xf>
    <xf numFmtId="0" fontId="45" fillId="41" borderId="9" applyNumberFormat="0" applyProtection="0">
      <alignment horizontal="left" vertical="top" indent="1"/>
    </xf>
    <xf numFmtId="4" fontId="45" fillId="37" borderId="69" applyNumberFormat="0" applyProtection="0">
      <alignment horizontal="right" vertical="center"/>
    </xf>
    <xf numFmtId="0" fontId="16" fillId="122" borderId="8" applyNumberFormat="0" applyProtection="0">
      <alignment horizontal="left" vertical="center" indent="1"/>
    </xf>
    <xf numFmtId="0" fontId="36" fillId="101" borderId="8" applyNumberFormat="0" applyAlignment="0" applyProtection="0"/>
    <xf numFmtId="0" fontId="110" fillId="10" borderId="1" applyNumberFormat="0" applyAlignment="0" applyProtection="0"/>
    <xf numFmtId="4" fontId="18" fillId="123" borderId="8" applyNumberFormat="0" applyProtection="0">
      <alignment horizontal="left" vertical="center" indent="1"/>
    </xf>
    <xf numFmtId="4" fontId="45" fillId="34" borderId="83" applyNumberFormat="0" applyProtection="0">
      <alignment horizontal="right" vertical="center"/>
    </xf>
    <xf numFmtId="4" fontId="18" fillId="46" borderId="8" applyNumberFormat="0" applyProtection="0">
      <alignment horizontal="left" vertical="center" indent="1"/>
    </xf>
    <xf numFmtId="4" fontId="121" fillId="10" borderId="9" applyNumberFormat="0" applyProtection="0">
      <alignment horizontal="left" vertical="center" indent="1"/>
    </xf>
    <xf numFmtId="4" fontId="45" fillId="41" borderId="83" applyNumberFormat="0" applyProtection="0">
      <alignment horizontal="left" vertical="center" indent="1"/>
    </xf>
    <xf numFmtId="0" fontId="45" fillId="41" borderId="69" applyNumberFormat="0" applyProtection="0">
      <alignment horizontal="left" vertical="center" indent="1"/>
    </xf>
    <xf numFmtId="4" fontId="123" fillId="42" borderId="83" applyNumberFormat="0" applyProtection="0">
      <alignment horizontal="left" vertical="center" indent="1"/>
    </xf>
    <xf numFmtId="4" fontId="45" fillId="51" borderId="69" applyNumberFormat="0" applyProtection="0">
      <alignment horizontal="left" vertical="center" indent="1"/>
    </xf>
    <xf numFmtId="0" fontId="16" fillId="107" borderId="8" applyNumberFormat="0" applyProtection="0">
      <alignment horizontal="left" vertical="center" indent="1"/>
    </xf>
    <xf numFmtId="0" fontId="45" fillId="124" borderId="94"/>
    <xf numFmtId="0" fontId="45" fillId="6" borderId="69" applyNumberFormat="0" applyProtection="0">
      <alignment horizontal="left" vertical="center" indent="1"/>
    </xf>
    <xf numFmtId="0" fontId="16" fillId="107" borderId="8" applyNumberFormat="0" applyProtection="0">
      <alignment horizontal="left" vertical="center" indent="1"/>
    </xf>
    <xf numFmtId="4" fontId="45" fillId="38" borderId="69" applyNumberFormat="0" applyProtection="0">
      <alignment horizontal="right" vertical="center"/>
    </xf>
    <xf numFmtId="4" fontId="45" fillId="2" borderId="69" applyNumberFormat="0" applyProtection="0">
      <alignment horizontal="right" vertical="center"/>
    </xf>
    <xf numFmtId="4" fontId="18" fillId="111" borderId="8" applyNumberFormat="0" applyProtection="0">
      <alignment horizontal="right" vertical="center"/>
    </xf>
    <xf numFmtId="4" fontId="45" fillId="35" borderId="69" applyNumberFormat="0" applyProtection="0">
      <alignment horizontal="right" vertical="center"/>
    </xf>
    <xf numFmtId="4" fontId="18" fillId="119" borderId="8" applyNumberFormat="0" applyProtection="0">
      <alignment horizontal="left" vertical="center" indent="1"/>
    </xf>
    <xf numFmtId="4" fontId="18" fillId="119" borderId="8" applyNumberFormat="0" applyProtection="0">
      <alignment horizontal="right" vertical="center"/>
    </xf>
    <xf numFmtId="0" fontId="18" fillId="4" borderId="7" applyNumberFormat="0" applyFont="0" applyAlignment="0" applyProtection="0"/>
    <xf numFmtId="0" fontId="45" fillId="6" borderId="9" applyNumberFormat="0" applyProtection="0">
      <alignment horizontal="left" vertical="top" indent="1"/>
    </xf>
    <xf numFmtId="0" fontId="27" fillId="0" borderId="93" applyNumberFormat="0" applyFill="0" applyAlignment="0" applyProtection="0"/>
    <xf numFmtId="0" fontId="45" fillId="10" borderId="69" applyNumberFormat="0" applyProtection="0">
      <alignment horizontal="left" vertical="center" indent="1"/>
    </xf>
    <xf numFmtId="4" fontId="18" fillId="117" borderId="8" applyNumberFormat="0" applyProtection="0">
      <alignment horizontal="right" vertical="center"/>
    </xf>
    <xf numFmtId="4" fontId="18" fillId="123" borderId="8" applyNumberFormat="0" applyProtection="0">
      <alignment vertical="center"/>
    </xf>
    <xf numFmtId="4" fontId="45" fillId="51" borderId="69" applyNumberFormat="0" applyProtection="0">
      <alignment horizontal="left" vertical="center" indent="1"/>
    </xf>
    <xf numFmtId="0" fontId="16" fillId="122" borderId="8" applyNumberFormat="0" applyProtection="0">
      <alignment horizontal="left" vertical="center" indent="1"/>
    </xf>
    <xf numFmtId="4" fontId="45" fillId="9" borderId="69" applyNumberFormat="0" applyProtection="0">
      <alignment horizontal="right" vertical="center"/>
    </xf>
    <xf numFmtId="4" fontId="18" fillId="114" borderId="8" applyNumberFormat="0" applyProtection="0">
      <alignment horizontal="right" vertical="center"/>
    </xf>
    <xf numFmtId="4" fontId="45" fillId="36" borderId="69" applyNumberFormat="0" applyProtection="0">
      <alignment horizontal="right" vertical="center"/>
    </xf>
    <xf numFmtId="4" fontId="45" fillId="34" borderId="83" applyNumberFormat="0" applyProtection="0">
      <alignment horizontal="right" vertical="center"/>
    </xf>
    <xf numFmtId="0" fontId="27" fillId="0" borderId="12" applyNumberFormat="0" applyFill="0" applyAlignment="0" applyProtection="0"/>
    <xf numFmtId="4" fontId="45" fillId="7" borderId="69" applyNumberFormat="0" applyProtection="0">
      <alignment horizontal="right" vertical="center"/>
    </xf>
    <xf numFmtId="4" fontId="45" fillId="40" borderId="83" applyNumberFormat="0" applyProtection="0">
      <alignment horizontal="left" vertical="center" indent="1"/>
    </xf>
    <xf numFmtId="4" fontId="45" fillId="110" borderId="69" applyNumberFormat="0" applyProtection="0">
      <alignment horizontal="right" vertical="center"/>
    </xf>
    <xf numFmtId="4" fontId="45" fillId="7" borderId="69" applyNumberFormat="0" applyProtection="0">
      <alignment horizontal="right" vertical="center"/>
    </xf>
    <xf numFmtId="4" fontId="45" fillId="51" borderId="69" applyNumberFormat="0" applyProtection="0">
      <alignment horizontal="left" vertical="center" indent="1"/>
    </xf>
    <xf numFmtId="4" fontId="45" fillId="110" borderId="69" applyNumberFormat="0" applyProtection="0">
      <alignment horizontal="right" vertical="center"/>
    </xf>
    <xf numFmtId="0" fontId="45" fillId="121" borderId="69" applyNumberFormat="0" applyProtection="0">
      <alignment horizontal="left" vertical="center" indent="1"/>
    </xf>
    <xf numFmtId="4" fontId="45" fillId="51" borderId="69" applyNumberFormat="0" applyProtection="0">
      <alignment horizontal="left" vertical="center" indent="1"/>
    </xf>
    <xf numFmtId="4" fontId="45" fillId="36" borderId="69" applyNumberFormat="0" applyProtection="0">
      <alignment horizontal="right" vertical="center"/>
    </xf>
    <xf numFmtId="4" fontId="45" fillId="2" borderId="69" applyNumberFormat="0" applyProtection="0">
      <alignment horizontal="right" vertical="center"/>
    </xf>
    <xf numFmtId="4" fontId="45" fillId="51" borderId="69" applyNumberFormat="0" applyProtection="0">
      <alignment horizontal="left" vertical="center" indent="1"/>
    </xf>
    <xf numFmtId="0" fontId="121" fillId="4" borderId="9" applyNumberFormat="0" applyProtection="0">
      <alignment horizontal="left" vertical="top" indent="1"/>
    </xf>
    <xf numFmtId="0" fontId="16" fillId="107" borderId="8" applyNumberFormat="0" applyProtection="0">
      <alignment horizontal="left" vertical="center" indent="1"/>
    </xf>
    <xf numFmtId="4" fontId="45" fillId="36" borderId="69" applyNumberFormat="0" applyProtection="0">
      <alignment horizontal="right" vertical="center"/>
    </xf>
    <xf numFmtId="4" fontId="45" fillId="35" borderId="69" applyNumberFormat="0" applyProtection="0">
      <alignment horizontal="right" vertical="center"/>
    </xf>
    <xf numFmtId="0" fontId="45" fillId="121" borderId="69" applyNumberFormat="0" applyProtection="0">
      <alignment horizontal="left" vertical="center" indent="1"/>
    </xf>
    <xf numFmtId="0" fontId="45" fillId="6" borderId="69" applyNumberFormat="0" applyProtection="0">
      <alignment horizontal="left" vertical="center" indent="1"/>
    </xf>
    <xf numFmtId="4" fontId="118" fillId="106" borderId="69" applyNumberFormat="0" applyProtection="0">
      <alignment vertical="center"/>
    </xf>
    <xf numFmtId="4" fontId="45" fillId="33" borderId="69" applyNumberFormat="0" applyProtection="0">
      <alignment vertical="center"/>
    </xf>
    <xf numFmtId="4" fontId="118" fillId="106" borderId="69" applyNumberFormat="0" applyProtection="0">
      <alignment vertical="center"/>
    </xf>
    <xf numFmtId="0" fontId="16" fillId="46" borderId="8" applyNumberFormat="0" applyProtection="0">
      <alignment horizontal="left" vertical="center" indent="1"/>
    </xf>
    <xf numFmtId="4" fontId="45" fillId="34" borderId="83" applyNumberFormat="0" applyProtection="0">
      <alignment horizontal="right" vertical="center"/>
    </xf>
    <xf numFmtId="4" fontId="45" fillId="106" borderId="69" applyNumberFormat="0" applyProtection="0">
      <alignment horizontal="left" vertical="center" indent="1"/>
    </xf>
    <xf numFmtId="4" fontId="16" fillId="8" borderId="83" applyNumberFormat="0" applyProtection="0">
      <alignment horizontal="left" vertical="center" indent="1"/>
    </xf>
    <xf numFmtId="0" fontId="45" fillId="6" borderId="69" applyNumberFormat="0" applyProtection="0">
      <alignment horizontal="left" vertical="center" indent="1"/>
    </xf>
    <xf numFmtId="4" fontId="16" fillId="8" borderId="83" applyNumberFormat="0" applyProtection="0">
      <alignment horizontal="left" vertical="center" indent="1"/>
    </xf>
    <xf numFmtId="0" fontId="16" fillId="46" borderId="8" applyNumberFormat="0" applyProtection="0">
      <alignment horizontal="left" vertical="center" indent="1"/>
    </xf>
    <xf numFmtId="0" fontId="16" fillId="107" borderId="8" applyNumberFormat="0" applyProtection="0">
      <alignment horizontal="left" vertical="center" indent="1"/>
    </xf>
    <xf numFmtId="4" fontId="18" fillId="106" borderId="8" applyNumberFormat="0" applyProtection="0">
      <alignment vertical="center"/>
    </xf>
    <xf numFmtId="4" fontId="45" fillId="36" borderId="69" applyNumberFormat="0" applyProtection="0">
      <alignment horizontal="right" vertical="center"/>
    </xf>
    <xf numFmtId="4" fontId="16" fillId="8" borderId="83" applyNumberFormat="0" applyProtection="0">
      <alignment horizontal="left" vertical="center" indent="1"/>
    </xf>
    <xf numFmtId="4" fontId="37" fillId="118" borderId="8" applyNumberFormat="0" applyProtection="0">
      <alignment horizontal="left" vertical="center" indent="1"/>
    </xf>
    <xf numFmtId="4" fontId="18" fillId="116" borderId="8" applyNumberFormat="0" applyProtection="0">
      <alignment horizontal="right" vertical="center"/>
    </xf>
    <xf numFmtId="4" fontId="18" fillId="106" borderId="8" applyNumberFormat="0" applyProtection="0">
      <alignment vertical="center"/>
    </xf>
    <xf numFmtId="4" fontId="40" fillId="123" borderId="8" applyNumberFormat="0" applyProtection="0">
      <alignment vertical="center"/>
    </xf>
    <xf numFmtId="4" fontId="40" fillId="119" borderId="8" applyNumberFormat="0" applyProtection="0">
      <alignment horizontal="right" vertical="center"/>
    </xf>
    <xf numFmtId="4" fontId="18" fillId="114" borderId="8" applyNumberFormat="0" applyProtection="0">
      <alignment horizontal="right" vertical="center"/>
    </xf>
    <xf numFmtId="0" fontId="18" fillId="4" borderId="7" applyNumberFormat="0" applyFont="0" applyAlignment="0" applyProtection="0"/>
    <xf numFmtId="4" fontId="18" fillId="108" borderId="8" applyNumberFormat="0" applyProtection="0">
      <alignment horizontal="right" vertical="center"/>
    </xf>
    <xf numFmtId="4" fontId="45" fillId="9" borderId="69" applyNumberFormat="0" applyProtection="0">
      <alignment horizontal="right" vertical="center"/>
    </xf>
    <xf numFmtId="4" fontId="124" fillId="5" borderId="69" applyNumberFormat="0" applyProtection="0">
      <alignment horizontal="right" vertical="center"/>
    </xf>
    <xf numFmtId="0" fontId="16" fillId="122" borderId="8" applyNumberFormat="0" applyProtection="0">
      <alignment horizontal="left" vertical="center" indent="1"/>
    </xf>
    <xf numFmtId="0" fontId="45" fillId="41" borderId="69" applyNumberFormat="0" applyProtection="0">
      <alignment horizontal="left" vertical="center" indent="1"/>
    </xf>
    <xf numFmtId="0" fontId="45" fillId="121" borderId="69" applyNumberFormat="0" applyProtection="0">
      <alignment horizontal="left" vertical="center" indent="1"/>
    </xf>
    <xf numFmtId="4" fontId="45" fillId="34" borderId="83" applyNumberFormat="0" applyProtection="0">
      <alignment horizontal="right" vertical="center"/>
    </xf>
    <xf numFmtId="4" fontId="45" fillId="106" borderId="69" applyNumberFormat="0" applyProtection="0">
      <alignment horizontal="left" vertical="center" indent="1"/>
    </xf>
    <xf numFmtId="0" fontId="45" fillId="8" borderId="9" applyNumberFormat="0" applyProtection="0">
      <alignment horizontal="left" vertical="top" indent="1"/>
    </xf>
    <xf numFmtId="4" fontId="45" fillId="34" borderId="83" applyNumberFormat="0" applyProtection="0">
      <alignment horizontal="right" vertical="center"/>
    </xf>
    <xf numFmtId="4" fontId="45" fillId="2" borderId="83" applyNumberFormat="0" applyProtection="0">
      <alignment horizontal="left" vertical="center" indent="1"/>
    </xf>
    <xf numFmtId="4" fontId="45" fillId="40" borderId="83" applyNumberFormat="0" applyProtection="0">
      <alignment horizontal="left" vertical="center" indent="1"/>
    </xf>
    <xf numFmtId="4" fontId="45" fillId="2" borderId="69" applyNumberFormat="0" applyProtection="0">
      <alignment horizontal="right" vertical="center"/>
    </xf>
    <xf numFmtId="0" fontId="45" fillId="8" borderId="9" applyNumberFormat="0" applyProtection="0">
      <alignment horizontal="left" vertical="top" indent="1"/>
    </xf>
    <xf numFmtId="4" fontId="45" fillId="38" borderId="69" applyNumberFormat="0" applyProtection="0">
      <alignment horizontal="right" vertical="center"/>
    </xf>
    <xf numFmtId="0" fontId="45" fillId="121" borderId="69" applyNumberFormat="0" applyProtection="0">
      <alignment horizontal="left" vertical="center" indent="1"/>
    </xf>
    <xf numFmtId="0" fontId="116" fillId="11" borderId="1" applyNumberFormat="0" applyAlignment="0" applyProtection="0"/>
    <xf numFmtId="4" fontId="18" fillId="123" borderId="8" applyNumberFormat="0" applyProtection="0">
      <alignment horizontal="left" vertical="center" indent="1"/>
    </xf>
    <xf numFmtId="4" fontId="121" fillId="4" borderId="9" applyNumberFormat="0" applyProtection="0">
      <alignment vertical="center"/>
    </xf>
    <xf numFmtId="4" fontId="121" fillId="4" borderId="9" applyNumberFormat="0" applyProtection="0">
      <alignment vertical="center"/>
    </xf>
    <xf numFmtId="0" fontId="45" fillId="6" borderId="9" applyNumberFormat="0" applyProtection="0">
      <alignment horizontal="left" vertical="top" indent="1"/>
    </xf>
    <xf numFmtId="4" fontId="45" fillId="110" borderId="69" applyNumberFormat="0" applyProtection="0">
      <alignment horizontal="right" vertical="center"/>
    </xf>
    <xf numFmtId="4" fontId="45" fillId="2" borderId="83" applyNumberFormat="0" applyProtection="0">
      <alignment horizontal="left" vertical="center" indent="1"/>
    </xf>
    <xf numFmtId="0" fontId="45" fillId="10" borderId="69" applyNumberFormat="0" applyProtection="0">
      <alignment horizontal="left" vertical="center" indent="1"/>
    </xf>
    <xf numFmtId="4" fontId="18" fillId="119" borderId="8" applyNumberFormat="0" applyProtection="0">
      <alignment horizontal="left" vertical="center" indent="1"/>
    </xf>
    <xf numFmtId="4" fontId="45" fillId="9" borderId="69" applyNumberFormat="0" applyProtection="0">
      <alignment horizontal="right" vertical="center"/>
    </xf>
    <xf numFmtId="4" fontId="45" fillId="2" borderId="69" applyNumberFormat="0" applyProtection="0">
      <alignment horizontal="right" vertical="center"/>
    </xf>
    <xf numFmtId="0" fontId="45" fillId="41" borderId="69" applyNumberFormat="0" applyProtection="0">
      <alignment horizontal="left" vertical="center" indent="1"/>
    </xf>
    <xf numFmtId="4" fontId="118" fillId="43" borderId="69" applyNumberFormat="0" applyProtection="0">
      <alignment horizontal="right" vertical="center"/>
    </xf>
    <xf numFmtId="4" fontId="45" fillId="2" borderId="69" applyNumberFormat="0" applyProtection="0">
      <alignment horizontal="right" vertical="center"/>
    </xf>
    <xf numFmtId="4" fontId="45" fillId="0" borderId="69" applyNumberFormat="0" applyProtection="0">
      <alignment horizontal="right" vertical="center"/>
    </xf>
    <xf numFmtId="0" fontId="16" fillId="45" borderId="8" applyNumberFormat="0" applyProtection="0">
      <alignment horizontal="left" vertical="center" indent="1"/>
    </xf>
    <xf numFmtId="4" fontId="18" fillId="111" borderId="8" applyNumberFormat="0" applyProtection="0">
      <alignment horizontal="right" vertical="center"/>
    </xf>
    <xf numFmtId="0" fontId="16" fillId="107" borderId="8" applyNumberFormat="0" applyProtection="0">
      <alignment horizontal="left" vertical="center" indent="1"/>
    </xf>
    <xf numFmtId="4" fontId="18" fillId="106" borderId="8" applyNumberFormat="0" applyProtection="0">
      <alignment vertical="center"/>
    </xf>
    <xf numFmtId="4" fontId="45" fillId="39" borderId="69" applyNumberFormat="0" applyProtection="0">
      <alignment horizontal="right" vertical="center"/>
    </xf>
    <xf numFmtId="0" fontId="33" fillId="27" borderId="69" applyNumberFormat="0" applyAlignment="0" applyProtection="0"/>
    <xf numFmtId="0" fontId="45" fillId="41" borderId="69" applyNumberFormat="0" applyProtection="0">
      <alignment horizontal="left" vertical="center" indent="1"/>
    </xf>
    <xf numFmtId="4" fontId="18" fillId="115" borderId="8" applyNumberFormat="0" applyProtection="0">
      <alignment horizontal="right" vertical="center"/>
    </xf>
    <xf numFmtId="4" fontId="45" fillId="9" borderId="69" applyNumberFormat="0" applyProtection="0">
      <alignment horizontal="right" vertical="center"/>
    </xf>
    <xf numFmtId="4" fontId="45" fillId="39" borderId="69"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4" fontId="45" fillId="0" borderId="69" applyNumberFormat="0" applyProtection="0">
      <alignment horizontal="right" vertical="center"/>
    </xf>
    <xf numFmtId="4" fontId="45" fillId="110" borderId="69" applyNumberFormat="0" applyProtection="0">
      <alignment horizontal="right" vertical="center"/>
    </xf>
    <xf numFmtId="4" fontId="18" fillId="106" borderId="8" applyNumberFormat="0" applyProtection="0">
      <alignment horizontal="left" vertical="center" indent="1"/>
    </xf>
    <xf numFmtId="4" fontId="45" fillId="51" borderId="69" applyNumberFormat="0" applyProtection="0">
      <alignment horizontal="left" vertical="center" indent="1"/>
    </xf>
    <xf numFmtId="0" fontId="16" fillId="122" borderId="8" applyNumberFormat="0" applyProtection="0">
      <alignment horizontal="left" vertical="center" indent="1"/>
    </xf>
    <xf numFmtId="4" fontId="18" fillId="123" borderId="8" applyNumberFormat="0" applyProtection="0">
      <alignment horizontal="left" vertical="center" indent="1"/>
    </xf>
    <xf numFmtId="4" fontId="45" fillId="7" borderId="69" applyNumberFormat="0" applyProtection="0">
      <alignment horizontal="right" vertical="center"/>
    </xf>
    <xf numFmtId="0" fontId="116" fillId="11" borderId="1" applyNumberFormat="0" applyAlignment="0" applyProtection="0"/>
    <xf numFmtId="4" fontId="118" fillId="43" borderId="69" applyNumberFormat="0" applyProtection="0">
      <alignment horizontal="right" vertical="center"/>
    </xf>
    <xf numFmtId="4" fontId="45" fillId="110" borderId="69" applyNumberFormat="0" applyProtection="0">
      <alignment horizontal="right" vertical="center"/>
    </xf>
    <xf numFmtId="0" fontId="16" fillId="45" borderId="8" applyNumberFormat="0" applyProtection="0">
      <alignment horizontal="left" vertical="center" indent="1"/>
    </xf>
    <xf numFmtId="0" fontId="120" fillId="8" borderId="92" applyBorder="0"/>
    <xf numFmtId="0" fontId="45" fillId="6" borderId="69" applyNumberFormat="0" applyProtection="0">
      <alignment horizontal="left" vertical="center" indent="1"/>
    </xf>
    <xf numFmtId="4" fontId="18" fillId="116" borderId="8" applyNumberFormat="0" applyProtection="0">
      <alignment horizontal="right" vertical="center"/>
    </xf>
    <xf numFmtId="4" fontId="45" fillId="36" borderId="69" applyNumberFormat="0" applyProtection="0">
      <alignment horizontal="right" vertical="center"/>
    </xf>
    <xf numFmtId="4" fontId="45" fillId="9" borderId="69" applyNumberFormat="0" applyProtection="0">
      <alignment horizontal="right" vertical="center"/>
    </xf>
    <xf numFmtId="4" fontId="45" fillId="38" borderId="69" applyNumberFormat="0" applyProtection="0">
      <alignment horizontal="right" vertical="center"/>
    </xf>
    <xf numFmtId="4" fontId="121" fillId="10" borderId="9" applyNumberFormat="0" applyProtection="0">
      <alignment horizontal="left" vertical="center" indent="1"/>
    </xf>
    <xf numFmtId="4" fontId="45" fillId="7" borderId="69" applyNumberFormat="0" applyProtection="0">
      <alignment horizontal="right" vertical="center"/>
    </xf>
    <xf numFmtId="4" fontId="45" fillId="33" borderId="69" applyNumberFormat="0" applyProtection="0">
      <alignment vertical="center"/>
    </xf>
    <xf numFmtId="4" fontId="18" fillId="123" borderId="8" applyNumberFormat="0" applyProtection="0">
      <alignment horizontal="left" vertical="center" indent="1"/>
    </xf>
    <xf numFmtId="4" fontId="45" fillId="106" borderId="69" applyNumberFormat="0" applyProtection="0">
      <alignment horizontal="left" vertical="center" indent="1"/>
    </xf>
    <xf numFmtId="0" fontId="45" fillId="10" borderId="69" applyNumberFormat="0" applyProtection="0">
      <alignment horizontal="left" vertical="center" indent="1"/>
    </xf>
    <xf numFmtId="4" fontId="45" fillId="41" borderId="83" applyNumberFormat="0" applyProtection="0">
      <alignment horizontal="left" vertical="center" indent="1"/>
    </xf>
    <xf numFmtId="4" fontId="18" fillId="113" borderId="8" applyNumberFormat="0" applyProtection="0">
      <alignment horizontal="right" vertical="center"/>
    </xf>
    <xf numFmtId="4" fontId="45" fillId="35" borderId="69" applyNumberFormat="0" applyProtection="0">
      <alignment horizontal="right" vertical="center"/>
    </xf>
    <xf numFmtId="4" fontId="16" fillId="8" borderId="83" applyNumberFormat="0" applyProtection="0">
      <alignment horizontal="left" vertical="center" indent="1"/>
    </xf>
    <xf numFmtId="0" fontId="16" fillId="45" borderId="8" applyNumberFormat="0" applyProtection="0">
      <alignment horizontal="left" vertical="center" indent="1"/>
    </xf>
    <xf numFmtId="4" fontId="45" fillId="39" borderId="69" applyNumberFormat="0" applyProtection="0">
      <alignment horizontal="right" vertical="center"/>
    </xf>
    <xf numFmtId="4" fontId="45" fillId="2" borderId="83" applyNumberFormat="0" applyProtection="0">
      <alignment horizontal="left" vertical="center" indent="1"/>
    </xf>
    <xf numFmtId="4" fontId="42" fillId="119" borderId="8" applyNumberFormat="0" applyProtection="0">
      <alignment horizontal="right" vertical="center"/>
    </xf>
    <xf numFmtId="4" fontId="45" fillId="2" borderId="83" applyNumberFormat="0" applyProtection="0">
      <alignment horizontal="left" vertical="center" indent="1"/>
    </xf>
    <xf numFmtId="4" fontId="45" fillId="106" borderId="69" applyNumberFormat="0" applyProtection="0">
      <alignment horizontal="left" vertical="center" indent="1"/>
    </xf>
    <xf numFmtId="4" fontId="18" fillId="106" borderId="8" applyNumberFormat="0" applyProtection="0">
      <alignment vertical="center"/>
    </xf>
    <xf numFmtId="4" fontId="45" fillId="106" borderId="69" applyNumberFormat="0" applyProtection="0">
      <alignment horizontal="left" vertical="center" indent="1"/>
    </xf>
    <xf numFmtId="0" fontId="45" fillId="26" borderId="69" applyNumberFormat="0" applyFont="0" applyAlignment="0" applyProtection="0"/>
    <xf numFmtId="0" fontId="110" fillId="10" borderId="1" applyNumberFormat="0" applyAlignment="0" applyProtection="0"/>
    <xf numFmtId="4" fontId="45" fillId="7" borderId="69" applyNumberFormat="0" applyProtection="0">
      <alignment horizontal="right" vertical="center"/>
    </xf>
    <xf numFmtId="0" fontId="119" fillId="33" borderId="9" applyNumberFormat="0" applyProtection="0">
      <alignment horizontal="left" vertical="top" indent="1"/>
    </xf>
    <xf numFmtId="4" fontId="45" fillId="33" borderId="69" applyNumberFormat="0" applyProtection="0">
      <alignment vertical="center"/>
    </xf>
    <xf numFmtId="0" fontId="109" fillId="101" borderId="69" applyNumberFormat="0" applyAlignment="0" applyProtection="0"/>
    <xf numFmtId="4" fontId="123" fillId="42" borderId="83" applyNumberFormat="0" applyProtection="0">
      <alignment horizontal="left" vertical="center" indent="1"/>
    </xf>
    <xf numFmtId="0" fontId="45" fillId="124" borderId="94"/>
    <xf numFmtId="0" fontId="121" fillId="2" borderId="9" applyNumberFormat="0" applyProtection="0">
      <alignment horizontal="left" vertical="top" indent="1"/>
    </xf>
    <xf numFmtId="4" fontId="42" fillId="119" borderId="8" applyNumberFormat="0" applyProtection="0">
      <alignment horizontal="right" vertical="center"/>
    </xf>
    <xf numFmtId="4" fontId="45" fillId="0" borderId="69" applyNumberFormat="0" applyProtection="0">
      <alignment horizontal="right" vertical="center"/>
    </xf>
    <xf numFmtId="0" fontId="16" fillId="107" borderId="8" applyNumberFormat="0" applyProtection="0">
      <alignment horizontal="left" vertical="center" indent="1"/>
    </xf>
    <xf numFmtId="4" fontId="45" fillId="0" borderId="69" applyNumberFormat="0" applyProtection="0">
      <alignment horizontal="right" vertical="center"/>
    </xf>
    <xf numFmtId="4" fontId="45" fillId="51" borderId="69" applyNumberFormat="0" applyProtection="0">
      <alignment horizontal="left" vertical="center" indent="1"/>
    </xf>
    <xf numFmtId="4" fontId="40" fillId="119" borderId="8" applyNumberFormat="0" applyProtection="0">
      <alignment horizontal="right" vertical="center"/>
    </xf>
    <xf numFmtId="0" fontId="36" fillId="101" borderId="8" applyNumberFormat="0" applyAlignment="0" applyProtection="0"/>
    <xf numFmtId="0" fontId="45" fillId="26" borderId="69" applyNumberFormat="0" applyFont="0" applyAlignment="0" applyProtection="0"/>
    <xf numFmtId="0" fontId="18" fillId="4" borderId="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5" fillId="72" borderId="0" applyNumberFormat="0" applyBorder="0" applyAlignment="0" applyProtection="0"/>
    <xf numFmtId="0" fontId="105" fillId="76" borderId="0" applyNumberFormat="0" applyBorder="0" applyAlignment="0" applyProtection="0"/>
    <xf numFmtId="0" fontId="105" fillId="80" borderId="0" applyNumberFormat="0" applyBorder="0" applyAlignment="0" applyProtection="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4" fontId="37" fillId="33" borderId="107" applyNumberFormat="0" applyProtection="0">
      <alignment vertical="center"/>
    </xf>
    <xf numFmtId="4" fontId="38" fillId="33" borderId="107" applyNumberFormat="0" applyProtection="0">
      <alignment vertical="center"/>
    </xf>
    <xf numFmtId="4" fontId="37" fillId="33" borderId="107" applyNumberFormat="0" applyProtection="0">
      <alignment horizontal="left" vertical="center" indent="1"/>
    </xf>
    <xf numFmtId="175" fontId="37" fillId="33" borderId="107" applyNumberFormat="0" applyProtection="0">
      <alignment horizontal="left" vertical="top" indent="1"/>
    </xf>
    <xf numFmtId="4" fontId="18" fillId="7" borderId="107" applyNumberFormat="0" applyProtection="0">
      <alignment horizontal="right" vertical="center"/>
    </xf>
    <xf numFmtId="4" fontId="18" fillId="3" borderId="107" applyNumberFormat="0" applyProtection="0">
      <alignment horizontal="right" vertical="center"/>
    </xf>
    <xf numFmtId="4" fontId="18" fillId="34" borderId="107" applyNumberFormat="0" applyProtection="0">
      <alignment horizontal="right" vertical="center"/>
    </xf>
    <xf numFmtId="4" fontId="18" fillId="35" borderId="107" applyNumberFormat="0" applyProtection="0">
      <alignment horizontal="right" vertical="center"/>
    </xf>
    <xf numFmtId="4" fontId="18" fillId="36" borderId="107" applyNumberFormat="0" applyProtection="0">
      <alignment horizontal="right" vertical="center"/>
    </xf>
    <xf numFmtId="4" fontId="18" fillId="37" borderId="107" applyNumberFormat="0" applyProtection="0">
      <alignment horizontal="right" vertical="center"/>
    </xf>
    <xf numFmtId="4" fontId="18" fillId="9" borderId="107" applyNumberFormat="0" applyProtection="0">
      <alignment horizontal="right" vertical="center"/>
    </xf>
    <xf numFmtId="4" fontId="18" fillId="38" borderId="107" applyNumberFormat="0" applyProtection="0">
      <alignment horizontal="right" vertical="center"/>
    </xf>
    <xf numFmtId="4" fontId="18" fillId="39" borderId="107" applyNumberFormat="0" applyProtection="0">
      <alignment horizontal="right" vertical="center"/>
    </xf>
    <xf numFmtId="4" fontId="18" fillId="2" borderId="107" applyNumberFormat="0" applyProtection="0">
      <alignment horizontal="right" vertical="center"/>
    </xf>
    <xf numFmtId="175" fontId="16" fillId="8" borderId="107" applyNumberFormat="0" applyProtection="0">
      <alignment horizontal="left" vertical="center" indent="1"/>
    </xf>
    <xf numFmtId="175" fontId="16" fillId="8" borderId="107" applyNumberFormat="0" applyProtection="0">
      <alignment horizontal="left" vertical="top" indent="1"/>
    </xf>
    <xf numFmtId="175" fontId="16" fillId="2" borderId="107" applyNumberFormat="0" applyProtection="0">
      <alignment horizontal="left" vertical="center" indent="1"/>
    </xf>
    <xf numFmtId="175" fontId="16" fillId="2" borderId="107" applyNumberFormat="0" applyProtection="0">
      <alignment horizontal="left" vertical="top" indent="1"/>
    </xf>
    <xf numFmtId="175" fontId="16" fillId="6" borderId="107" applyNumberFormat="0" applyProtection="0">
      <alignment horizontal="left" vertical="center" indent="1"/>
    </xf>
    <xf numFmtId="175" fontId="16" fillId="6" borderId="107" applyNumberFormat="0" applyProtection="0">
      <alignment horizontal="left" vertical="top" indent="1"/>
    </xf>
    <xf numFmtId="175" fontId="16" fillId="41" borderId="107" applyNumberFormat="0" applyProtection="0">
      <alignment horizontal="left" vertical="center" indent="1"/>
    </xf>
    <xf numFmtId="175" fontId="16" fillId="41" borderId="107" applyNumberFormat="0" applyProtection="0">
      <alignment horizontal="left" vertical="top" indent="1"/>
    </xf>
    <xf numFmtId="4" fontId="18" fillId="4" borderId="107" applyNumberFormat="0" applyProtection="0">
      <alignment vertical="center"/>
    </xf>
    <xf numFmtId="4" fontId="40" fillId="4" borderId="107" applyNumberFormat="0" applyProtection="0">
      <alignment vertical="center"/>
    </xf>
    <xf numFmtId="4" fontId="18" fillId="4" borderId="107" applyNumberFormat="0" applyProtection="0">
      <alignment horizontal="left" vertical="center" indent="1"/>
    </xf>
    <xf numFmtId="175" fontId="18" fillId="4" borderId="107" applyNumberFormat="0" applyProtection="0">
      <alignment horizontal="left" vertical="top" indent="1"/>
    </xf>
    <xf numFmtId="4" fontId="18" fillId="41" borderId="107" applyNumberFormat="0" applyProtection="0">
      <alignment horizontal="right" vertical="center"/>
    </xf>
    <xf numFmtId="4" fontId="40" fillId="41" borderId="107" applyNumberFormat="0" applyProtection="0">
      <alignment horizontal="right" vertical="center"/>
    </xf>
    <xf numFmtId="4" fontId="18" fillId="2" borderId="107" applyNumberFormat="0" applyProtection="0">
      <alignment horizontal="left" vertical="center" indent="1"/>
    </xf>
    <xf numFmtId="175" fontId="18" fillId="2" borderId="107" applyNumberFormat="0" applyProtection="0">
      <alignment horizontal="left" vertical="top" indent="1"/>
    </xf>
    <xf numFmtId="4" fontId="42" fillId="41" borderId="107" applyNumberFormat="0" applyProtection="0">
      <alignment horizontal="right" vertical="center"/>
    </xf>
    <xf numFmtId="175" fontId="27" fillId="0" borderId="108" applyNumberFormat="0" applyFill="0" applyAlignment="0" applyProtection="0"/>
    <xf numFmtId="4" fontId="18" fillId="7" borderId="107" applyNumberFormat="0" applyProtection="0">
      <alignment horizontal="right" vertical="center"/>
    </xf>
    <xf numFmtId="4" fontId="18" fillId="3" borderId="107" applyNumberFormat="0" applyProtection="0">
      <alignment horizontal="right" vertical="center"/>
    </xf>
    <xf numFmtId="4" fontId="18" fillId="34" borderId="107" applyNumberFormat="0" applyProtection="0">
      <alignment horizontal="right" vertical="center"/>
    </xf>
    <xf numFmtId="4" fontId="18" fillId="35" borderId="107" applyNumberFormat="0" applyProtection="0">
      <alignment horizontal="right" vertical="center"/>
    </xf>
    <xf numFmtId="4" fontId="18" fillId="36" borderId="107" applyNumberFormat="0" applyProtection="0">
      <alignment horizontal="right" vertical="center"/>
    </xf>
    <xf numFmtId="4" fontId="18" fillId="37" borderId="107" applyNumberFormat="0" applyProtection="0">
      <alignment horizontal="right" vertical="center"/>
    </xf>
    <xf numFmtId="4" fontId="18" fillId="9" borderId="107" applyNumberFormat="0" applyProtection="0">
      <alignment horizontal="right" vertical="center"/>
    </xf>
    <xf numFmtId="4" fontId="18" fillId="38" borderId="107" applyNumberFormat="0" applyProtection="0">
      <alignment horizontal="right" vertical="center"/>
    </xf>
    <xf numFmtId="4" fontId="18" fillId="39" borderId="107" applyNumberFormat="0" applyProtection="0">
      <alignment horizontal="right" vertical="center"/>
    </xf>
    <xf numFmtId="4" fontId="18" fillId="2" borderId="107" applyNumberFormat="0" applyProtection="0">
      <alignment horizontal="right" vertical="center"/>
    </xf>
    <xf numFmtId="4" fontId="18" fillId="4" borderId="107" applyNumberFormat="0" applyProtection="0">
      <alignment vertical="center"/>
    </xf>
    <xf numFmtId="4" fontId="18" fillId="4" borderId="107" applyNumberFormat="0" applyProtection="0">
      <alignment horizontal="left" vertical="center" indent="1"/>
    </xf>
    <xf numFmtId="175" fontId="18" fillId="4" borderId="107" applyNumberFormat="0" applyProtection="0">
      <alignment horizontal="left" vertical="top" indent="1"/>
    </xf>
    <xf numFmtId="4" fontId="18" fillId="41" borderId="107" applyNumberFormat="0" applyProtection="0">
      <alignment horizontal="right" vertical="center"/>
    </xf>
    <xf numFmtId="4" fontId="18" fillId="2" borderId="107" applyNumberFormat="0" applyProtection="0">
      <alignment horizontal="left" vertical="center" indent="1"/>
    </xf>
    <xf numFmtId="175" fontId="18" fillId="2" borderId="107" applyNumberFormat="0" applyProtection="0">
      <alignment horizontal="left" vertical="top" indent="1"/>
    </xf>
    <xf numFmtId="175"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 fillId="0" borderId="0"/>
    <xf numFmtId="175" fontId="2" fillId="0" borderId="0"/>
    <xf numFmtId="175"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5" fillId="28" borderId="104" applyNumberFormat="0" applyAlignment="0" applyProtection="0"/>
    <xf numFmtId="175" fontId="33" fillId="27" borderId="104" applyNumberFormat="0" applyAlignment="0" applyProtection="0"/>
    <xf numFmtId="175" fontId="16" fillId="26" borderId="105" applyNumberFormat="0" applyFont="0" applyAlignment="0" applyProtection="0"/>
    <xf numFmtId="175" fontId="36" fillId="28" borderId="106" applyNumberFormat="0" applyAlignment="0" applyProtection="0"/>
    <xf numFmtId="175" fontId="27" fillId="0" borderId="10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4" fontId="45" fillId="0" borderId="109" applyNumberFormat="0" applyProtection="0">
      <alignment horizontal="right" vertical="center"/>
    </xf>
    <xf numFmtId="4" fontId="45" fillId="51" borderId="109" applyNumberFormat="0" applyProtection="0">
      <alignment horizontal="left" vertical="center" indent="1"/>
    </xf>
    <xf numFmtId="43" fontId="2" fillId="0" borderId="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3" borderId="0" applyNumberFormat="0" applyBorder="0" applyAlignment="0" applyProtection="0"/>
    <xf numFmtId="0" fontId="2" fillId="65" borderId="0" applyNumberFormat="0" applyBorder="0" applyAlignment="0" applyProtection="0"/>
    <xf numFmtId="0" fontId="37" fillId="33" borderId="107" applyNumberFormat="0" applyProtection="0">
      <alignment horizontal="left" vertical="top" indent="1"/>
    </xf>
    <xf numFmtId="0" fontId="2" fillId="61" borderId="0" applyNumberFormat="0" applyBorder="0" applyAlignment="0" applyProtection="0"/>
    <xf numFmtId="0" fontId="16" fillId="8" borderId="107" applyNumberFormat="0" applyProtection="0">
      <alignment horizontal="left" vertical="center" indent="1"/>
    </xf>
    <xf numFmtId="0" fontId="16" fillId="8" borderId="107" applyNumberFormat="0" applyProtection="0">
      <alignment horizontal="left" vertical="top" indent="1"/>
    </xf>
    <xf numFmtId="0" fontId="16" fillId="2" borderId="107" applyNumberFormat="0" applyProtection="0">
      <alignment horizontal="left" vertical="center" indent="1"/>
    </xf>
    <xf numFmtId="0" fontId="16" fillId="2" borderId="107" applyNumberFormat="0" applyProtection="0">
      <alignment horizontal="left" vertical="top" indent="1"/>
    </xf>
    <xf numFmtId="0" fontId="16" fillId="6" borderId="107" applyNumberFormat="0" applyProtection="0">
      <alignment horizontal="left" vertical="center" indent="1"/>
    </xf>
    <xf numFmtId="0" fontId="16" fillId="6" borderId="107" applyNumberFormat="0" applyProtection="0">
      <alignment horizontal="left" vertical="top" indent="1"/>
    </xf>
    <xf numFmtId="0" fontId="16" fillId="41" borderId="107" applyNumberFormat="0" applyProtection="0">
      <alignment horizontal="left" vertical="center" indent="1"/>
    </xf>
    <xf numFmtId="0" fontId="16" fillId="41" borderId="107" applyNumberFormat="0" applyProtection="0">
      <alignment horizontal="left" vertical="top" indent="1"/>
    </xf>
    <xf numFmtId="0" fontId="2" fillId="61" borderId="0" applyNumberFormat="0" applyBorder="0" applyAlignment="0" applyProtection="0"/>
    <xf numFmtId="0" fontId="2" fillId="62" borderId="0" applyNumberFormat="0" applyBorder="0" applyAlignment="0" applyProtection="0"/>
    <xf numFmtId="0" fontId="18" fillId="4" borderId="107" applyNumberFormat="0" applyProtection="0">
      <alignment horizontal="left" vertical="top" indent="1"/>
    </xf>
    <xf numFmtId="0" fontId="2" fillId="61" borderId="0" applyNumberFormat="0" applyBorder="0" applyAlignment="0" applyProtection="0"/>
    <xf numFmtId="0" fontId="2" fillId="61" borderId="0" applyNumberFormat="0" applyBorder="0" applyAlignment="0" applyProtection="0"/>
    <xf numFmtId="0" fontId="18" fillId="2" borderId="107" applyNumberFormat="0" applyProtection="0">
      <alignment horizontal="left" vertical="top" indent="1"/>
    </xf>
    <xf numFmtId="0" fontId="2" fillId="6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1" borderId="0" applyNumberFormat="0" applyBorder="0" applyAlignment="0" applyProtection="0"/>
    <xf numFmtId="0" fontId="2" fillId="82" borderId="0" applyNumberFormat="0" applyBorder="0" applyAlignment="0" applyProtection="0"/>
    <xf numFmtId="0" fontId="2" fillId="0" borderId="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109" fillId="101" borderId="109" applyNumberFormat="0" applyAlignment="0" applyProtection="0"/>
    <xf numFmtId="0" fontId="110" fillId="10" borderId="104"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33" fillId="27" borderId="109" applyNumberFormat="0" applyAlignment="0" applyProtection="0"/>
    <xf numFmtId="0" fontId="116" fillId="11" borderId="10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81" applyNumberFormat="0" applyFont="0" applyAlignment="0" applyProtection="0"/>
    <xf numFmtId="0" fontId="18" fillId="4" borderId="105" applyNumberFormat="0" applyFont="0" applyAlignment="0" applyProtection="0"/>
    <xf numFmtId="0" fontId="45" fillId="26" borderId="109" applyNumberFormat="0" applyFont="0" applyAlignment="0" applyProtection="0"/>
    <xf numFmtId="0" fontId="2" fillId="59" borderId="81" applyNumberFormat="0" applyFont="0" applyAlignment="0" applyProtection="0"/>
    <xf numFmtId="0" fontId="36" fillId="101" borderId="106" applyNumberFormat="0" applyAlignment="0" applyProtection="0"/>
    <xf numFmtId="0" fontId="36" fillId="10" borderId="106" applyNumberFormat="0" applyAlignment="0" applyProtection="0"/>
    <xf numFmtId="9" fontId="2" fillId="0" borderId="0" applyFont="0" applyFill="0" applyBorder="0" applyAlignment="0" applyProtection="0"/>
    <xf numFmtId="9" fontId="2" fillId="0" borderId="0" applyFont="0" applyFill="0" applyBorder="0" applyAlignment="0" applyProtection="0"/>
    <xf numFmtId="4" fontId="18" fillId="106" borderId="106" applyNumberFormat="0" applyProtection="0">
      <alignment vertical="center"/>
    </xf>
    <xf numFmtId="4" fontId="18" fillId="106" borderId="106" applyNumberFormat="0" applyProtection="0">
      <alignment vertical="center"/>
    </xf>
    <xf numFmtId="4" fontId="45" fillId="33" borderId="109" applyNumberFormat="0" applyProtection="0">
      <alignment vertical="center"/>
    </xf>
    <xf numFmtId="4" fontId="45" fillId="33" borderId="109" applyNumberFormat="0" applyProtection="0">
      <alignment vertical="center"/>
    </xf>
    <xf numFmtId="4" fontId="45" fillId="33" borderId="109" applyNumberFormat="0" applyProtection="0">
      <alignment vertical="center"/>
    </xf>
    <xf numFmtId="4" fontId="40" fillId="106" borderId="106" applyNumberFormat="0" applyProtection="0">
      <alignment vertical="center"/>
    </xf>
    <xf numFmtId="4" fontId="118" fillId="106" borderId="109" applyNumberFormat="0" applyProtection="0">
      <alignment vertical="center"/>
    </xf>
    <xf numFmtId="4" fontId="18" fillId="106" borderId="106" applyNumberFormat="0" applyProtection="0">
      <alignment horizontal="left" vertical="center" indent="1"/>
    </xf>
    <xf numFmtId="4" fontId="45" fillId="106" borderId="109" applyNumberFormat="0" applyProtection="0">
      <alignment horizontal="left" vertical="center" indent="1"/>
    </xf>
    <xf numFmtId="4" fontId="45" fillId="106" borderId="109" applyNumberFormat="0" applyProtection="0">
      <alignment horizontal="left" vertical="center" indent="1"/>
    </xf>
    <xf numFmtId="4" fontId="45" fillId="106" borderId="109" applyNumberFormat="0" applyProtection="0">
      <alignment horizontal="left" vertical="center" indent="1"/>
    </xf>
    <xf numFmtId="4" fontId="18" fillId="106" borderId="106" applyNumberFormat="0" applyProtection="0">
      <alignment horizontal="left" vertical="center" indent="1"/>
    </xf>
    <xf numFmtId="0" fontId="119" fillId="33" borderId="107" applyNumberFormat="0" applyProtection="0">
      <alignment horizontal="left" vertical="top" indent="1"/>
    </xf>
    <xf numFmtId="0" fontId="16" fillId="107" borderId="106" applyNumberFormat="0" applyProtection="0">
      <alignment horizontal="left" vertical="center" indent="1"/>
    </xf>
    <xf numFmtId="4" fontId="45" fillId="51" borderId="109" applyNumberFormat="0" applyProtection="0">
      <alignment horizontal="left" vertical="center" indent="1"/>
    </xf>
    <xf numFmtId="4" fontId="45" fillId="51" borderId="109" applyNumberFormat="0" applyProtection="0">
      <alignment horizontal="left" vertical="center" indent="1"/>
    </xf>
    <xf numFmtId="4" fontId="45" fillId="51" borderId="109" applyNumberFormat="0" applyProtection="0">
      <alignment horizontal="left" vertical="center" indent="1"/>
    </xf>
    <xf numFmtId="4" fontId="18" fillId="108" borderId="106" applyNumberFormat="0" applyProtection="0">
      <alignment horizontal="right" vertical="center"/>
    </xf>
    <xf numFmtId="4" fontId="45" fillId="7" borderId="109" applyNumberFormat="0" applyProtection="0">
      <alignment horizontal="right" vertical="center"/>
    </xf>
    <xf numFmtId="4" fontId="45" fillId="7" borderId="109" applyNumberFormat="0" applyProtection="0">
      <alignment horizontal="right" vertical="center"/>
    </xf>
    <xf numFmtId="4" fontId="45" fillId="7" borderId="109" applyNumberFormat="0" applyProtection="0">
      <alignment horizontal="right" vertical="center"/>
    </xf>
    <xf numFmtId="4" fontId="18" fillId="109" borderId="106" applyNumberFormat="0" applyProtection="0">
      <alignment horizontal="right" vertical="center"/>
    </xf>
    <xf numFmtId="4" fontId="45" fillId="110" borderId="109" applyNumberFormat="0" applyProtection="0">
      <alignment horizontal="right" vertical="center"/>
    </xf>
    <xf numFmtId="4" fontId="45" fillId="110" borderId="109" applyNumberFormat="0" applyProtection="0">
      <alignment horizontal="right" vertical="center"/>
    </xf>
    <xf numFmtId="4" fontId="45" fillId="110" borderId="109" applyNumberFormat="0" applyProtection="0">
      <alignment horizontal="right" vertical="center"/>
    </xf>
    <xf numFmtId="4" fontId="18" fillId="111" borderId="106" applyNumberFormat="0" applyProtection="0">
      <alignment horizontal="right" vertical="center"/>
    </xf>
    <xf numFmtId="4" fontId="45" fillId="34" borderId="110" applyNumberFormat="0" applyProtection="0">
      <alignment horizontal="right" vertical="center"/>
    </xf>
    <xf numFmtId="4" fontId="45" fillId="34" borderId="110" applyNumberFormat="0" applyProtection="0">
      <alignment horizontal="right" vertical="center"/>
    </xf>
    <xf numFmtId="4" fontId="45" fillId="34" borderId="110" applyNumberFormat="0" applyProtection="0">
      <alignment horizontal="right" vertical="center"/>
    </xf>
    <xf numFmtId="4" fontId="18" fillId="112" borderId="106" applyNumberFormat="0" applyProtection="0">
      <alignment horizontal="right" vertical="center"/>
    </xf>
    <xf numFmtId="4" fontId="45" fillId="35" borderId="109" applyNumberFormat="0" applyProtection="0">
      <alignment horizontal="right" vertical="center"/>
    </xf>
    <xf numFmtId="4" fontId="45" fillId="35" borderId="109" applyNumberFormat="0" applyProtection="0">
      <alignment horizontal="right" vertical="center"/>
    </xf>
    <xf numFmtId="4" fontId="45" fillId="35" borderId="109" applyNumberFormat="0" applyProtection="0">
      <alignment horizontal="right" vertical="center"/>
    </xf>
    <xf numFmtId="4" fontId="18" fillId="113" borderId="106" applyNumberFormat="0" applyProtection="0">
      <alignment horizontal="right" vertical="center"/>
    </xf>
    <xf numFmtId="4" fontId="45" fillId="36" borderId="109" applyNumberFormat="0" applyProtection="0">
      <alignment horizontal="right" vertical="center"/>
    </xf>
    <xf numFmtId="4" fontId="45" fillId="36" borderId="109" applyNumberFormat="0" applyProtection="0">
      <alignment horizontal="right" vertical="center"/>
    </xf>
    <xf numFmtId="4" fontId="45" fillId="36" borderId="109" applyNumberFormat="0" applyProtection="0">
      <alignment horizontal="right" vertical="center"/>
    </xf>
    <xf numFmtId="4" fontId="18" fillId="114" borderId="106" applyNumberFormat="0" applyProtection="0">
      <alignment horizontal="right" vertical="center"/>
    </xf>
    <xf numFmtId="4" fontId="45" fillId="37" borderId="109" applyNumberFormat="0" applyProtection="0">
      <alignment horizontal="right" vertical="center"/>
    </xf>
    <xf numFmtId="4" fontId="45" fillId="37" borderId="109" applyNumberFormat="0" applyProtection="0">
      <alignment horizontal="right" vertical="center"/>
    </xf>
    <xf numFmtId="4" fontId="45" fillId="37" borderId="109" applyNumberFormat="0" applyProtection="0">
      <alignment horizontal="right" vertical="center"/>
    </xf>
    <xf numFmtId="4" fontId="18" fillId="115" borderId="106" applyNumberFormat="0" applyProtection="0">
      <alignment horizontal="right" vertical="center"/>
    </xf>
    <xf numFmtId="4" fontId="45" fillId="9" borderId="109" applyNumberFormat="0" applyProtection="0">
      <alignment horizontal="right" vertical="center"/>
    </xf>
    <xf numFmtId="4" fontId="45" fillId="9" borderId="109" applyNumberFormat="0" applyProtection="0">
      <alignment horizontal="right" vertical="center"/>
    </xf>
    <xf numFmtId="4" fontId="45" fillId="9" borderId="109" applyNumberFormat="0" applyProtection="0">
      <alignment horizontal="right" vertical="center"/>
    </xf>
    <xf numFmtId="4" fontId="18" fillId="116" borderId="106" applyNumberFormat="0" applyProtection="0">
      <alignment horizontal="right" vertical="center"/>
    </xf>
    <xf numFmtId="4" fontId="45" fillId="38" borderId="109" applyNumberFormat="0" applyProtection="0">
      <alignment horizontal="right" vertical="center"/>
    </xf>
    <xf numFmtId="4" fontId="45" fillId="38" borderId="109" applyNumberFormat="0" applyProtection="0">
      <alignment horizontal="right" vertical="center"/>
    </xf>
    <xf numFmtId="4" fontId="45" fillId="38" borderId="109" applyNumberFormat="0" applyProtection="0">
      <alignment horizontal="right" vertical="center"/>
    </xf>
    <xf numFmtId="4" fontId="18" fillId="117" borderId="106" applyNumberFormat="0" applyProtection="0">
      <alignment horizontal="right" vertical="center"/>
    </xf>
    <xf numFmtId="4" fontId="45" fillId="39" borderId="109" applyNumberFormat="0" applyProtection="0">
      <alignment horizontal="right" vertical="center"/>
    </xf>
    <xf numFmtId="4" fontId="45" fillId="39" borderId="109" applyNumberFormat="0" applyProtection="0">
      <alignment horizontal="right" vertical="center"/>
    </xf>
    <xf numFmtId="4" fontId="45" fillId="39" borderId="109" applyNumberFormat="0" applyProtection="0">
      <alignment horizontal="right" vertical="center"/>
    </xf>
    <xf numFmtId="4" fontId="37" fillId="118" borderId="106" applyNumberFormat="0" applyProtection="0">
      <alignment horizontal="left" vertical="center" indent="1"/>
    </xf>
    <xf numFmtId="4" fontId="45" fillId="40" borderId="110" applyNumberFormat="0" applyProtection="0">
      <alignment horizontal="left" vertical="center" indent="1"/>
    </xf>
    <xf numFmtId="4" fontId="45" fillId="40" borderId="110" applyNumberFormat="0" applyProtection="0">
      <alignment horizontal="left" vertical="center" indent="1"/>
    </xf>
    <xf numFmtId="4" fontId="45" fillId="40" borderId="110" applyNumberFormat="0" applyProtection="0">
      <alignment horizontal="left" vertical="center" indent="1"/>
    </xf>
    <xf numFmtId="4" fontId="18" fillId="119" borderId="111" applyNumberFormat="0" applyProtection="0">
      <alignment horizontal="left" vertical="center" indent="1"/>
    </xf>
    <xf numFmtId="4" fontId="16" fillId="8" borderId="110" applyNumberFormat="0" applyProtection="0">
      <alignment horizontal="left" vertical="center" indent="1"/>
    </xf>
    <xf numFmtId="4" fontId="16" fillId="8" borderId="110" applyNumberFormat="0" applyProtection="0">
      <alignment horizontal="left" vertical="center" indent="1"/>
    </xf>
    <xf numFmtId="0" fontId="16" fillId="107" borderId="106" applyNumberFormat="0" applyProtection="0">
      <alignment horizontal="left" vertical="center" indent="1"/>
    </xf>
    <xf numFmtId="4" fontId="45" fillId="2" borderId="109" applyNumberFormat="0" applyProtection="0">
      <alignment horizontal="right" vertical="center"/>
    </xf>
    <xf numFmtId="4" fontId="45" fillId="2" borderId="109" applyNumberFormat="0" applyProtection="0">
      <alignment horizontal="right" vertical="center"/>
    </xf>
    <xf numFmtId="4" fontId="45" fillId="2" borderId="109" applyNumberFormat="0" applyProtection="0">
      <alignment horizontal="right" vertical="center"/>
    </xf>
    <xf numFmtId="4" fontId="18" fillId="119" borderId="106" applyNumberFormat="0" applyProtection="0">
      <alignment horizontal="left" vertical="center" indent="1"/>
    </xf>
    <xf numFmtId="4" fontId="45" fillId="41" borderId="110" applyNumberFormat="0" applyProtection="0">
      <alignment horizontal="left" vertical="center" indent="1"/>
    </xf>
    <xf numFmtId="4" fontId="45" fillId="41" borderId="110" applyNumberFormat="0" applyProtection="0">
      <alignment horizontal="left" vertical="center" indent="1"/>
    </xf>
    <xf numFmtId="4" fontId="45" fillId="41" borderId="110" applyNumberFormat="0" applyProtection="0">
      <alignment horizontal="left" vertical="center" indent="1"/>
    </xf>
    <xf numFmtId="4" fontId="18" fillId="46" borderId="106" applyNumberFormat="0" applyProtection="0">
      <alignment horizontal="left" vertical="center" indent="1"/>
    </xf>
    <xf numFmtId="4" fontId="45" fillId="2" borderId="110" applyNumberFormat="0" applyProtection="0">
      <alignment horizontal="left" vertical="center" indent="1"/>
    </xf>
    <xf numFmtId="4" fontId="45" fillId="2" borderId="110" applyNumberFormat="0" applyProtection="0">
      <alignment horizontal="left" vertical="center" indent="1"/>
    </xf>
    <xf numFmtId="4" fontId="45" fillId="2" borderId="110" applyNumberFormat="0" applyProtection="0">
      <alignment horizontal="left" vertical="center" indent="1"/>
    </xf>
    <xf numFmtId="0" fontId="16" fillId="46" borderId="106" applyNumberFormat="0" applyProtection="0">
      <alignment horizontal="left" vertical="center" indent="1"/>
    </xf>
    <xf numFmtId="0" fontId="45" fillId="10" borderId="109" applyNumberFormat="0" applyProtection="0">
      <alignment horizontal="left" vertical="center" indent="1"/>
    </xf>
    <xf numFmtId="0" fontId="45" fillId="10" borderId="109" applyNumberFormat="0" applyProtection="0">
      <alignment horizontal="left" vertical="center" indent="1"/>
    </xf>
    <xf numFmtId="0" fontId="45" fillId="10" borderId="109" applyNumberFormat="0" applyProtection="0">
      <alignment horizontal="left" vertical="center" indent="1"/>
    </xf>
    <xf numFmtId="0" fontId="16" fillId="46" borderId="106" applyNumberFormat="0" applyProtection="0">
      <alignment horizontal="left" vertical="center" indent="1"/>
    </xf>
    <xf numFmtId="0" fontId="45" fillId="8" borderId="107" applyNumberFormat="0" applyProtection="0">
      <alignment horizontal="left" vertical="top" indent="1"/>
    </xf>
    <xf numFmtId="0" fontId="16" fillId="45" borderId="106" applyNumberFormat="0" applyProtection="0">
      <alignment horizontal="left" vertical="center" indent="1"/>
    </xf>
    <xf numFmtId="0" fontId="45" fillId="121" borderId="109" applyNumberFormat="0" applyProtection="0">
      <alignment horizontal="left" vertical="center" indent="1"/>
    </xf>
    <xf numFmtId="0" fontId="45" fillId="121" borderId="109" applyNumberFormat="0" applyProtection="0">
      <alignment horizontal="left" vertical="center" indent="1"/>
    </xf>
    <xf numFmtId="0" fontId="45" fillId="121" borderId="109" applyNumberFormat="0" applyProtection="0">
      <alignment horizontal="left" vertical="center" indent="1"/>
    </xf>
    <xf numFmtId="0" fontId="16" fillId="45" borderId="106" applyNumberFormat="0" applyProtection="0">
      <alignment horizontal="left" vertical="center" indent="1"/>
    </xf>
    <xf numFmtId="0" fontId="45" fillId="2" borderId="107" applyNumberFormat="0" applyProtection="0">
      <alignment horizontal="left" vertical="top" indent="1"/>
    </xf>
    <xf numFmtId="0" fontId="16" fillId="122" borderId="106" applyNumberFormat="0" applyProtection="0">
      <alignment horizontal="left" vertical="center" indent="1"/>
    </xf>
    <xf numFmtId="0" fontId="45" fillId="6" borderId="109" applyNumberFormat="0" applyProtection="0">
      <alignment horizontal="left" vertical="center" indent="1"/>
    </xf>
    <xf numFmtId="0" fontId="45" fillId="6" borderId="109" applyNumberFormat="0" applyProtection="0">
      <alignment horizontal="left" vertical="center" indent="1"/>
    </xf>
    <xf numFmtId="0" fontId="45" fillId="6" borderId="109" applyNumberFormat="0" applyProtection="0">
      <alignment horizontal="left" vertical="center" indent="1"/>
    </xf>
    <xf numFmtId="0" fontId="16" fillId="122" borderId="106" applyNumberFormat="0" applyProtection="0">
      <alignment horizontal="left" vertical="center" indent="1"/>
    </xf>
    <xf numFmtId="0" fontId="45" fillId="6" borderId="107" applyNumberFormat="0" applyProtection="0">
      <alignment horizontal="left" vertical="top" indent="1"/>
    </xf>
    <xf numFmtId="0" fontId="16" fillId="107" borderId="106" applyNumberFormat="0" applyProtection="0">
      <alignment horizontal="left" vertical="center" indent="1"/>
    </xf>
    <xf numFmtId="0" fontId="45" fillId="41" borderId="109" applyNumberFormat="0" applyProtection="0">
      <alignment horizontal="left" vertical="center" indent="1"/>
    </xf>
    <xf numFmtId="0" fontId="45" fillId="41" borderId="109" applyNumberFormat="0" applyProtection="0">
      <alignment horizontal="left" vertical="center" indent="1"/>
    </xf>
    <xf numFmtId="0" fontId="45" fillId="41" borderId="109" applyNumberFormat="0" applyProtection="0">
      <alignment horizontal="left" vertical="center" indent="1"/>
    </xf>
    <xf numFmtId="0" fontId="16" fillId="107" borderId="106" applyNumberFormat="0" applyProtection="0">
      <alignment horizontal="left" vertical="center" indent="1"/>
    </xf>
    <xf numFmtId="0" fontId="45" fillId="41" borderId="107"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8" borderId="112" applyBorder="0"/>
    <xf numFmtId="4" fontId="18" fillId="123" borderId="106" applyNumberFormat="0" applyProtection="0">
      <alignment vertical="center"/>
    </xf>
    <xf numFmtId="4" fontId="121" fillId="4" borderId="107" applyNumberFormat="0" applyProtection="0">
      <alignment vertical="center"/>
    </xf>
    <xf numFmtId="4" fontId="40" fillId="123" borderId="106" applyNumberFormat="0" applyProtection="0">
      <alignment vertical="center"/>
    </xf>
    <xf numFmtId="4" fontId="18" fillId="123" borderId="106" applyNumberFormat="0" applyProtection="0">
      <alignment horizontal="left" vertical="center" indent="1"/>
    </xf>
    <xf numFmtId="4" fontId="121" fillId="10" borderId="107" applyNumberFormat="0" applyProtection="0">
      <alignment horizontal="left" vertical="center" indent="1"/>
    </xf>
    <xf numFmtId="4" fontId="18" fillId="123" borderId="106" applyNumberFormat="0" applyProtection="0">
      <alignment horizontal="left" vertical="center" indent="1"/>
    </xf>
    <xf numFmtId="0" fontId="121" fillId="4" borderId="107" applyNumberFormat="0" applyProtection="0">
      <alignment horizontal="left" vertical="top" indent="1"/>
    </xf>
    <xf numFmtId="4" fontId="18" fillId="119" borderId="106" applyNumberFormat="0" applyProtection="0">
      <alignment horizontal="right" vertical="center"/>
    </xf>
    <xf numFmtId="4" fontId="18" fillId="119" borderId="106" applyNumberFormat="0" applyProtection="0">
      <alignment horizontal="right" vertical="center"/>
    </xf>
    <xf numFmtId="4" fontId="45" fillId="0" borderId="109" applyNumberFormat="0" applyProtection="0">
      <alignment horizontal="right" vertical="center"/>
    </xf>
    <xf numFmtId="4" fontId="45" fillId="0" borderId="109" applyNumberFormat="0" applyProtection="0">
      <alignment horizontal="right" vertical="center"/>
    </xf>
    <xf numFmtId="4" fontId="45" fillId="0" borderId="109" applyNumberFormat="0" applyProtection="0">
      <alignment horizontal="right" vertical="center"/>
    </xf>
    <xf numFmtId="4" fontId="40" fillId="119" borderId="106" applyNumberFormat="0" applyProtection="0">
      <alignment horizontal="right" vertical="center"/>
    </xf>
    <xf numFmtId="4" fontId="118" fillId="43" borderId="109" applyNumberFormat="0" applyProtection="0">
      <alignment horizontal="right" vertical="center"/>
    </xf>
    <xf numFmtId="0" fontId="16" fillId="107" borderId="106" applyNumberFormat="0" applyProtection="0">
      <alignment horizontal="left" vertical="center" indent="1"/>
    </xf>
    <xf numFmtId="4" fontId="45" fillId="51" borderId="109" applyNumberFormat="0" applyProtection="0">
      <alignment horizontal="left" vertical="center" indent="1"/>
    </xf>
    <xf numFmtId="4" fontId="45" fillId="51" borderId="109" applyNumberFormat="0" applyProtection="0">
      <alignment horizontal="left" vertical="center" indent="1"/>
    </xf>
    <xf numFmtId="4" fontId="45" fillId="51" borderId="109" applyNumberFormat="0" applyProtection="0">
      <alignment horizontal="left" vertical="center" indent="1"/>
    </xf>
    <xf numFmtId="0" fontId="16" fillId="107" borderId="106" applyNumberFormat="0" applyProtection="0">
      <alignment horizontal="left" vertical="center" indent="1"/>
    </xf>
    <xf numFmtId="0" fontId="121" fillId="2" borderId="107" applyNumberFormat="0" applyProtection="0">
      <alignment horizontal="left" vertical="top" indent="1"/>
    </xf>
    <xf numFmtId="4" fontId="123" fillId="42" borderId="110" applyNumberFormat="0" applyProtection="0">
      <alignment horizontal="left" vertical="center" indent="1"/>
    </xf>
    <xf numFmtId="4" fontId="42" fillId="119" borderId="106" applyNumberFormat="0" applyProtection="0">
      <alignment horizontal="right" vertical="center"/>
    </xf>
    <xf numFmtId="4" fontId="124" fillId="5" borderId="109" applyNumberFormat="0" applyProtection="0">
      <alignment horizontal="right" vertical="center"/>
    </xf>
    <xf numFmtId="0" fontId="27" fillId="0" borderId="108" applyNumberFormat="0" applyFill="0" applyAlignment="0" applyProtection="0"/>
    <xf numFmtId="0" fontId="27" fillId="0" borderId="113" applyNumberFormat="0" applyFill="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81"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81"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81"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81"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59" borderId="81"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9" borderId="8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81"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105" applyNumberFormat="0" applyFont="0" applyAlignment="0" applyProtection="0"/>
    <xf numFmtId="0" fontId="2" fillId="0" borderId="0"/>
    <xf numFmtId="44" fontId="2" fillId="0" borderId="0" applyFont="0" applyFill="0" applyBorder="0" applyAlignment="0" applyProtection="0"/>
    <xf numFmtId="0" fontId="2" fillId="0" borderId="0"/>
    <xf numFmtId="0" fontId="2" fillId="59" borderId="81" applyNumberFormat="0" applyFont="0" applyAlignment="0" applyProtection="0"/>
    <xf numFmtId="0" fontId="2" fillId="0" borderId="0"/>
    <xf numFmtId="0" fontId="2" fillId="0" borderId="0"/>
    <xf numFmtId="0" fontId="2" fillId="0" borderId="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81" applyNumberFormat="0" applyFont="0" applyAlignment="0" applyProtection="0"/>
    <xf numFmtId="0" fontId="2" fillId="59" borderId="8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81"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81"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81"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81" applyNumberFormat="0" applyFont="0" applyAlignment="0" applyProtection="0"/>
    <xf numFmtId="43" fontId="2" fillId="0" borderId="0" applyFont="0" applyFill="0" applyBorder="0" applyAlignment="0" applyProtection="0"/>
    <xf numFmtId="4" fontId="45" fillId="0" borderId="109" applyNumberFormat="0" applyProtection="0">
      <alignment horizontal="right" vertical="center"/>
    </xf>
    <xf numFmtId="4" fontId="18" fillId="123" borderId="106" applyNumberFormat="0" applyProtection="0">
      <alignment vertical="center"/>
    </xf>
    <xf numFmtId="4" fontId="45" fillId="34" borderId="110" applyNumberFormat="0" applyProtection="0">
      <alignment horizontal="right" vertical="center"/>
    </xf>
    <xf numFmtId="4" fontId="45" fillId="40" borderId="110" applyNumberFormat="0" applyProtection="0">
      <alignment horizontal="left" vertical="center" indent="1"/>
    </xf>
    <xf numFmtId="4" fontId="45" fillId="37" borderId="109" applyNumberFormat="0" applyProtection="0">
      <alignment horizontal="right" vertical="center"/>
    </xf>
    <xf numFmtId="4" fontId="40" fillId="106" borderId="106" applyNumberFormat="0" applyProtection="0">
      <alignment vertical="center"/>
    </xf>
    <xf numFmtId="0" fontId="16" fillId="107" borderId="106" applyNumberFormat="0" applyProtection="0">
      <alignment horizontal="left" vertical="center" indent="1"/>
    </xf>
    <xf numFmtId="4" fontId="45" fillId="37" borderId="109" applyNumberFormat="0" applyProtection="0">
      <alignment horizontal="right" vertical="center"/>
    </xf>
    <xf numFmtId="4" fontId="45" fillId="0" borderId="109" applyNumberFormat="0" applyProtection="0">
      <alignment horizontal="right" vertical="center"/>
    </xf>
    <xf numFmtId="0" fontId="45" fillId="41" borderId="109" applyNumberFormat="0" applyProtection="0">
      <alignment horizontal="left" vertical="center" indent="1"/>
    </xf>
    <xf numFmtId="0" fontId="16" fillId="46" borderId="106" applyNumberFormat="0" applyProtection="0">
      <alignment horizontal="left" vertical="center" indent="1"/>
    </xf>
    <xf numFmtId="4" fontId="18" fillId="106" borderId="106" applyNumberFormat="0" applyProtection="0">
      <alignment horizontal="left" vertical="center" indent="1"/>
    </xf>
    <xf numFmtId="4" fontId="18" fillId="119" borderId="111" applyNumberFormat="0" applyProtection="0">
      <alignment horizontal="left" vertical="center" indent="1"/>
    </xf>
    <xf numFmtId="0" fontId="45" fillId="10" borderId="109" applyNumberFormat="0" applyProtection="0">
      <alignment horizontal="left" vertical="center" indent="1"/>
    </xf>
    <xf numFmtId="4" fontId="45" fillId="35" borderId="109" applyNumberFormat="0" applyProtection="0">
      <alignment horizontal="right" vertical="center"/>
    </xf>
    <xf numFmtId="0" fontId="119" fillId="33" borderId="107" applyNumberFormat="0" applyProtection="0">
      <alignment horizontal="left" vertical="top" indent="1"/>
    </xf>
    <xf numFmtId="0" fontId="120" fillId="8" borderId="112" applyBorder="0"/>
    <xf numFmtId="0" fontId="45" fillId="121" borderId="109" applyNumberFormat="0" applyProtection="0">
      <alignment horizontal="left" vertical="center" indent="1"/>
    </xf>
    <xf numFmtId="0" fontId="45" fillId="41" borderId="107" applyNumberFormat="0" applyProtection="0">
      <alignment horizontal="left" vertical="top" indent="1"/>
    </xf>
    <xf numFmtId="4" fontId="45" fillId="39" borderId="109" applyNumberFormat="0" applyProtection="0">
      <alignment horizontal="right" vertical="center"/>
    </xf>
    <xf numFmtId="4" fontId="45" fillId="35" borderId="109" applyNumberFormat="0" applyProtection="0">
      <alignment horizontal="right" vertical="center"/>
    </xf>
    <xf numFmtId="0" fontId="45" fillId="10" borderId="109" applyNumberFormat="0" applyProtection="0">
      <alignment horizontal="left" vertical="center" indent="1"/>
    </xf>
    <xf numFmtId="4" fontId="18" fillId="113" borderId="106" applyNumberFormat="0" applyProtection="0">
      <alignment horizontal="right" vertical="center"/>
    </xf>
    <xf numFmtId="0" fontId="45" fillId="10" borderId="109" applyNumberFormat="0" applyProtection="0">
      <alignment horizontal="left" vertical="center" indent="1"/>
    </xf>
    <xf numFmtId="4" fontId="124" fillId="5" borderId="109" applyNumberFormat="0" applyProtection="0">
      <alignment horizontal="right" vertical="center"/>
    </xf>
    <xf numFmtId="4" fontId="18" fillId="117" borderId="106" applyNumberFormat="0" applyProtection="0">
      <alignment horizontal="right" vertical="center"/>
    </xf>
    <xf numFmtId="4" fontId="45" fillId="33" borderId="109" applyNumberFormat="0" applyProtection="0">
      <alignment vertical="center"/>
    </xf>
    <xf numFmtId="4" fontId="45" fillId="37" borderId="109" applyNumberFormat="0" applyProtection="0">
      <alignment horizontal="right" vertical="center"/>
    </xf>
    <xf numFmtId="0" fontId="45" fillId="121" borderId="109" applyNumberFormat="0" applyProtection="0">
      <alignment horizontal="left" vertical="center" indent="1"/>
    </xf>
    <xf numFmtId="4" fontId="18" fillId="46" borderId="106" applyNumberFormat="0" applyProtection="0">
      <alignment horizontal="left" vertical="center" indent="1"/>
    </xf>
    <xf numFmtId="4" fontId="45" fillId="37" borderId="109" applyNumberFormat="0" applyProtection="0">
      <alignment horizontal="right" vertical="center"/>
    </xf>
    <xf numFmtId="4" fontId="37" fillId="118" borderId="106" applyNumberFormat="0" applyProtection="0">
      <alignment horizontal="left" vertical="center" indent="1"/>
    </xf>
    <xf numFmtId="4" fontId="45" fillId="9" borderId="109" applyNumberFormat="0" applyProtection="0">
      <alignment horizontal="right" vertical="center"/>
    </xf>
    <xf numFmtId="0" fontId="45" fillId="6" borderId="109" applyNumberFormat="0" applyProtection="0">
      <alignment horizontal="left" vertical="center" indent="1"/>
    </xf>
    <xf numFmtId="0" fontId="121" fillId="4" borderId="107" applyNumberFormat="0" applyProtection="0">
      <alignment horizontal="left" vertical="top" indent="1"/>
    </xf>
    <xf numFmtId="4" fontId="45" fillId="41" borderId="110" applyNumberFormat="0" applyProtection="0">
      <alignment horizontal="left" vertical="center" indent="1"/>
    </xf>
    <xf numFmtId="0" fontId="45" fillId="124" borderId="114"/>
    <xf numFmtId="4" fontId="45" fillId="51" borderId="109" applyNumberFormat="0" applyProtection="0">
      <alignment horizontal="left" vertical="center" indent="1"/>
    </xf>
    <xf numFmtId="0" fontId="36" fillId="10" borderId="106" applyNumberFormat="0" applyAlignment="0" applyProtection="0"/>
    <xf numFmtId="0" fontId="18" fillId="4" borderId="105" applyNumberFormat="0" applyFont="0" applyAlignment="0" applyProtection="0"/>
    <xf numFmtId="4" fontId="18" fillId="112" borderId="106" applyNumberFormat="0" applyProtection="0">
      <alignment horizontal="right" vertical="center"/>
    </xf>
    <xf numFmtId="0" fontId="16" fillId="45" borderId="106" applyNumberFormat="0" applyProtection="0">
      <alignment horizontal="left" vertical="center" indent="1"/>
    </xf>
    <xf numFmtId="0" fontId="16" fillId="46" borderId="106" applyNumberFormat="0" applyProtection="0">
      <alignment horizontal="left" vertical="center" indent="1"/>
    </xf>
    <xf numFmtId="4" fontId="45" fillId="38" borderId="109" applyNumberFormat="0" applyProtection="0">
      <alignment horizontal="right" vertical="center"/>
    </xf>
    <xf numFmtId="4" fontId="18" fillId="108" borderId="106" applyNumberFormat="0" applyProtection="0">
      <alignment horizontal="right" vertical="center"/>
    </xf>
    <xf numFmtId="4" fontId="45" fillId="51" borderId="109" applyNumberFormat="0" applyProtection="0">
      <alignment horizontal="left" vertical="center" indent="1"/>
    </xf>
    <xf numFmtId="0" fontId="45" fillId="41" borderId="109" applyNumberFormat="0" applyProtection="0">
      <alignment horizontal="left" vertical="center" indent="1"/>
    </xf>
    <xf numFmtId="4" fontId="45" fillId="2" borderId="109" applyNumberFormat="0" applyProtection="0">
      <alignment horizontal="right" vertical="center"/>
    </xf>
    <xf numFmtId="0" fontId="16" fillId="107" borderId="106" applyNumberFormat="0" applyProtection="0">
      <alignment horizontal="left" vertical="center" indent="1"/>
    </xf>
    <xf numFmtId="4" fontId="18" fillId="109" borderId="106" applyNumberFormat="0" applyProtection="0">
      <alignment horizontal="right" vertical="center"/>
    </xf>
    <xf numFmtId="0" fontId="45" fillId="6" borderId="109" applyNumberFormat="0" applyProtection="0">
      <alignment horizontal="left" vertical="center" indent="1"/>
    </xf>
    <xf numFmtId="4" fontId="45" fillId="51" borderId="109" applyNumberFormat="0" applyProtection="0">
      <alignment horizontal="left" vertical="center" indent="1"/>
    </xf>
    <xf numFmtId="4" fontId="45" fillId="41" borderId="110" applyNumberFormat="0" applyProtection="0">
      <alignment horizontal="left" vertical="center" indent="1"/>
    </xf>
    <xf numFmtId="0" fontId="16" fillId="107" borderId="106" applyNumberFormat="0" applyProtection="0">
      <alignment horizontal="left" vertical="center" indent="1"/>
    </xf>
    <xf numFmtId="4" fontId="18" fillId="119" borderId="106" applyNumberFormat="0" applyProtection="0">
      <alignment horizontal="right" vertical="center"/>
    </xf>
    <xf numFmtId="4" fontId="40" fillId="106" borderId="106" applyNumberFormat="0" applyProtection="0">
      <alignment vertical="center"/>
    </xf>
    <xf numFmtId="4" fontId="18" fillId="119" borderId="106" applyNumberFormat="0" applyProtection="0">
      <alignment horizontal="right" vertical="center"/>
    </xf>
    <xf numFmtId="4" fontId="45" fillId="40" borderId="110" applyNumberFormat="0" applyProtection="0">
      <alignment horizontal="left" vertical="center" indent="1"/>
    </xf>
    <xf numFmtId="0" fontId="45" fillId="2" borderId="107" applyNumberFormat="0" applyProtection="0">
      <alignment horizontal="left" vertical="top" indent="1"/>
    </xf>
    <xf numFmtId="4" fontId="45" fillId="33" borderId="109" applyNumberFormat="0" applyProtection="0">
      <alignment vertical="center"/>
    </xf>
    <xf numFmtId="4" fontId="118" fillId="123" borderId="114" applyNumberFormat="0" applyProtection="0">
      <alignment vertical="center"/>
    </xf>
    <xf numFmtId="0" fontId="121" fillId="2" borderId="107" applyNumberFormat="0" applyProtection="0">
      <alignment horizontal="left" vertical="top" indent="1"/>
    </xf>
    <xf numFmtId="4" fontId="45" fillId="37" borderId="109" applyNumberFormat="0" applyProtection="0">
      <alignment horizontal="right" vertical="center"/>
    </xf>
    <xf numFmtId="0" fontId="109" fillId="101" borderId="109" applyNumberFormat="0" applyAlignment="0" applyProtection="0"/>
    <xf numFmtId="4" fontId="45" fillId="51" borderId="109" applyNumberFormat="0" applyProtection="0">
      <alignment horizontal="left" vertical="center" indent="1"/>
    </xf>
    <xf numFmtId="4" fontId="40" fillId="123" borderId="106" applyNumberFormat="0" applyProtection="0">
      <alignment vertical="center"/>
    </xf>
    <xf numFmtId="4" fontId="45" fillId="33" borderId="109" applyNumberFormat="0" applyProtection="0">
      <alignment vertical="center"/>
    </xf>
    <xf numFmtId="0" fontId="16" fillId="107" borderId="106" applyNumberFormat="0" applyProtection="0">
      <alignment horizontal="left" vertical="center" indent="1"/>
    </xf>
    <xf numFmtId="4" fontId="45" fillId="40" borderId="110" applyNumberFormat="0" applyProtection="0">
      <alignment horizontal="left" vertical="center" indent="1"/>
    </xf>
    <xf numFmtId="4" fontId="18" fillId="119" borderId="106" applyNumberFormat="0" applyProtection="0">
      <alignment horizontal="right" vertical="center"/>
    </xf>
    <xf numFmtId="0" fontId="16" fillId="107" borderId="106" applyNumberFormat="0" applyProtection="0">
      <alignment horizontal="left" vertical="center" indent="1"/>
    </xf>
    <xf numFmtId="4" fontId="45" fillId="39" borderId="109" applyNumberFormat="0" applyProtection="0">
      <alignment horizontal="right" vertical="center"/>
    </xf>
    <xf numFmtId="0" fontId="33" fillId="27" borderId="109" applyNumberFormat="0" applyAlignment="0" applyProtection="0"/>
    <xf numFmtId="4" fontId="18" fillId="112" borderId="106" applyNumberFormat="0" applyProtection="0">
      <alignment horizontal="right" vertical="center"/>
    </xf>
    <xf numFmtId="4" fontId="45" fillId="38" borderId="109" applyNumberFormat="0" applyProtection="0">
      <alignment horizontal="right" vertical="center"/>
    </xf>
    <xf numFmtId="4" fontId="45" fillId="106" borderId="109" applyNumberFormat="0" applyProtection="0">
      <alignment horizontal="left" vertical="center" indent="1"/>
    </xf>
    <xf numFmtId="4" fontId="45" fillId="36" borderId="109" applyNumberFormat="0" applyProtection="0">
      <alignment horizontal="right" vertical="center"/>
    </xf>
    <xf numFmtId="4" fontId="45" fillId="41" borderId="110" applyNumberFormat="0" applyProtection="0">
      <alignment horizontal="left" vertical="center" indent="1"/>
    </xf>
    <xf numFmtId="4" fontId="45" fillId="110" borderId="109" applyNumberFormat="0" applyProtection="0">
      <alignment horizontal="right" vertical="center"/>
    </xf>
    <xf numFmtId="4" fontId="45" fillId="2" borderId="110" applyNumberFormat="0" applyProtection="0">
      <alignment horizontal="left" vertical="center" indent="1"/>
    </xf>
    <xf numFmtId="4" fontId="45" fillId="39" borderId="109" applyNumberFormat="0" applyProtection="0">
      <alignment horizontal="right" vertical="center"/>
    </xf>
    <xf numFmtId="4" fontId="45" fillId="41" borderId="110" applyNumberFormat="0" applyProtection="0">
      <alignment horizontal="left" vertical="center" indent="1"/>
    </xf>
    <xf numFmtId="4" fontId="18" fillId="106" borderId="106" applyNumberFormat="0" applyProtection="0">
      <alignment horizontal="left" vertical="center" indent="1"/>
    </xf>
    <xf numFmtId="4" fontId="18" fillId="115" borderId="106" applyNumberFormat="0" applyProtection="0">
      <alignment horizontal="right" vertical="center"/>
    </xf>
    <xf numFmtId="4" fontId="18" fillId="106" borderId="106" applyNumberFormat="0" applyProtection="0">
      <alignment horizontal="left" vertical="center" indent="1"/>
    </xf>
    <xf numFmtId="4" fontId="45" fillId="38" borderId="109" applyNumberFormat="0" applyProtection="0">
      <alignment horizontal="right" vertical="center"/>
    </xf>
    <xf numFmtId="4" fontId="45" fillId="2" borderId="110" applyNumberFormat="0" applyProtection="0">
      <alignment horizontal="left" vertical="center" indent="1"/>
    </xf>
    <xf numFmtId="4" fontId="45" fillId="35" borderId="109" applyNumberFormat="0" applyProtection="0">
      <alignment horizontal="right" vertical="center"/>
    </xf>
    <xf numFmtId="0" fontId="45" fillId="2" borderId="107" applyNumberFormat="0" applyProtection="0">
      <alignment horizontal="left" vertical="top" indent="1"/>
    </xf>
    <xf numFmtId="4" fontId="45" fillId="7" borderId="109" applyNumberFormat="0" applyProtection="0">
      <alignment horizontal="right" vertical="center"/>
    </xf>
    <xf numFmtId="0" fontId="36" fillId="10" borderId="106" applyNumberFormat="0" applyAlignment="0" applyProtection="0"/>
    <xf numFmtId="4" fontId="45" fillId="51" borderId="109" applyNumberFormat="0" applyProtection="0">
      <alignment horizontal="left" vertical="center" indent="1"/>
    </xf>
    <xf numFmtId="4" fontId="45" fillId="40" borderId="110" applyNumberFormat="0" applyProtection="0">
      <alignment horizontal="left" vertical="center" indent="1"/>
    </xf>
    <xf numFmtId="0" fontId="45" fillId="41" borderId="107" applyNumberFormat="0" applyProtection="0">
      <alignment horizontal="left" vertical="top" indent="1"/>
    </xf>
    <xf numFmtId="4" fontId="45" fillId="37" borderId="109" applyNumberFormat="0" applyProtection="0">
      <alignment horizontal="right" vertical="center"/>
    </xf>
    <xf numFmtId="0" fontId="16" fillId="122" borderId="106" applyNumberFormat="0" applyProtection="0">
      <alignment horizontal="left" vertical="center" indent="1"/>
    </xf>
    <xf numFmtId="0" fontId="36" fillId="101" borderId="106" applyNumberFormat="0" applyAlignment="0" applyProtection="0"/>
    <xf numFmtId="0" fontId="110" fillId="10" borderId="104" applyNumberFormat="0" applyAlignment="0" applyProtection="0"/>
    <xf numFmtId="4" fontId="18" fillId="123" borderId="106" applyNumberFormat="0" applyProtection="0">
      <alignment horizontal="left" vertical="center" indent="1"/>
    </xf>
    <xf numFmtId="4" fontId="45" fillId="34" borderId="110" applyNumberFormat="0" applyProtection="0">
      <alignment horizontal="right" vertical="center"/>
    </xf>
    <xf numFmtId="4" fontId="18" fillId="46" borderId="106" applyNumberFormat="0" applyProtection="0">
      <alignment horizontal="left" vertical="center" indent="1"/>
    </xf>
    <xf numFmtId="4" fontId="121" fillId="10" borderId="107" applyNumberFormat="0" applyProtection="0">
      <alignment horizontal="left" vertical="center" indent="1"/>
    </xf>
    <xf numFmtId="4" fontId="45" fillId="41" borderId="110" applyNumberFormat="0" applyProtection="0">
      <alignment horizontal="left" vertical="center" indent="1"/>
    </xf>
    <xf numFmtId="0" fontId="45" fillId="41" borderId="109" applyNumberFormat="0" applyProtection="0">
      <alignment horizontal="left" vertical="center" indent="1"/>
    </xf>
    <xf numFmtId="4" fontId="123" fillId="42" borderId="110" applyNumberFormat="0" applyProtection="0">
      <alignment horizontal="left" vertical="center" indent="1"/>
    </xf>
    <xf numFmtId="4" fontId="45" fillId="51" borderId="109" applyNumberFormat="0" applyProtection="0">
      <alignment horizontal="left" vertical="center" indent="1"/>
    </xf>
    <xf numFmtId="0" fontId="16" fillId="107" borderId="106" applyNumberFormat="0" applyProtection="0">
      <alignment horizontal="left" vertical="center" indent="1"/>
    </xf>
    <xf numFmtId="0" fontId="45" fillId="124" borderId="114"/>
    <xf numFmtId="0" fontId="45" fillId="6" borderId="109" applyNumberFormat="0" applyProtection="0">
      <alignment horizontal="left" vertical="center" indent="1"/>
    </xf>
    <xf numFmtId="0" fontId="16" fillId="107" borderId="106" applyNumberFormat="0" applyProtection="0">
      <alignment horizontal="left" vertical="center" indent="1"/>
    </xf>
    <xf numFmtId="4" fontId="45" fillId="38" borderId="109" applyNumberFormat="0" applyProtection="0">
      <alignment horizontal="right" vertical="center"/>
    </xf>
    <xf numFmtId="4" fontId="45" fillId="2" borderId="109" applyNumberFormat="0" applyProtection="0">
      <alignment horizontal="right" vertical="center"/>
    </xf>
    <xf numFmtId="4" fontId="18" fillId="111" borderId="106" applyNumberFormat="0" applyProtection="0">
      <alignment horizontal="right" vertical="center"/>
    </xf>
    <xf numFmtId="4" fontId="45" fillId="35" borderId="109" applyNumberFormat="0" applyProtection="0">
      <alignment horizontal="right" vertical="center"/>
    </xf>
    <xf numFmtId="4" fontId="18" fillId="119" borderId="106" applyNumberFormat="0" applyProtection="0">
      <alignment horizontal="left" vertical="center" indent="1"/>
    </xf>
    <xf numFmtId="4" fontId="18" fillId="119" borderId="106" applyNumberFormat="0" applyProtection="0">
      <alignment horizontal="right" vertical="center"/>
    </xf>
    <xf numFmtId="0" fontId="18" fillId="4" borderId="105" applyNumberFormat="0" applyFont="0" applyAlignment="0" applyProtection="0"/>
    <xf numFmtId="0" fontId="45" fillId="6" borderId="107" applyNumberFormat="0" applyProtection="0">
      <alignment horizontal="left" vertical="top" indent="1"/>
    </xf>
    <xf numFmtId="0" fontId="27" fillId="0" borderId="113" applyNumberFormat="0" applyFill="0" applyAlignment="0" applyProtection="0"/>
    <xf numFmtId="0" fontId="45" fillId="10" borderId="109" applyNumberFormat="0" applyProtection="0">
      <alignment horizontal="left" vertical="center" indent="1"/>
    </xf>
    <xf numFmtId="4" fontId="18" fillId="117" borderId="106" applyNumberFormat="0" applyProtection="0">
      <alignment horizontal="right" vertical="center"/>
    </xf>
    <xf numFmtId="4" fontId="18" fillId="123" borderId="106" applyNumberFormat="0" applyProtection="0">
      <alignment vertical="center"/>
    </xf>
    <xf numFmtId="4" fontId="45" fillId="51" borderId="109" applyNumberFormat="0" applyProtection="0">
      <alignment horizontal="left" vertical="center" indent="1"/>
    </xf>
    <xf numFmtId="0" fontId="16" fillId="122" borderId="106" applyNumberFormat="0" applyProtection="0">
      <alignment horizontal="left" vertical="center" indent="1"/>
    </xf>
    <xf numFmtId="4" fontId="45" fillId="9" borderId="109" applyNumberFormat="0" applyProtection="0">
      <alignment horizontal="right" vertical="center"/>
    </xf>
    <xf numFmtId="4" fontId="18" fillId="114" borderId="106" applyNumberFormat="0" applyProtection="0">
      <alignment horizontal="right" vertical="center"/>
    </xf>
    <xf numFmtId="4" fontId="45" fillId="36" borderId="109" applyNumberFormat="0" applyProtection="0">
      <alignment horizontal="right" vertical="center"/>
    </xf>
    <xf numFmtId="4" fontId="45" fillId="34" borderId="110" applyNumberFormat="0" applyProtection="0">
      <alignment horizontal="right" vertical="center"/>
    </xf>
    <xf numFmtId="0" fontId="27" fillId="0" borderId="108" applyNumberFormat="0" applyFill="0" applyAlignment="0" applyProtection="0"/>
    <xf numFmtId="4" fontId="45" fillId="7" borderId="109" applyNumberFormat="0" applyProtection="0">
      <alignment horizontal="right" vertical="center"/>
    </xf>
    <xf numFmtId="4" fontId="45" fillId="40" borderId="110" applyNumberFormat="0" applyProtection="0">
      <alignment horizontal="left" vertical="center" indent="1"/>
    </xf>
    <xf numFmtId="4" fontId="45" fillId="110" borderId="109" applyNumberFormat="0" applyProtection="0">
      <alignment horizontal="right" vertical="center"/>
    </xf>
    <xf numFmtId="4" fontId="45" fillId="7" borderId="109" applyNumberFormat="0" applyProtection="0">
      <alignment horizontal="right" vertical="center"/>
    </xf>
    <xf numFmtId="4" fontId="45" fillId="51" borderId="109" applyNumberFormat="0" applyProtection="0">
      <alignment horizontal="left" vertical="center" indent="1"/>
    </xf>
    <xf numFmtId="4" fontId="45" fillId="110" borderId="109" applyNumberFormat="0" applyProtection="0">
      <alignment horizontal="right" vertical="center"/>
    </xf>
    <xf numFmtId="0" fontId="45" fillId="121" borderId="109" applyNumberFormat="0" applyProtection="0">
      <alignment horizontal="left" vertical="center" indent="1"/>
    </xf>
    <xf numFmtId="4" fontId="45" fillId="51" borderId="109" applyNumberFormat="0" applyProtection="0">
      <alignment horizontal="left" vertical="center" indent="1"/>
    </xf>
    <xf numFmtId="4" fontId="45" fillId="36" borderId="109" applyNumberFormat="0" applyProtection="0">
      <alignment horizontal="right" vertical="center"/>
    </xf>
    <xf numFmtId="4" fontId="45" fillId="2" borderId="109" applyNumberFormat="0" applyProtection="0">
      <alignment horizontal="right" vertical="center"/>
    </xf>
    <xf numFmtId="4" fontId="45" fillId="51" borderId="109" applyNumberFormat="0" applyProtection="0">
      <alignment horizontal="left" vertical="center" indent="1"/>
    </xf>
    <xf numFmtId="0" fontId="121" fillId="4" borderId="107" applyNumberFormat="0" applyProtection="0">
      <alignment horizontal="left" vertical="top" indent="1"/>
    </xf>
    <xf numFmtId="0" fontId="16" fillId="107" borderId="106" applyNumberFormat="0" applyProtection="0">
      <alignment horizontal="left" vertical="center" indent="1"/>
    </xf>
    <xf numFmtId="4" fontId="45" fillId="36" borderId="109" applyNumberFormat="0" applyProtection="0">
      <alignment horizontal="right" vertical="center"/>
    </xf>
    <xf numFmtId="4" fontId="45" fillId="35" borderId="109" applyNumberFormat="0" applyProtection="0">
      <alignment horizontal="right" vertical="center"/>
    </xf>
    <xf numFmtId="0" fontId="45" fillId="121" borderId="109" applyNumberFormat="0" applyProtection="0">
      <alignment horizontal="left" vertical="center" indent="1"/>
    </xf>
    <xf numFmtId="0" fontId="45" fillId="6" borderId="109" applyNumberFormat="0" applyProtection="0">
      <alignment horizontal="left" vertical="center" indent="1"/>
    </xf>
    <xf numFmtId="4" fontId="118" fillId="106" borderId="109" applyNumberFormat="0" applyProtection="0">
      <alignment vertical="center"/>
    </xf>
    <xf numFmtId="4" fontId="45" fillId="33" borderId="109" applyNumberFormat="0" applyProtection="0">
      <alignment vertical="center"/>
    </xf>
    <xf numFmtId="4" fontId="118" fillId="106" borderId="109" applyNumberFormat="0" applyProtection="0">
      <alignment vertical="center"/>
    </xf>
    <xf numFmtId="0" fontId="16" fillId="46" borderId="106" applyNumberFormat="0" applyProtection="0">
      <alignment horizontal="left" vertical="center" indent="1"/>
    </xf>
    <xf numFmtId="4" fontId="45" fillId="34" borderId="110" applyNumberFormat="0" applyProtection="0">
      <alignment horizontal="right" vertical="center"/>
    </xf>
    <xf numFmtId="4" fontId="45" fillId="106" borderId="109" applyNumberFormat="0" applyProtection="0">
      <alignment horizontal="left" vertical="center" indent="1"/>
    </xf>
    <xf numFmtId="4" fontId="16" fillId="8" borderId="110" applyNumberFormat="0" applyProtection="0">
      <alignment horizontal="left" vertical="center" indent="1"/>
    </xf>
    <xf numFmtId="0" fontId="45" fillId="6" borderId="109" applyNumberFormat="0" applyProtection="0">
      <alignment horizontal="left" vertical="center" indent="1"/>
    </xf>
    <xf numFmtId="4" fontId="16" fillId="8" borderId="110" applyNumberFormat="0" applyProtection="0">
      <alignment horizontal="left" vertical="center" indent="1"/>
    </xf>
    <xf numFmtId="0" fontId="16" fillId="46" borderId="106" applyNumberFormat="0" applyProtection="0">
      <alignment horizontal="left" vertical="center" indent="1"/>
    </xf>
    <xf numFmtId="0" fontId="16" fillId="107" borderId="106" applyNumberFormat="0" applyProtection="0">
      <alignment horizontal="left" vertical="center" indent="1"/>
    </xf>
    <xf numFmtId="4" fontId="18" fillId="106" borderId="106" applyNumberFormat="0" applyProtection="0">
      <alignment vertical="center"/>
    </xf>
    <xf numFmtId="4" fontId="45" fillId="36" borderId="109" applyNumberFormat="0" applyProtection="0">
      <alignment horizontal="right" vertical="center"/>
    </xf>
    <xf numFmtId="4" fontId="16" fillId="8" borderId="110" applyNumberFormat="0" applyProtection="0">
      <alignment horizontal="left" vertical="center" indent="1"/>
    </xf>
    <xf numFmtId="4" fontId="37" fillId="118" borderId="106" applyNumberFormat="0" applyProtection="0">
      <alignment horizontal="left" vertical="center" indent="1"/>
    </xf>
    <xf numFmtId="4" fontId="18" fillId="116" borderId="106" applyNumberFormat="0" applyProtection="0">
      <alignment horizontal="right" vertical="center"/>
    </xf>
    <xf numFmtId="4" fontId="18" fillId="106" borderId="106" applyNumberFormat="0" applyProtection="0">
      <alignment vertical="center"/>
    </xf>
    <xf numFmtId="4" fontId="40" fillId="123" borderId="106" applyNumberFormat="0" applyProtection="0">
      <alignment vertical="center"/>
    </xf>
    <xf numFmtId="4" fontId="40" fillId="119" borderId="106" applyNumberFormat="0" applyProtection="0">
      <alignment horizontal="right" vertical="center"/>
    </xf>
    <xf numFmtId="4" fontId="18" fillId="114" borderId="106" applyNumberFormat="0" applyProtection="0">
      <alignment horizontal="right" vertical="center"/>
    </xf>
    <xf numFmtId="0" fontId="18" fillId="4" borderId="105" applyNumberFormat="0" applyFont="0" applyAlignment="0" applyProtection="0"/>
    <xf numFmtId="4" fontId="18" fillId="108" borderId="106" applyNumberFormat="0" applyProtection="0">
      <alignment horizontal="right" vertical="center"/>
    </xf>
    <xf numFmtId="4" fontId="45" fillId="9" borderId="109" applyNumberFormat="0" applyProtection="0">
      <alignment horizontal="right" vertical="center"/>
    </xf>
    <xf numFmtId="4" fontId="124" fillId="5" borderId="109" applyNumberFormat="0" applyProtection="0">
      <alignment horizontal="right" vertical="center"/>
    </xf>
    <xf numFmtId="0" fontId="16" fillId="122" borderId="106" applyNumberFormat="0" applyProtection="0">
      <alignment horizontal="left" vertical="center" indent="1"/>
    </xf>
    <xf numFmtId="0" fontId="45" fillId="41" borderId="109" applyNumberFormat="0" applyProtection="0">
      <alignment horizontal="left" vertical="center" indent="1"/>
    </xf>
    <xf numFmtId="0" fontId="45" fillId="121" borderId="109" applyNumberFormat="0" applyProtection="0">
      <alignment horizontal="left" vertical="center" indent="1"/>
    </xf>
    <xf numFmtId="4" fontId="45" fillId="34" borderId="110" applyNumberFormat="0" applyProtection="0">
      <alignment horizontal="right" vertical="center"/>
    </xf>
    <xf numFmtId="4" fontId="45" fillId="106" borderId="109" applyNumberFormat="0" applyProtection="0">
      <alignment horizontal="left" vertical="center" indent="1"/>
    </xf>
    <xf numFmtId="0" fontId="45" fillId="8" borderId="107" applyNumberFormat="0" applyProtection="0">
      <alignment horizontal="left" vertical="top" indent="1"/>
    </xf>
    <xf numFmtId="4" fontId="45" fillId="34" borderId="110" applyNumberFormat="0" applyProtection="0">
      <alignment horizontal="right" vertical="center"/>
    </xf>
    <xf numFmtId="4" fontId="45" fillId="2" borderId="110" applyNumberFormat="0" applyProtection="0">
      <alignment horizontal="left" vertical="center" indent="1"/>
    </xf>
    <xf numFmtId="4" fontId="45" fillId="40" borderId="110" applyNumberFormat="0" applyProtection="0">
      <alignment horizontal="left" vertical="center" indent="1"/>
    </xf>
    <xf numFmtId="4" fontId="45" fillId="2" borderId="109" applyNumberFormat="0" applyProtection="0">
      <alignment horizontal="right" vertical="center"/>
    </xf>
    <xf numFmtId="0" fontId="45" fillId="8" borderId="107" applyNumberFormat="0" applyProtection="0">
      <alignment horizontal="left" vertical="top" indent="1"/>
    </xf>
    <xf numFmtId="4" fontId="45" fillId="38" borderId="109" applyNumberFormat="0" applyProtection="0">
      <alignment horizontal="right" vertical="center"/>
    </xf>
    <xf numFmtId="0" fontId="45" fillId="121" borderId="109" applyNumberFormat="0" applyProtection="0">
      <alignment horizontal="left" vertical="center" indent="1"/>
    </xf>
    <xf numFmtId="0" fontId="116" fillId="11" borderId="104" applyNumberFormat="0" applyAlignment="0" applyProtection="0"/>
    <xf numFmtId="4" fontId="18" fillId="123" borderId="106" applyNumberFormat="0" applyProtection="0">
      <alignment horizontal="left" vertical="center" indent="1"/>
    </xf>
    <xf numFmtId="4" fontId="121" fillId="4" borderId="107" applyNumberFormat="0" applyProtection="0">
      <alignment vertical="center"/>
    </xf>
    <xf numFmtId="4" fontId="121" fillId="4" borderId="107" applyNumberFormat="0" applyProtection="0">
      <alignment vertical="center"/>
    </xf>
    <xf numFmtId="0" fontId="45" fillId="6" borderId="107" applyNumberFormat="0" applyProtection="0">
      <alignment horizontal="left" vertical="top" indent="1"/>
    </xf>
    <xf numFmtId="4" fontId="45" fillId="110" borderId="109" applyNumberFormat="0" applyProtection="0">
      <alignment horizontal="right" vertical="center"/>
    </xf>
    <xf numFmtId="4" fontId="45" fillId="2" borderId="110" applyNumberFormat="0" applyProtection="0">
      <alignment horizontal="left" vertical="center" indent="1"/>
    </xf>
    <xf numFmtId="0" fontId="45" fillId="10" borderId="109" applyNumberFormat="0" applyProtection="0">
      <alignment horizontal="left" vertical="center" indent="1"/>
    </xf>
    <xf numFmtId="4" fontId="18" fillId="119" borderId="106" applyNumberFormat="0" applyProtection="0">
      <alignment horizontal="left" vertical="center" indent="1"/>
    </xf>
    <xf numFmtId="4" fontId="45" fillId="9" borderId="109" applyNumberFormat="0" applyProtection="0">
      <alignment horizontal="right" vertical="center"/>
    </xf>
    <xf numFmtId="4" fontId="45" fillId="2" borderId="109" applyNumberFormat="0" applyProtection="0">
      <alignment horizontal="right" vertical="center"/>
    </xf>
    <xf numFmtId="0" fontId="45" fillId="41" borderId="109" applyNumberFormat="0" applyProtection="0">
      <alignment horizontal="left" vertical="center" indent="1"/>
    </xf>
    <xf numFmtId="4" fontId="118" fillId="43" borderId="109" applyNumberFormat="0" applyProtection="0">
      <alignment horizontal="right" vertical="center"/>
    </xf>
    <xf numFmtId="4" fontId="45" fillId="2" borderId="109" applyNumberFormat="0" applyProtection="0">
      <alignment horizontal="right" vertical="center"/>
    </xf>
    <xf numFmtId="4" fontId="45" fillId="0" borderId="109" applyNumberFormat="0" applyProtection="0">
      <alignment horizontal="right" vertical="center"/>
    </xf>
    <xf numFmtId="0" fontId="16" fillId="45" borderId="106" applyNumberFormat="0" applyProtection="0">
      <alignment horizontal="left" vertical="center" indent="1"/>
    </xf>
    <xf numFmtId="4" fontId="18" fillId="111" borderId="106" applyNumberFormat="0" applyProtection="0">
      <alignment horizontal="right" vertical="center"/>
    </xf>
    <xf numFmtId="0" fontId="16" fillId="107" borderId="106" applyNumberFormat="0" applyProtection="0">
      <alignment horizontal="left" vertical="center" indent="1"/>
    </xf>
    <xf numFmtId="4" fontId="18" fillId="106" borderId="106" applyNumberFormat="0" applyProtection="0">
      <alignment vertical="center"/>
    </xf>
    <xf numFmtId="4" fontId="45" fillId="39" borderId="109" applyNumberFormat="0" applyProtection="0">
      <alignment horizontal="right" vertical="center"/>
    </xf>
    <xf numFmtId="0" fontId="33" fillId="27" borderId="109" applyNumberFormat="0" applyAlignment="0" applyProtection="0"/>
    <xf numFmtId="0" fontId="45" fillId="41" borderId="109" applyNumberFormat="0" applyProtection="0">
      <alignment horizontal="left" vertical="center" indent="1"/>
    </xf>
    <xf numFmtId="4" fontId="18" fillId="115" borderId="106" applyNumberFormat="0" applyProtection="0">
      <alignment horizontal="right" vertical="center"/>
    </xf>
    <xf numFmtId="4" fontId="45" fillId="9" borderId="109" applyNumberFormat="0" applyProtection="0">
      <alignment horizontal="right" vertical="center"/>
    </xf>
    <xf numFmtId="4" fontId="45" fillId="39" borderId="109" applyNumberFormat="0" applyProtection="0">
      <alignment horizontal="right" vertical="center"/>
    </xf>
    <xf numFmtId="0" fontId="16" fillId="107" borderId="106" applyNumberFormat="0" applyProtection="0">
      <alignment horizontal="left" vertical="center" indent="1"/>
    </xf>
    <xf numFmtId="4" fontId="18" fillId="109" borderId="106" applyNumberFormat="0" applyProtection="0">
      <alignment horizontal="right" vertical="center"/>
    </xf>
    <xf numFmtId="4" fontId="45" fillId="0" borderId="109" applyNumberFormat="0" applyProtection="0">
      <alignment horizontal="right" vertical="center"/>
    </xf>
    <xf numFmtId="4" fontId="45" fillId="110" borderId="109" applyNumberFormat="0" applyProtection="0">
      <alignment horizontal="right" vertical="center"/>
    </xf>
    <xf numFmtId="4" fontId="18" fillId="106" borderId="106" applyNumberFormat="0" applyProtection="0">
      <alignment horizontal="left" vertical="center" indent="1"/>
    </xf>
    <xf numFmtId="4" fontId="45" fillId="51" borderId="109" applyNumberFormat="0" applyProtection="0">
      <alignment horizontal="left" vertical="center" indent="1"/>
    </xf>
    <xf numFmtId="0" fontId="16" fillId="122" borderId="106" applyNumberFormat="0" applyProtection="0">
      <alignment horizontal="left" vertical="center" indent="1"/>
    </xf>
    <xf numFmtId="4" fontId="18" fillId="123" borderId="106" applyNumberFormat="0" applyProtection="0">
      <alignment horizontal="left" vertical="center" indent="1"/>
    </xf>
    <xf numFmtId="4" fontId="45" fillId="7" borderId="109" applyNumberFormat="0" applyProtection="0">
      <alignment horizontal="right" vertical="center"/>
    </xf>
    <xf numFmtId="0" fontId="116" fillId="11" borderId="104" applyNumberFormat="0" applyAlignment="0" applyProtection="0"/>
    <xf numFmtId="4" fontId="118" fillId="43" borderId="109" applyNumberFormat="0" applyProtection="0">
      <alignment horizontal="right" vertical="center"/>
    </xf>
    <xf numFmtId="4" fontId="45" fillId="110" borderId="109" applyNumberFormat="0" applyProtection="0">
      <alignment horizontal="right" vertical="center"/>
    </xf>
    <xf numFmtId="0" fontId="16" fillId="45" borderId="106" applyNumberFormat="0" applyProtection="0">
      <alignment horizontal="left" vertical="center" indent="1"/>
    </xf>
    <xf numFmtId="0" fontId="120" fillId="8" borderId="112" applyBorder="0"/>
    <xf numFmtId="0" fontId="45" fillId="6" borderId="109" applyNumberFormat="0" applyProtection="0">
      <alignment horizontal="left" vertical="center" indent="1"/>
    </xf>
    <xf numFmtId="4" fontId="18" fillId="116" borderId="106" applyNumberFormat="0" applyProtection="0">
      <alignment horizontal="right" vertical="center"/>
    </xf>
    <xf numFmtId="4" fontId="45" fillId="36" borderId="109" applyNumberFormat="0" applyProtection="0">
      <alignment horizontal="right" vertical="center"/>
    </xf>
    <xf numFmtId="4" fontId="45" fillId="9" borderId="109" applyNumberFormat="0" applyProtection="0">
      <alignment horizontal="right" vertical="center"/>
    </xf>
    <xf numFmtId="4" fontId="45" fillId="38" borderId="109" applyNumberFormat="0" applyProtection="0">
      <alignment horizontal="right" vertical="center"/>
    </xf>
    <xf numFmtId="4" fontId="121" fillId="10" borderId="107" applyNumberFormat="0" applyProtection="0">
      <alignment horizontal="left" vertical="center" indent="1"/>
    </xf>
    <xf numFmtId="4" fontId="45" fillId="7" borderId="109" applyNumberFormat="0" applyProtection="0">
      <alignment horizontal="right" vertical="center"/>
    </xf>
    <xf numFmtId="4" fontId="45" fillId="33" borderId="109" applyNumberFormat="0" applyProtection="0">
      <alignment vertical="center"/>
    </xf>
    <xf numFmtId="4" fontId="18" fillId="123" borderId="106" applyNumberFormat="0" applyProtection="0">
      <alignment horizontal="left" vertical="center" indent="1"/>
    </xf>
    <xf numFmtId="4" fontId="45" fillId="106" borderId="109" applyNumberFormat="0" applyProtection="0">
      <alignment horizontal="left" vertical="center" indent="1"/>
    </xf>
    <xf numFmtId="0" fontId="45" fillId="10" borderId="109" applyNumberFormat="0" applyProtection="0">
      <alignment horizontal="left" vertical="center" indent="1"/>
    </xf>
    <xf numFmtId="4" fontId="45" fillId="41" borderId="110" applyNumberFormat="0" applyProtection="0">
      <alignment horizontal="left" vertical="center" indent="1"/>
    </xf>
    <xf numFmtId="4" fontId="18" fillId="113" borderId="106" applyNumberFormat="0" applyProtection="0">
      <alignment horizontal="right" vertical="center"/>
    </xf>
    <xf numFmtId="4" fontId="45" fillId="35" borderId="109" applyNumberFormat="0" applyProtection="0">
      <alignment horizontal="right" vertical="center"/>
    </xf>
    <xf numFmtId="4" fontId="16" fillId="8" borderId="110" applyNumberFormat="0" applyProtection="0">
      <alignment horizontal="left" vertical="center" indent="1"/>
    </xf>
    <xf numFmtId="0" fontId="16" fillId="45" borderId="106" applyNumberFormat="0" applyProtection="0">
      <alignment horizontal="left" vertical="center" indent="1"/>
    </xf>
    <xf numFmtId="4" fontId="45" fillId="39" borderId="109" applyNumberFormat="0" applyProtection="0">
      <alignment horizontal="right" vertical="center"/>
    </xf>
    <xf numFmtId="4" fontId="45" fillId="2" borderId="110" applyNumberFormat="0" applyProtection="0">
      <alignment horizontal="left" vertical="center" indent="1"/>
    </xf>
    <xf numFmtId="4" fontId="42" fillId="119" borderId="106" applyNumberFormat="0" applyProtection="0">
      <alignment horizontal="right" vertical="center"/>
    </xf>
    <xf numFmtId="4" fontId="45" fillId="2" borderId="110" applyNumberFormat="0" applyProtection="0">
      <alignment horizontal="left" vertical="center" indent="1"/>
    </xf>
    <xf numFmtId="4" fontId="45" fillId="106" borderId="109" applyNumberFormat="0" applyProtection="0">
      <alignment horizontal="left" vertical="center" indent="1"/>
    </xf>
    <xf numFmtId="4" fontId="18" fillId="106" borderId="106" applyNumberFormat="0" applyProtection="0">
      <alignment vertical="center"/>
    </xf>
    <xf numFmtId="4" fontId="45" fillId="106" borderId="109" applyNumberFormat="0" applyProtection="0">
      <alignment horizontal="left" vertical="center" indent="1"/>
    </xf>
    <xf numFmtId="0" fontId="45" fillId="26" borderId="109" applyNumberFormat="0" applyFont="0" applyAlignment="0" applyProtection="0"/>
    <xf numFmtId="0" fontId="110" fillId="10" borderId="104" applyNumberFormat="0" applyAlignment="0" applyProtection="0"/>
    <xf numFmtId="4" fontId="45" fillId="7" borderId="109" applyNumberFormat="0" applyProtection="0">
      <alignment horizontal="right" vertical="center"/>
    </xf>
    <xf numFmtId="0" fontId="119" fillId="33" borderId="107" applyNumberFormat="0" applyProtection="0">
      <alignment horizontal="left" vertical="top" indent="1"/>
    </xf>
    <xf numFmtId="4" fontId="45" fillId="33" borderId="109" applyNumberFormat="0" applyProtection="0">
      <alignment vertical="center"/>
    </xf>
    <xf numFmtId="0" fontId="109" fillId="101" borderId="109" applyNumberFormat="0" applyAlignment="0" applyProtection="0"/>
    <xf numFmtId="4" fontId="123" fillId="42" borderId="110" applyNumberFormat="0" applyProtection="0">
      <alignment horizontal="left" vertical="center" indent="1"/>
    </xf>
    <xf numFmtId="0" fontId="45" fillId="124" borderId="114"/>
    <xf numFmtId="0" fontId="121" fillId="2" borderId="107" applyNumberFormat="0" applyProtection="0">
      <alignment horizontal="left" vertical="top" indent="1"/>
    </xf>
    <xf numFmtId="4" fontId="42" fillId="119" borderId="106" applyNumberFormat="0" applyProtection="0">
      <alignment horizontal="right" vertical="center"/>
    </xf>
    <xf numFmtId="4" fontId="45" fillId="0" borderId="109" applyNumberFormat="0" applyProtection="0">
      <alignment horizontal="right" vertical="center"/>
    </xf>
    <xf numFmtId="0" fontId="16" fillId="107" borderId="106" applyNumberFormat="0" applyProtection="0">
      <alignment horizontal="left" vertical="center" indent="1"/>
    </xf>
    <xf numFmtId="4" fontId="45" fillId="0" borderId="109" applyNumberFormat="0" applyProtection="0">
      <alignment horizontal="right" vertical="center"/>
    </xf>
    <xf numFmtId="4" fontId="45" fillId="51" borderId="109" applyNumberFormat="0" applyProtection="0">
      <alignment horizontal="left" vertical="center" indent="1"/>
    </xf>
    <xf numFmtId="4" fontId="40" fillId="119" borderId="106" applyNumberFormat="0" applyProtection="0">
      <alignment horizontal="right" vertical="center"/>
    </xf>
    <xf numFmtId="0" fontId="36" fillId="101" borderId="106" applyNumberFormat="0" applyAlignment="0" applyProtection="0"/>
    <xf numFmtId="0" fontId="45" fillId="26" borderId="109" applyNumberFormat="0" applyFont="0" applyAlignment="0" applyProtection="0"/>
    <xf numFmtId="0" fontId="18" fillId="4" borderId="10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6" fillId="0" borderId="0" applyFont="0" applyFill="0" applyBorder="0" applyAlignment="0" applyProtection="0"/>
  </cellStyleXfs>
  <cellXfs count="755">
    <xf numFmtId="175" fontId="0" fillId="0" borderId="0" xfId="0"/>
    <xf numFmtId="3" fontId="16" fillId="0" borderId="24" xfId="0" applyNumberFormat="1" applyFont="1" applyBorder="1" applyAlignment="1">
      <alignment horizontal="center"/>
    </xf>
    <xf numFmtId="3" fontId="16" fillId="0" borderId="31" xfId="0" applyNumberFormat="1" applyFont="1" applyBorder="1" applyAlignment="1">
      <alignment horizontal="center"/>
    </xf>
    <xf numFmtId="3" fontId="16" fillId="0" borderId="33" xfId="0" applyNumberFormat="1" applyFont="1" applyBorder="1" applyAlignment="1">
      <alignment horizontal="center"/>
    </xf>
    <xf numFmtId="3" fontId="16" fillId="0" borderId="41" xfId="0" applyNumberFormat="1" applyFont="1" applyBorder="1" applyAlignment="1" applyProtection="1">
      <alignment wrapText="1"/>
      <protection locked="0"/>
    </xf>
    <xf numFmtId="165" fontId="16" fillId="0" borderId="25" xfId="0" applyNumberFormat="1" applyFont="1" applyBorder="1" applyAlignment="1" applyProtection="1">
      <alignment horizontal="center"/>
      <protection locked="0"/>
    </xf>
    <xf numFmtId="165" fontId="16" fillId="0" borderId="0" xfId="0" applyNumberFormat="1" applyFont="1" applyProtection="1">
      <protection locked="0"/>
    </xf>
    <xf numFmtId="3" fontId="16" fillId="0" borderId="48" xfId="0" applyNumberFormat="1" applyFont="1" applyBorder="1" applyAlignment="1" applyProtection="1">
      <alignment wrapText="1"/>
      <protection locked="0"/>
    </xf>
    <xf numFmtId="165" fontId="16" fillId="0" borderId="32" xfId="0" applyNumberFormat="1" applyFont="1" applyBorder="1" applyAlignment="1" applyProtection="1">
      <alignment horizontal="center"/>
      <protection locked="0"/>
    </xf>
    <xf numFmtId="165" fontId="16" fillId="0" borderId="0" xfId="0" applyNumberFormat="1" applyFont="1" applyAlignment="1" applyProtection="1">
      <alignment horizontal="center"/>
      <protection locked="0"/>
    </xf>
    <xf numFmtId="175" fontId="16" fillId="0" borderId="0" xfId="0" applyFont="1" applyProtection="1">
      <protection locked="0"/>
    </xf>
    <xf numFmtId="175" fontId="17" fillId="0" borderId="0" xfId="0" applyFont="1" applyAlignment="1" applyProtection="1">
      <alignment horizontal="center" wrapText="1"/>
      <protection locked="0"/>
    </xf>
    <xf numFmtId="3" fontId="16" fillId="0" borderId="0" xfId="0" applyNumberFormat="1" applyFont="1" applyProtection="1">
      <protection locked="0"/>
    </xf>
    <xf numFmtId="175" fontId="17" fillId="0" borderId="0" xfId="0" applyFont="1" applyAlignment="1" applyProtection="1">
      <alignment wrapText="1"/>
      <protection locked="0"/>
    </xf>
    <xf numFmtId="3" fontId="48" fillId="0" borderId="17" xfId="0" applyNumberFormat="1" applyFont="1" applyBorder="1" applyAlignment="1">
      <alignment horizontal="center"/>
    </xf>
    <xf numFmtId="6" fontId="16" fillId="0" borderId="0" xfId="66" applyNumberFormat="1"/>
    <xf numFmtId="175" fontId="16" fillId="0" borderId="0" xfId="66"/>
    <xf numFmtId="175" fontId="18" fillId="0" borderId="0" xfId="67"/>
    <xf numFmtId="175" fontId="37" fillId="0" borderId="11" xfId="67" applyFont="1" applyBorder="1" applyAlignment="1">
      <alignment horizontal="center"/>
    </xf>
    <xf numFmtId="175" fontId="37" fillId="0" borderId="0" xfId="67" applyFont="1" applyAlignment="1">
      <alignment horizontal="center"/>
    </xf>
    <xf numFmtId="175" fontId="17" fillId="0" borderId="43" xfId="66" applyFont="1" applyBorder="1"/>
    <xf numFmtId="175" fontId="17" fillId="0" borderId="45" xfId="66" applyFont="1" applyBorder="1" applyAlignment="1">
      <alignment wrapText="1"/>
    </xf>
    <xf numFmtId="175" fontId="46" fillId="0" borderId="0" xfId="66" applyFont="1"/>
    <xf numFmtId="175" fontId="17" fillId="44" borderId="35" xfId="66" applyFont="1" applyFill="1" applyBorder="1" applyAlignment="1">
      <alignment horizontal="center"/>
    </xf>
    <xf numFmtId="175" fontId="17" fillId="0" borderId="36" xfId="66" applyFont="1" applyBorder="1" applyAlignment="1">
      <alignment horizontal="center"/>
    </xf>
    <xf numFmtId="175" fontId="47" fillId="0" borderId="44" xfId="66" applyFont="1" applyBorder="1" applyAlignment="1">
      <alignment horizontal="center"/>
    </xf>
    <xf numFmtId="175" fontId="17" fillId="0" borderId="44" xfId="66" applyFont="1" applyBorder="1" applyAlignment="1">
      <alignment horizontal="center"/>
    </xf>
    <xf numFmtId="175" fontId="16" fillId="0" borderId="44" xfId="66" applyBorder="1"/>
    <xf numFmtId="164" fontId="16" fillId="0" borderId="0" xfId="66" applyNumberFormat="1"/>
    <xf numFmtId="175" fontId="17" fillId="0" borderId="44" xfId="66" applyFont="1" applyBorder="1"/>
    <xf numFmtId="164" fontId="16" fillId="0" borderId="0" xfId="66" applyNumberFormat="1" applyAlignment="1">
      <alignment horizontal="right"/>
    </xf>
    <xf numFmtId="175" fontId="17" fillId="0" borderId="44" xfId="66" applyFont="1" applyBorder="1" applyAlignment="1">
      <alignment horizontal="left" indent="1"/>
    </xf>
    <xf numFmtId="175" fontId="17" fillId="0" borderId="44" xfId="66" applyFont="1" applyBorder="1" applyAlignment="1">
      <alignment horizontal="center" wrapText="1"/>
    </xf>
    <xf numFmtId="175" fontId="17" fillId="0" borderId="43" xfId="66" applyFont="1" applyBorder="1" applyAlignment="1">
      <alignment horizontal="left" indent="1"/>
    </xf>
    <xf numFmtId="175" fontId="17" fillId="0" borderId="47" xfId="66" applyFont="1" applyBorder="1" applyAlignment="1">
      <alignment horizontal="left" indent="1"/>
    </xf>
    <xf numFmtId="164" fontId="16" fillId="44" borderId="0" xfId="66" applyNumberFormat="1" applyFill="1"/>
    <xf numFmtId="175" fontId="17" fillId="0" borderId="37" xfId="66" applyFont="1" applyBorder="1" applyAlignment="1">
      <alignment wrapText="1"/>
    </xf>
    <xf numFmtId="164" fontId="17" fillId="0" borderId="37" xfId="66" applyNumberFormat="1" applyFont="1" applyBorder="1"/>
    <xf numFmtId="175" fontId="17" fillId="0" borderId="0" xfId="0" applyFont="1"/>
    <xf numFmtId="175" fontId="0" fillId="0" borderId="15" xfId="0" applyBorder="1"/>
    <xf numFmtId="175" fontId="17" fillId="0" borderId="34" xfId="0" applyFont="1" applyBorder="1"/>
    <xf numFmtId="175" fontId="16" fillId="0" borderId="0" xfId="0" applyFont="1"/>
    <xf numFmtId="175" fontId="16" fillId="0" borderId="13" xfId="0" applyFont="1" applyBorder="1"/>
    <xf numFmtId="175" fontId="37" fillId="0" borderId="0" xfId="0" applyFont="1" applyProtection="1">
      <protection locked="0"/>
    </xf>
    <xf numFmtId="175" fontId="18" fillId="0" borderId="0" xfId="0" applyFont="1" applyProtection="1">
      <protection locked="0"/>
    </xf>
    <xf numFmtId="165" fontId="18" fillId="0" borderId="0" xfId="0" applyNumberFormat="1" applyFont="1" applyProtection="1">
      <protection locked="0"/>
    </xf>
    <xf numFmtId="175" fontId="49" fillId="0" borderId="0" xfId="0" applyFont="1" applyProtection="1">
      <protection locked="0"/>
    </xf>
    <xf numFmtId="172" fontId="37" fillId="0" borderId="0" xfId="0" applyNumberFormat="1" applyFont="1" applyAlignment="1" applyProtection="1">
      <alignment horizontal="right"/>
      <protection locked="0"/>
    </xf>
    <xf numFmtId="172" fontId="37"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8" fillId="0" borderId="0" xfId="0" applyFont="1" applyAlignment="1" applyProtection="1">
      <alignment horizontal="left" indent="1"/>
      <protection locked="0"/>
    </xf>
    <xf numFmtId="175" fontId="18" fillId="0" borderId="0" xfId="0" applyFont="1"/>
    <xf numFmtId="175" fontId="37" fillId="0" borderId="11" xfId="0" applyFont="1" applyBorder="1" applyAlignment="1">
      <alignment horizontal="center" wrapText="1"/>
    </xf>
    <xf numFmtId="175" fontId="18" fillId="0" borderId="11" xfId="0" applyFont="1" applyBorder="1"/>
    <xf numFmtId="172" fontId="18" fillId="0" borderId="11" xfId="0" applyNumberFormat="1" applyFont="1" applyBorder="1"/>
    <xf numFmtId="172" fontId="18" fillId="0" borderId="11" xfId="46" applyNumberFormat="1" applyFont="1" applyBorder="1" applyAlignment="1">
      <alignment horizontal="right"/>
    </xf>
    <xf numFmtId="166" fontId="18" fillId="0" borderId="11" xfId="46" applyNumberFormat="1" applyFont="1" applyBorder="1" applyAlignment="1">
      <alignment horizontal="right"/>
    </xf>
    <xf numFmtId="172" fontId="37" fillId="0" borderId="11" xfId="46" applyNumberFormat="1" applyFont="1" applyBorder="1" applyAlignment="1">
      <alignment horizontal="right" wrapText="1"/>
    </xf>
    <xf numFmtId="166" fontId="37" fillId="0" borderId="11" xfId="0" applyNumberFormat="1" applyFont="1" applyBorder="1"/>
    <xf numFmtId="166" fontId="18" fillId="0" borderId="11" xfId="46" applyNumberFormat="1" applyFont="1" applyBorder="1" applyAlignment="1">
      <alignment horizontal="right" wrapText="1"/>
    </xf>
    <xf numFmtId="166" fontId="18" fillId="0" borderId="11" xfId="0" applyNumberFormat="1" applyFont="1" applyBorder="1"/>
    <xf numFmtId="175" fontId="37" fillId="0" borderId="20" xfId="0" applyFont="1" applyBorder="1"/>
    <xf numFmtId="166" fontId="37" fillId="0" borderId="20" xfId="0" applyNumberFormat="1" applyFont="1" applyBorder="1"/>
    <xf numFmtId="175" fontId="37" fillId="0" borderId="20" xfId="0" applyFont="1" applyBorder="1" applyAlignment="1">
      <alignment horizontal="center"/>
    </xf>
    <xf numFmtId="166" fontId="37" fillId="0" borderId="11" xfId="0" applyNumberFormat="1" applyFont="1" applyBorder="1" applyAlignment="1">
      <alignment horizontal="center" wrapText="1"/>
    </xf>
    <xf numFmtId="166" fontId="37" fillId="0" borderId="11" xfId="0" applyNumberFormat="1" applyFont="1" applyBorder="1" applyAlignment="1">
      <alignment horizontal="center"/>
    </xf>
    <xf numFmtId="166" fontId="37" fillId="0" borderId="20" xfId="0" applyNumberFormat="1" applyFont="1" applyBorder="1" applyAlignment="1">
      <alignment horizontal="center"/>
    </xf>
    <xf numFmtId="166" fontId="18" fillId="0" borderId="27" xfId="0" applyNumberFormat="1" applyFont="1" applyBorder="1"/>
    <xf numFmtId="166" fontId="37" fillId="0" borderId="27" xfId="0" applyNumberFormat="1" applyFont="1" applyBorder="1"/>
    <xf numFmtId="166" fontId="18" fillId="0" borderId="18" xfId="46" applyNumberFormat="1" applyFont="1" applyBorder="1" applyAlignment="1">
      <alignment horizontal="right"/>
    </xf>
    <xf numFmtId="166" fontId="18" fillId="0" borderId="18" xfId="0" applyNumberFormat="1" applyFont="1" applyBorder="1"/>
    <xf numFmtId="166" fontId="18" fillId="0" borderId="19" xfId="0" applyNumberFormat="1" applyFont="1" applyBorder="1"/>
    <xf numFmtId="172" fontId="37" fillId="0" borderId="11" xfId="0" applyNumberFormat="1" applyFont="1" applyBorder="1"/>
    <xf numFmtId="166" fontId="37" fillId="0" borderId="11" xfId="46" applyNumberFormat="1" applyFont="1" applyBorder="1" applyAlignment="1">
      <alignment horizontal="right"/>
    </xf>
    <xf numFmtId="172" fontId="37" fillId="0" borderId="20" xfId="0" applyNumberFormat="1" applyFont="1" applyBorder="1" applyAlignment="1">
      <alignment horizontal="right"/>
    </xf>
    <xf numFmtId="172" fontId="37" fillId="0" borderId="20" xfId="0" applyNumberFormat="1" applyFont="1" applyBorder="1" applyAlignment="1">
      <alignment horizontal="center"/>
    </xf>
    <xf numFmtId="166" fontId="18" fillId="0" borderId="11" xfId="0" quotePrefix="1" applyNumberFormat="1" applyFont="1" applyBorder="1" applyAlignment="1">
      <alignment horizontal="center"/>
    </xf>
    <xf numFmtId="166" fontId="18" fillId="0" borderId="11" xfId="46" applyNumberFormat="1" applyFont="1" applyBorder="1" applyAlignment="1">
      <alignment horizontal="center"/>
    </xf>
    <xf numFmtId="166" fontId="37" fillId="0" borderId="20" xfId="0" applyNumberFormat="1" applyFont="1" applyBorder="1" applyAlignment="1">
      <alignment horizontal="right"/>
    </xf>
    <xf numFmtId="175" fontId="37" fillId="0" borderId="27" xfId="0" applyFont="1" applyBorder="1"/>
    <xf numFmtId="175" fontId="37" fillId="0" borderId="0" xfId="0" applyFont="1"/>
    <xf numFmtId="38" fontId="18" fillId="0" borderId="0" xfId="0" applyNumberFormat="1" applyFont="1"/>
    <xf numFmtId="165" fontId="18" fillId="0" borderId="0" xfId="0" applyNumberFormat="1" applyFont="1"/>
    <xf numFmtId="175" fontId="16" fillId="0" borderId="13" xfId="0" applyFont="1" applyBorder="1" applyProtection="1">
      <protection locked="0"/>
    </xf>
    <xf numFmtId="9" fontId="16" fillId="0" borderId="0" xfId="145" applyFont="1" applyProtection="1">
      <protection locked="0"/>
    </xf>
    <xf numFmtId="175" fontId="17" fillId="0" borderId="14" xfId="0" applyFont="1" applyBorder="1" applyAlignment="1" applyProtection="1">
      <alignment horizontal="center"/>
      <protection locked="0"/>
    </xf>
    <xf numFmtId="175" fontId="16" fillId="0" borderId="16" xfId="0" applyFont="1" applyBorder="1" applyProtection="1">
      <protection locked="0"/>
    </xf>
    <xf numFmtId="175" fontId="17" fillId="0" borderId="11" xfId="0" applyFont="1" applyBorder="1" applyAlignment="1" applyProtection="1">
      <alignment horizontal="center"/>
      <protection locked="0"/>
    </xf>
    <xf numFmtId="166" fontId="16" fillId="0" borderId="0" xfId="0" applyNumberFormat="1" applyFont="1" applyAlignment="1">
      <alignment horizontal="center"/>
    </xf>
    <xf numFmtId="173" fontId="16" fillId="0" borderId="0" xfId="0" applyNumberFormat="1"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175" fontId="37" fillId="0" borderId="16" xfId="0" applyFont="1" applyBorder="1" applyAlignment="1" applyProtection="1">
      <alignment horizontal="center"/>
      <protection locked="0"/>
    </xf>
    <xf numFmtId="175" fontId="18" fillId="0" borderId="11" xfId="0" applyFont="1" applyBorder="1" applyProtection="1">
      <protection locked="0"/>
    </xf>
    <xf numFmtId="175" fontId="37" fillId="0" borderId="20" xfId="0" applyFont="1" applyBorder="1" applyProtection="1">
      <protection locked="0"/>
    </xf>
    <xf numFmtId="175" fontId="37" fillId="0" borderId="20" xfId="0" applyFont="1" applyBorder="1" applyAlignment="1" applyProtection="1">
      <alignment horizontal="center"/>
      <protection locked="0"/>
    </xf>
    <xf numFmtId="175" fontId="37" fillId="0" borderId="22" xfId="0" applyFont="1" applyBorder="1" applyProtection="1">
      <protection locked="0"/>
    </xf>
    <xf numFmtId="175" fontId="18" fillId="0" borderId="11" xfId="0" applyFont="1" applyBorder="1" applyAlignment="1" applyProtection="1">
      <alignment wrapText="1" shrinkToFit="1"/>
      <protection locked="0"/>
    </xf>
    <xf numFmtId="175" fontId="37" fillId="0" borderId="11" xfId="0" applyFont="1" applyBorder="1" applyProtection="1">
      <protection locked="0"/>
    </xf>
    <xf numFmtId="175" fontId="18" fillId="0" borderId="16" xfId="0" applyFont="1" applyBorder="1" applyProtection="1">
      <protection locked="0"/>
    </xf>
    <xf numFmtId="38" fontId="56" fillId="0" borderId="17" xfId="0" applyNumberFormat="1" applyFont="1" applyBorder="1" applyAlignment="1">
      <alignment horizontal="center"/>
    </xf>
    <xf numFmtId="172" fontId="18" fillId="0" borderId="11" xfId="0" quotePrefix="1" applyNumberFormat="1" applyFont="1" applyBorder="1" applyAlignment="1">
      <alignment horizontal="center"/>
    </xf>
    <xf numFmtId="172" fontId="18" fillId="0" borderId="11" xfId="0" quotePrefix="1" applyNumberFormat="1" applyFont="1" applyBorder="1" applyAlignment="1">
      <alignment horizontal="right"/>
    </xf>
    <xf numFmtId="172" fontId="37" fillId="0" borderId="20" xfId="0" quotePrefix="1" applyNumberFormat="1" applyFont="1" applyBorder="1" applyAlignment="1">
      <alignment horizontal="center"/>
    </xf>
    <xf numFmtId="172" fontId="37" fillId="0" borderId="20" xfId="0" applyNumberFormat="1" applyFont="1" applyBorder="1"/>
    <xf numFmtId="38" fontId="18" fillId="0" borderId="11" xfId="0" applyNumberFormat="1" applyFont="1" applyBorder="1"/>
    <xf numFmtId="165" fontId="37" fillId="0" borderId="11" xfId="0" applyNumberFormat="1" applyFont="1" applyBorder="1"/>
    <xf numFmtId="172" fontId="37" fillId="0" borderId="11" xfId="46" applyNumberFormat="1" applyFont="1" applyBorder="1" applyAlignment="1">
      <alignment horizontal="right"/>
    </xf>
    <xf numFmtId="38" fontId="18" fillId="0" borderId="27" xfId="0" applyNumberFormat="1" applyFont="1" applyBorder="1"/>
    <xf numFmtId="165" fontId="37" fillId="0" borderId="27" xfId="0" applyNumberFormat="1" applyFont="1" applyBorder="1"/>
    <xf numFmtId="175" fontId="18" fillId="0" borderId="20" xfId="0" applyFont="1" applyBorder="1"/>
    <xf numFmtId="170" fontId="18" fillId="0" borderId="18" xfId="46" applyNumberFormat="1" applyFont="1" applyBorder="1" applyAlignment="1">
      <alignment horizontal="right"/>
    </xf>
    <xf numFmtId="169" fontId="37" fillId="0" borderId="18" xfId="46" applyNumberFormat="1" applyFont="1" applyBorder="1" applyAlignment="1">
      <alignment horizontal="right"/>
    </xf>
    <xf numFmtId="170" fontId="18" fillId="0" borderId="11" xfId="46" applyNumberFormat="1" applyFont="1" applyBorder="1" applyAlignment="1">
      <alignment horizontal="right"/>
    </xf>
    <xf numFmtId="169" fontId="37" fillId="0" borderId="11" xfId="46" applyNumberFormat="1" applyFont="1" applyBorder="1" applyAlignment="1">
      <alignment horizontal="right"/>
    </xf>
    <xf numFmtId="166" fontId="37" fillId="0" borderId="11" xfId="46" applyNumberFormat="1" applyFont="1" applyBorder="1" applyAlignment="1">
      <alignment horizontal="right" wrapText="1"/>
    </xf>
    <xf numFmtId="166" fontId="18" fillId="0" borderId="11" xfId="0" quotePrefix="1" applyNumberFormat="1" applyFont="1" applyBorder="1" applyAlignment="1">
      <alignment horizontal="right"/>
    </xf>
    <xf numFmtId="166" fontId="37" fillId="0" borderId="20" xfId="0" quotePrefix="1" applyNumberFormat="1" applyFont="1" applyBorder="1" applyAlignment="1">
      <alignment horizontal="center"/>
    </xf>
    <xf numFmtId="166" fontId="18" fillId="0" borderId="20" xfId="0" applyNumberFormat="1" applyFont="1" applyBorder="1"/>
    <xf numFmtId="166" fontId="37" fillId="0" borderId="18" xfId="46" applyNumberFormat="1" applyFont="1" applyBorder="1" applyAlignment="1">
      <alignment horizontal="right"/>
    </xf>
    <xf numFmtId="175" fontId="18" fillId="0" borderId="18" xfId="0" applyFont="1" applyBorder="1"/>
    <xf numFmtId="175" fontId="62" fillId="0" borderId="0" xfId="0" applyFont="1"/>
    <xf numFmtId="3" fontId="48" fillId="0" borderId="17" xfId="0" applyNumberFormat="1" applyFont="1" applyBorder="1" applyAlignment="1" applyProtection="1">
      <alignment horizontal="center"/>
      <protection locked="0"/>
    </xf>
    <xf numFmtId="3" fontId="16" fillId="0" borderId="24" xfId="0" applyNumberFormat="1" applyFont="1" applyBorder="1" applyAlignment="1" applyProtection="1">
      <alignment horizontal="center"/>
      <protection locked="0"/>
    </xf>
    <xf numFmtId="3" fontId="48" fillId="0" borderId="20" xfId="0" applyNumberFormat="1" applyFont="1" applyBorder="1" applyAlignment="1" applyProtection="1">
      <alignment horizontal="center"/>
      <protection locked="0"/>
    </xf>
    <xf numFmtId="38" fontId="56" fillId="0" borderId="11" xfId="146" applyNumberFormat="1" applyFont="1" applyBorder="1" applyAlignment="1" applyProtection="1">
      <alignment horizontal="center"/>
      <protection locked="0"/>
    </xf>
    <xf numFmtId="175" fontId="37" fillId="0" borderId="11" xfId="0" applyFont="1" applyBorder="1" applyAlignment="1" applyProtection="1">
      <alignment horizontal="center" wrapText="1"/>
      <protection locked="0"/>
    </xf>
    <xf numFmtId="175" fontId="17" fillId="0" borderId="0" xfId="66" applyFont="1" applyProtection="1">
      <protection locked="0"/>
    </xf>
    <xf numFmtId="175" fontId="16" fillId="0" borderId="0" xfId="66" applyProtection="1">
      <protection locked="0"/>
    </xf>
    <xf numFmtId="175" fontId="16" fillId="0" borderId="36" xfId="66" applyBorder="1" applyProtection="1">
      <protection locked="0"/>
    </xf>
    <xf numFmtId="175" fontId="16" fillId="0" borderId="37" xfId="66" applyBorder="1" applyProtection="1">
      <protection locked="0"/>
    </xf>
    <xf numFmtId="175" fontId="16" fillId="0" borderId="38" xfId="66" applyBorder="1" applyProtection="1">
      <protection locked="0"/>
    </xf>
    <xf numFmtId="175" fontId="16" fillId="0" borderId="14" xfId="66" applyBorder="1" applyProtection="1">
      <protection locked="0"/>
    </xf>
    <xf numFmtId="175" fontId="16" fillId="0" borderId="18" xfId="66" applyBorder="1" applyProtection="1">
      <protection locked="0"/>
    </xf>
    <xf numFmtId="175" fontId="16" fillId="0" borderId="19" xfId="66" applyBorder="1" applyProtection="1">
      <protection locked="0"/>
    </xf>
    <xf numFmtId="175" fontId="17" fillId="0" borderId="11" xfId="66" applyFont="1" applyBorder="1" applyAlignment="1" applyProtection="1">
      <alignment horizontal="center" wrapText="1"/>
      <protection locked="0"/>
    </xf>
    <xf numFmtId="6" fontId="16" fillId="0" borderId="0" xfId="66" applyNumberFormat="1" applyProtection="1">
      <protection locked="0"/>
    </xf>
    <xf numFmtId="175" fontId="16" fillId="0" borderId="13" xfId="66" applyBorder="1" applyProtection="1">
      <protection locked="0"/>
    </xf>
    <xf numFmtId="164" fontId="16" fillId="0" borderId="42" xfId="66" applyNumberFormat="1" applyBorder="1" applyProtection="1">
      <protection locked="0"/>
    </xf>
    <xf numFmtId="175" fontId="16" fillId="0" borderId="42" xfId="66" applyBorder="1" applyProtection="1">
      <protection locked="0"/>
    </xf>
    <xf numFmtId="175" fontId="18" fillId="0" borderId="0" xfId="67" applyProtection="1">
      <protection locked="0"/>
    </xf>
    <xf numFmtId="175" fontId="18" fillId="0" borderId="11" xfId="67" applyBorder="1" applyProtection="1">
      <protection locked="0"/>
    </xf>
    <xf numFmtId="175" fontId="37" fillId="0" borderId="11" xfId="67" applyFont="1" applyBorder="1" applyProtection="1">
      <protection locked="0"/>
    </xf>
    <xf numFmtId="175" fontId="55" fillId="0" borderId="0" xfId="0" applyFont="1" applyProtection="1">
      <protection locked="0"/>
    </xf>
    <xf numFmtId="175" fontId="17" fillId="0" borderId="0" xfId="0" applyFont="1" applyProtection="1">
      <protection locked="0"/>
    </xf>
    <xf numFmtId="175" fontId="66" fillId="0" borderId="0" xfId="0" applyFont="1" applyAlignment="1">
      <alignment horizontal="left" vertical="center" indent="4"/>
    </xf>
    <xf numFmtId="175" fontId="17" fillId="0" borderId="0" xfId="0" applyFont="1" applyAlignment="1" applyProtection="1">
      <alignment horizontal="center"/>
      <protection locked="0"/>
    </xf>
    <xf numFmtId="17" fontId="17" fillId="0" borderId="0" xfId="0" quotePrefix="1" applyNumberFormat="1" applyFont="1" applyAlignment="1" applyProtection="1">
      <alignment horizontal="center"/>
      <protection locked="0"/>
    </xf>
    <xf numFmtId="175" fontId="0" fillId="47" borderId="0" xfId="0" applyFill="1"/>
    <xf numFmtId="17" fontId="17" fillId="47" borderId="0" xfId="0" quotePrefix="1" applyNumberFormat="1" applyFont="1" applyFill="1" applyAlignment="1" applyProtection="1">
      <alignment horizontal="center"/>
      <protection locked="0"/>
    </xf>
    <xf numFmtId="175" fontId="16" fillId="47" borderId="0" xfId="0" applyFont="1" applyFill="1" applyProtection="1">
      <protection locked="0"/>
    </xf>
    <xf numFmtId="175" fontId="54" fillId="0" borderId="0" xfId="0" applyFont="1" applyAlignment="1">
      <alignment horizontal="center"/>
    </xf>
    <xf numFmtId="38" fontId="16" fillId="0" borderId="24" xfId="0" applyNumberFormat="1" applyFont="1" applyBorder="1" applyAlignment="1">
      <alignment horizontal="center"/>
    </xf>
    <xf numFmtId="38" fontId="16" fillId="0" borderId="24" xfId="0" applyNumberFormat="1" applyFont="1" applyBorder="1" applyAlignment="1" applyProtection="1">
      <alignment horizontal="center"/>
      <protection locked="0"/>
    </xf>
    <xf numFmtId="175" fontId="16" fillId="0" borderId="17" xfId="0" applyFont="1" applyBorder="1" applyProtection="1">
      <protection locked="0"/>
    </xf>
    <xf numFmtId="3" fontId="16" fillId="0" borderId="29" xfId="0" applyNumberFormat="1" applyFont="1" applyBorder="1" applyAlignment="1">
      <alignment horizontal="center"/>
    </xf>
    <xf numFmtId="3" fontId="56" fillId="0" borderId="22" xfId="0" applyNumberFormat="1" applyFont="1" applyBorder="1" applyAlignment="1">
      <alignment horizontal="center"/>
    </xf>
    <xf numFmtId="3" fontId="56" fillId="0" borderId="17" xfId="0" applyNumberFormat="1" applyFont="1" applyBorder="1" applyAlignment="1">
      <alignment horizontal="center"/>
    </xf>
    <xf numFmtId="175" fontId="16" fillId="47" borderId="0" xfId="66" applyFill="1"/>
    <xf numFmtId="175" fontId="17" fillId="47" borderId="0" xfId="0" applyFont="1" applyFill="1" applyAlignment="1" applyProtection="1">
      <alignment horizontal="center"/>
      <protection locked="0"/>
    </xf>
    <xf numFmtId="175" fontId="17" fillId="0" borderId="11" xfId="0" applyFont="1" applyBorder="1" applyAlignment="1" applyProtection="1">
      <alignment horizontal="left"/>
      <protection locked="0"/>
    </xf>
    <xf numFmtId="17" fontId="18" fillId="0" borderId="0" xfId="0" applyNumberFormat="1" applyFont="1" applyAlignment="1" applyProtection="1">
      <alignment horizontal="center"/>
      <protection locked="0"/>
    </xf>
    <xf numFmtId="175" fontId="37" fillId="48" borderId="20" xfId="0" applyFont="1" applyFill="1" applyBorder="1" applyAlignment="1" applyProtection="1">
      <alignment horizontal="center" vertical="center"/>
      <protection locked="0"/>
    </xf>
    <xf numFmtId="175" fontId="37" fillId="48" borderId="11" xfId="0" applyFont="1" applyFill="1" applyBorder="1" applyAlignment="1" applyProtection="1">
      <alignment horizontal="center" vertical="center"/>
      <protection locked="0"/>
    </xf>
    <xf numFmtId="175" fontId="37" fillId="0" borderId="20" xfId="0" applyFont="1" applyBorder="1" applyAlignment="1" applyProtection="1">
      <alignment horizontal="right"/>
      <protection locked="0"/>
    </xf>
    <xf numFmtId="175" fontId="18" fillId="0" borderId="11" xfId="0" applyFont="1" applyBorder="1" applyAlignment="1" applyProtection="1">
      <alignment horizontal="left"/>
      <protection locked="0"/>
    </xf>
    <xf numFmtId="175" fontId="17" fillId="0" borderId="19" xfId="0" applyFont="1" applyBorder="1" applyAlignment="1" applyProtection="1">
      <alignment horizontal="center" wrapText="1"/>
      <protection locked="0"/>
    </xf>
    <xf numFmtId="3" fontId="17" fillId="0" borderId="26" xfId="0" applyNumberFormat="1" applyFont="1" applyBorder="1" applyAlignment="1">
      <alignment horizontal="center" wrapText="1"/>
    </xf>
    <xf numFmtId="174" fontId="16" fillId="0" borderId="24" xfId="0" applyNumberFormat="1" applyFont="1" applyBorder="1"/>
    <xf numFmtId="3" fontId="17" fillId="0" borderId="27" xfId="0" applyNumberFormat="1" applyFont="1" applyBorder="1" applyAlignment="1">
      <alignment horizontal="center" wrapText="1"/>
    </xf>
    <xf numFmtId="175" fontId="17" fillId="0" borderId="50" xfId="0" applyFont="1" applyBorder="1" applyAlignment="1">
      <alignment horizontal="center"/>
    </xf>
    <xf numFmtId="4" fontId="16" fillId="0" borderId="32" xfId="0" applyNumberFormat="1" applyFont="1" applyBorder="1" applyAlignment="1">
      <alignment horizontal="right"/>
    </xf>
    <xf numFmtId="4" fontId="16" fillId="0" borderId="29" xfId="0" applyNumberFormat="1" applyFont="1" applyBorder="1" applyAlignment="1">
      <alignment horizontal="right"/>
    </xf>
    <xf numFmtId="175" fontId="17" fillId="0" borderId="17" xfId="0" applyFont="1" applyBorder="1" applyProtection="1">
      <protection locked="0"/>
    </xf>
    <xf numFmtId="175" fontId="17" fillId="0" borderId="11" xfId="0" applyFont="1" applyBorder="1" applyProtection="1">
      <protection locked="0"/>
    </xf>
    <xf numFmtId="175" fontId="17" fillId="0" borderId="18" xfId="0" applyFont="1" applyBorder="1" applyAlignment="1" applyProtection="1">
      <alignment horizontal="center" wrapText="1"/>
      <protection locked="0"/>
    </xf>
    <xf numFmtId="175" fontId="17" fillId="0" borderId="11" xfId="0" applyFont="1" applyBorder="1" applyAlignment="1" applyProtection="1">
      <alignment horizontal="center" wrapText="1"/>
      <protection locked="0"/>
    </xf>
    <xf numFmtId="175" fontId="17" fillId="0" borderId="18" xfId="0" applyFont="1" applyBorder="1" applyAlignment="1">
      <alignment horizontal="center" wrapText="1"/>
    </xf>
    <xf numFmtId="175" fontId="17" fillId="0" borderId="18" xfId="0" applyFont="1" applyBorder="1" applyAlignment="1">
      <alignment horizontal="center"/>
    </xf>
    <xf numFmtId="175" fontId="17" fillId="0" borderId="20" xfId="0" applyFont="1" applyBorder="1" applyAlignment="1">
      <alignment horizontal="center" wrapText="1"/>
    </xf>
    <xf numFmtId="175" fontId="17" fillId="0" borderId="19" xfId="0" applyFont="1" applyBorder="1" applyAlignment="1">
      <alignment horizontal="center"/>
    </xf>
    <xf numFmtId="175" fontId="17" fillId="0" borderId="19" xfId="0" applyFont="1" applyBorder="1" applyAlignment="1" applyProtection="1">
      <alignment horizontal="center"/>
      <protection locked="0"/>
    </xf>
    <xf numFmtId="175" fontId="17" fillId="0" borderId="23" xfId="0" applyFont="1" applyBorder="1" applyProtection="1">
      <protection locked="0"/>
    </xf>
    <xf numFmtId="3" fontId="17" fillId="0" borderId="20" xfId="0" applyNumberFormat="1" applyFont="1" applyBorder="1" applyAlignment="1">
      <alignment horizontal="center" wrapText="1"/>
    </xf>
    <xf numFmtId="2" fontId="17" fillId="0" borderId="18" xfId="0" applyNumberFormat="1" applyFont="1" applyBorder="1" applyAlignment="1">
      <alignment horizontal="center" wrapText="1"/>
    </xf>
    <xf numFmtId="175" fontId="17" fillId="0" borderId="26" xfId="0" applyFont="1" applyBorder="1" applyAlignment="1">
      <alignment horizontal="center"/>
    </xf>
    <xf numFmtId="3" fontId="17" fillId="0" borderId="18" xfId="0" applyNumberFormat="1" applyFont="1" applyBorder="1" applyAlignment="1">
      <alignment horizontal="center" wrapText="1"/>
    </xf>
    <xf numFmtId="3" fontId="17" fillId="0" borderId="20" xfId="0" applyNumberFormat="1" applyFont="1" applyBorder="1" applyAlignment="1" applyProtection="1">
      <alignment horizontal="center" wrapText="1"/>
      <protection locked="0"/>
    </xf>
    <xf numFmtId="175" fontId="17" fillId="0" borderId="49" xfId="0" applyFont="1" applyBorder="1" applyAlignment="1">
      <alignment horizontal="center"/>
    </xf>
    <xf numFmtId="175" fontId="17" fillId="0" borderId="28" xfId="0" applyFont="1" applyBorder="1" applyProtection="1">
      <protection locked="0"/>
    </xf>
    <xf numFmtId="175" fontId="42" fillId="0" borderId="0" xfId="0" applyFont="1" applyProtection="1">
      <protection locked="0"/>
    </xf>
    <xf numFmtId="3" fontId="42" fillId="0" borderId="0" xfId="0" applyNumberFormat="1" applyFont="1" applyProtection="1">
      <protection locked="0"/>
    </xf>
    <xf numFmtId="1" fontId="42" fillId="0" borderId="0" xfId="0" applyNumberFormat="1" applyFont="1" applyProtection="1">
      <protection locked="0"/>
    </xf>
    <xf numFmtId="175" fontId="17" fillId="47" borderId="18" xfId="0" applyFont="1" applyFill="1" applyBorder="1" applyAlignment="1" applyProtection="1">
      <alignment horizontal="center" wrapText="1"/>
      <protection locked="0"/>
    </xf>
    <xf numFmtId="175" fontId="18" fillId="47" borderId="0" xfId="67" applyFill="1" applyProtection="1">
      <protection locked="0"/>
    </xf>
    <xf numFmtId="175" fontId="16" fillId="47" borderId="0" xfId="66" applyFill="1" applyProtection="1">
      <protection locked="0"/>
    </xf>
    <xf numFmtId="17" fontId="17" fillId="47" borderId="0" xfId="0" applyNumberFormat="1" applyFont="1" applyFill="1" applyAlignment="1" applyProtection="1">
      <alignment horizontal="center"/>
      <protection locked="0"/>
    </xf>
    <xf numFmtId="175" fontId="18" fillId="47" borderId="0" xfId="0" applyFont="1" applyFill="1" applyProtection="1">
      <protection locked="0"/>
    </xf>
    <xf numFmtId="164" fontId="16" fillId="0" borderId="51" xfId="66" applyNumberFormat="1" applyBorder="1" applyProtection="1">
      <protection locked="0"/>
    </xf>
    <xf numFmtId="175" fontId="54" fillId="47" borderId="0" xfId="0" applyFont="1" applyFill="1" applyAlignment="1">
      <alignment horizontal="center"/>
    </xf>
    <xf numFmtId="175" fontId="17" fillId="0" borderId="51" xfId="66" applyFont="1" applyBorder="1" applyProtection="1">
      <protection locked="0"/>
    </xf>
    <xf numFmtId="175" fontId="17" fillId="47" borderId="0" xfId="0" applyFont="1" applyFill="1" applyProtection="1">
      <protection locked="0"/>
    </xf>
    <xf numFmtId="175" fontId="0" fillId="0" borderId="0" xfId="0" quotePrefix="1"/>
    <xf numFmtId="175" fontId="16" fillId="47" borderId="17" xfId="0" applyFont="1" applyFill="1" applyBorder="1"/>
    <xf numFmtId="3" fontId="56" fillId="47" borderId="17" xfId="0" applyNumberFormat="1" applyFont="1" applyFill="1" applyBorder="1" applyAlignment="1">
      <alignment horizontal="center"/>
    </xf>
    <xf numFmtId="175" fontId="17" fillId="0" borderId="43" xfId="66" quotePrefix="1" applyFont="1" applyBorder="1" applyAlignment="1">
      <alignment horizontal="left" wrapText="1" indent="1"/>
    </xf>
    <xf numFmtId="175" fontId="18" fillId="0" borderId="0" xfId="0" quotePrefix="1" applyFont="1" applyProtection="1">
      <protection locked="0"/>
    </xf>
    <xf numFmtId="175" fontId="68" fillId="0" borderId="0" xfId="0" applyFont="1" applyAlignment="1" applyProtection="1">
      <alignment horizontal="center"/>
      <protection locked="0"/>
    </xf>
    <xf numFmtId="168" fontId="53" fillId="0" borderId="0" xfId="52" applyNumberFormat="1" applyFont="1"/>
    <xf numFmtId="175" fontId="69" fillId="43" borderId="0" xfId="66" applyFont="1" applyFill="1"/>
    <xf numFmtId="44" fontId="69" fillId="43" borderId="0" xfId="50" applyFont="1" applyFill="1"/>
    <xf numFmtId="175" fontId="69" fillId="47" borderId="0" xfId="66" applyFont="1" applyFill="1"/>
    <xf numFmtId="17" fontId="68" fillId="47" borderId="0" xfId="0" applyNumberFormat="1" applyFont="1" applyFill="1" applyAlignment="1" applyProtection="1">
      <alignment horizontal="center"/>
      <protection locked="0"/>
    </xf>
    <xf numFmtId="175" fontId="68" fillId="44" borderId="35" xfId="66" applyFont="1" applyFill="1" applyBorder="1"/>
    <xf numFmtId="175" fontId="69" fillId="43" borderId="37" xfId="66" applyFont="1" applyFill="1" applyBorder="1"/>
    <xf numFmtId="44" fontId="69" fillId="43" borderId="37" xfId="50" applyFont="1" applyFill="1" applyBorder="1"/>
    <xf numFmtId="175" fontId="68" fillId="44" borderId="43" xfId="66" applyFont="1" applyFill="1" applyBorder="1" applyAlignment="1">
      <alignment horizontal="center"/>
    </xf>
    <xf numFmtId="175" fontId="68" fillId="44" borderId="44" xfId="66" applyFont="1" applyFill="1" applyBorder="1" applyAlignment="1">
      <alignment horizontal="center"/>
    </xf>
    <xf numFmtId="175" fontId="68" fillId="43" borderId="0" xfId="66" applyFont="1" applyFill="1" applyAlignment="1">
      <alignment horizontal="center"/>
    </xf>
    <xf numFmtId="175" fontId="68" fillId="0" borderId="44" xfId="66" applyFont="1" applyBorder="1" applyAlignment="1">
      <alignment horizontal="center"/>
    </xf>
    <xf numFmtId="164" fontId="69" fillId="0" borderId="0" xfId="66" applyNumberFormat="1" applyFont="1"/>
    <xf numFmtId="175" fontId="69" fillId="0" borderId="0" xfId="66" applyFont="1"/>
    <xf numFmtId="175" fontId="68" fillId="0" borderId="43" xfId="66" applyFont="1" applyBorder="1" applyAlignment="1">
      <alignment wrapText="1"/>
    </xf>
    <xf numFmtId="175" fontId="68" fillId="0" borderId="20" xfId="66" applyFont="1" applyBorder="1"/>
    <xf numFmtId="43" fontId="16" fillId="0" borderId="24" xfId="0" applyNumberFormat="1" applyFont="1" applyBorder="1" applyAlignment="1">
      <alignment horizontal="right"/>
    </xf>
    <xf numFmtId="175" fontId="16" fillId="47" borderId="13" xfId="0" applyFont="1" applyFill="1" applyBorder="1"/>
    <xf numFmtId="6" fontId="37" fillId="0" borderId="11" xfId="67" applyNumberFormat="1" applyFont="1" applyBorder="1" applyAlignment="1" applyProtection="1">
      <alignment horizontal="center"/>
      <protection locked="0"/>
    </xf>
    <xf numFmtId="4" fontId="16" fillId="0" borderId="24" xfId="0" applyNumberFormat="1" applyFont="1" applyBorder="1" applyAlignment="1">
      <alignment horizontal="right"/>
    </xf>
    <xf numFmtId="4" fontId="16" fillId="0" borderId="25" xfId="0" applyNumberFormat="1" applyFont="1" applyBorder="1" applyAlignment="1">
      <alignment horizontal="right"/>
    </xf>
    <xf numFmtId="2" fontId="16" fillId="0" borderId="24" xfId="0" applyNumberFormat="1" applyFont="1" applyBorder="1" applyAlignment="1">
      <alignment horizontal="right"/>
    </xf>
    <xf numFmtId="2" fontId="16" fillId="0" borderId="29" xfId="0" applyNumberFormat="1" applyFont="1" applyBorder="1" applyAlignment="1">
      <alignment horizontal="right"/>
    </xf>
    <xf numFmtId="165" fontId="16" fillId="0" borderId="32" xfId="0" applyNumberFormat="1" applyFont="1" applyBorder="1" applyAlignment="1">
      <alignment horizontal="right"/>
    </xf>
    <xf numFmtId="165" fontId="16" fillId="0" borderId="25" xfId="0" applyNumberFormat="1" applyFont="1" applyBorder="1" applyAlignment="1">
      <alignment horizontal="right"/>
    </xf>
    <xf numFmtId="175" fontId="71" fillId="0" borderId="0" xfId="0" applyFont="1" applyAlignment="1">
      <alignment vertical="center"/>
    </xf>
    <xf numFmtId="164" fontId="17" fillId="0" borderId="37" xfId="66" applyNumberFormat="1" applyFont="1" applyBorder="1" applyAlignment="1">
      <alignment horizontal="center"/>
    </xf>
    <xf numFmtId="175" fontId="16" fillId="0" borderId="0" xfId="66" applyAlignment="1">
      <alignment horizontal="center"/>
    </xf>
    <xf numFmtId="2" fontId="16" fillId="0" borderId="24" xfId="0" applyNumberFormat="1" applyFont="1" applyBorder="1"/>
    <xf numFmtId="2" fontId="16" fillId="0" borderId="25" xfId="0" applyNumberFormat="1" applyFont="1" applyBorder="1" applyAlignment="1">
      <alignment horizontal="right"/>
    </xf>
    <xf numFmtId="2" fontId="16" fillId="0" borderId="32" xfId="0" applyNumberFormat="1" applyFont="1" applyBorder="1" applyAlignment="1">
      <alignment horizontal="right"/>
    </xf>
    <xf numFmtId="2" fontId="16" fillId="0" borderId="29" xfId="0" applyNumberFormat="1" applyFont="1" applyBorder="1"/>
    <xf numFmtId="175" fontId="17" fillId="47" borderId="0" xfId="66" applyFont="1" applyFill="1" applyAlignment="1" applyProtection="1">
      <alignment horizontal="center"/>
      <protection locked="0"/>
    </xf>
    <xf numFmtId="171" fontId="17"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6" fillId="0" borderId="0" xfId="66" applyNumberFormat="1" applyProtection="1">
      <protection locked="0"/>
    </xf>
    <xf numFmtId="175" fontId="68" fillId="0" borderId="0" xfId="66" applyFont="1" applyAlignment="1">
      <alignment wrapText="1"/>
    </xf>
    <xf numFmtId="164" fontId="68" fillId="43" borderId="0" xfId="66" applyNumberFormat="1" applyFont="1" applyFill="1"/>
    <xf numFmtId="164" fontId="68" fillId="0" borderId="0" xfId="66" applyNumberFormat="1" applyFont="1" applyAlignment="1">
      <alignment horizontal="right"/>
    </xf>
    <xf numFmtId="165" fontId="16" fillId="0" borderId="24" xfId="0" applyNumberFormat="1" applyFont="1" applyBorder="1" applyAlignment="1">
      <alignment horizontal="right"/>
    </xf>
    <xf numFmtId="165" fontId="16" fillId="0" borderId="30" xfId="0" applyNumberFormat="1" applyFont="1" applyBorder="1" applyAlignment="1">
      <alignment horizontal="right"/>
    </xf>
    <xf numFmtId="39" fontId="17" fillId="0" borderId="11" xfId="0" applyNumberFormat="1" applyFont="1" applyBorder="1" applyAlignment="1">
      <alignment horizontal="center"/>
    </xf>
    <xf numFmtId="6" fontId="16" fillId="0" borderId="0" xfId="66" applyNumberFormat="1" applyAlignment="1" applyProtection="1">
      <alignment horizontal="center"/>
      <protection locked="0"/>
    </xf>
    <xf numFmtId="40" fontId="16" fillId="0" borderId="24" xfId="0" applyNumberFormat="1" applyFont="1" applyBorder="1" applyAlignment="1">
      <alignment horizontal="right"/>
    </xf>
    <xf numFmtId="40" fontId="16" fillId="0" borderId="25" xfId="0" applyNumberFormat="1" applyFont="1" applyBorder="1" applyAlignment="1">
      <alignment horizontal="right"/>
    </xf>
    <xf numFmtId="175" fontId="17" fillId="0" borderId="14" xfId="66" applyFont="1" applyBorder="1" applyAlignment="1" applyProtection="1">
      <alignment horizontal="right"/>
      <protection locked="0"/>
    </xf>
    <xf numFmtId="175" fontId="17" fillId="0" borderId="14" xfId="66" quotePrefix="1" applyFont="1" applyBorder="1" applyAlignment="1" applyProtection="1">
      <alignment horizontal="right"/>
      <protection locked="0"/>
    </xf>
    <xf numFmtId="6" fontId="53" fillId="0" borderId="0" xfId="520" applyNumberFormat="1" applyFont="1"/>
    <xf numFmtId="175" fontId="71" fillId="47" borderId="0" xfId="66" applyFont="1" applyFill="1" applyProtection="1">
      <protection locked="0"/>
    </xf>
    <xf numFmtId="0" fontId="53" fillId="0" borderId="0" xfId="520" applyFont="1"/>
    <xf numFmtId="0" fontId="16" fillId="0" borderId="0" xfId="522"/>
    <xf numFmtId="0" fontId="53" fillId="47" borderId="0" xfId="520" applyFont="1" applyFill="1"/>
    <xf numFmtId="168" fontId="53" fillId="0" borderId="0" xfId="520" applyNumberFormat="1" applyFont="1"/>
    <xf numFmtId="4" fontId="16" fillId="0" borderId="30" xfId="0" applyNumberFormat="1" applyFont="1" applyBorder="1" applyAlignment="1">
      <alignment horizontal="right"/>
    </xf>
    <xf numFmtId="175" fontId="37" fillId="0" borderId="0" xfId="67" applyFont="1"/>
    <xf numFmtId="3" fontId="56" fillId="47" borderId="21" xfId="0" applyNumberFormat="1" applyFont="1" applyFill="1" applyBorder="1" applyAlignment="1">
      <alignment horizontal="center"/>
    </xf>
    <xf numFmtId="175" fontId="16" fillId="47" borderId="17" xfId="0" applyFont="1" applyFill="1" applyBorder="1" applyProtection="1">
      <protection locked="0"/>
    </xf>
    <xf numFmtId="175" fontId="16" fillId="47" borderId="13" xfId="0" applyFont="1" applyFill="1" applyBorder="1" applyProtection="1">
      <protection locked="0"/>
    </xf>
    <xf numFmtId="175" fontId="17" fillId="0" borderId="34" xfId="0" applyFont="1" applyBorder="1" applyAlignment="1">
      <alignment horizontal="center"/>
    </xf>
    <xf numFmtId="3" fontId="16" fillId="0" borderId="11" xfId="0" applyNumberFormat="1" applyFont="1" applyBorder="1" applyAlignment="1">
      <alignment horizontal="left" vertical="center" wrapText="1"/>
    </xf>
    <xf numFmtId="175" fontId="37" fillId="0" borderId="11" xfId="0" applyFont="1" applyBorder="1" applyAlignment="1" applyProtection="1">
      <alignment horizontal="left"/>
      <protection locked="0"/>
    </xf>
    <xf numFmtId="175" fontId="37" fillId="47" borderId="11" xfId="0" applyFont="1" applyFill="1" applyBorder="1" applyAlignment="1" applyProtection="1">
      <alignment horizontal="left"/>
      <protection locked="0"/>
    </xf>
    <xf numFmtId="44" fontId="69" fillId="0" borderId="0" xfId="50" applyFont="1"/>
    <xf numFmtId="0" fontId="76" fillId="0" borderId="0" xfId="520" applyFont="1"/>
    <xf numFmtId="0" fontId="76" fillId="0" borderId="27" xfId="520" applyFont="1" applyBorder="1" applyAlignment="1">
      <alignment horizontal="center" vertical="center"/>
    </xf>
    <xf numFmtId="0" fontId="77" fillId="0" borderId="14" xfId="520" applyFont="1" applyBorder="1" applyAlignment="1">
      <alignment horizontal="center" vertical="center" wrapText="1"/>
    </xf>
    <xf numFmtId="6" fontId="76" fillId="0" borderId="0" xfId="520" applyNumberFormat="1" applyFont="1"/>
    <xf numFmtId="6" fontId="76" fillId="0" borderId="14" xfId="520" applyNumberFormat="1" applyFont="1" applyBorder="1"/>
    <xf numFmtId="0" fontId="76" fillId="46" borderId="0" xfId="520" applyFont="1" applyFill="1"/>
    <xf numFmtId="0" fontId="79" fillId="0" borderId="0" xfId="520" applyFont="1"/>
    <xf numFmtId="6" fontId="77" fillId="0" borderId="0" xfId="520" applyNumberFormat="1" applyFont="1"/>
    <xf numFmtId="165" fontId="18" fillId="47" borderId="0" xfId="0" applyNumberFormat="1" applyFont="1" applyFill="1" applyProtection="1">
      <protection locked="0"/>
    </xf>
    <xf numFmtId="6" fontId="76" fillId="0" borderId="41" xfId="520" applyNumberFormat="1" applyFont="1" applyBorder="1"/>
    <xf numFmtId="6" fontId="76" fillId="0" borderId="16" xfId="520" applyNumberFormat="1" applyFont="1" applyBorder="1"/>
    <xf numFmtId="0" fontId="76" fillId="0" borderId="17" xfId="520" applyFont="1" applyBorder="1"/>
    <xf numFmtId="0" fontId="77" fillId="0" borderId="22" xfId="520" applyFont="1" applyBorder="1"/>
    <xf numFmtId="175" fontId="16" fillId="0" borderId="55" xfId="66" applyBorder="1" applyProtection="1">
      <protection locked="0"/>
    </xf>
    <xf numFmtId="175" fontId="16" fillId="0" borderId="56" xfId="66" applyBorder="1" applyProtection="1">
      <protection locked="0"/>
    </xf>
    <xf numFmtId="175" fontId="16" fillId="0" borderId="57" xfId="66" applyBorder="1" applyProtection="1">
      <protection locked="0"/>
    </xf>
    <xf numFmtId="175" fontId="18" fillId="0" borderId="20" xfId="0" applyFont="1" applyBorder="1" applyAlignment="1" applyProtection="1">
      <alignment horizontal="left"/>
      <protection locked="0"/>
    </xf>
    <xf numFmtId="175" fontId="37" fillId="0" borderId="15" xfId="0" applyFont="1" applyBorder="1" applyAlignment="1" applyProtection="1">
      <alignment horizontal="center" wrapText="1"/>
      <protection locked="0"/>
    </xf>
    <xf numFmtId="166" fontId="18" fillId="0" borderId="11" xfId="46" applyNumberFormat="1" applyFont="1" applyBorder="1" applyAlignment="1" applyProtection="1">
      <alignment horizontal="right"/>
      <protection locked="0"/>
    </xf>
    <xf numFmtId="175" fontId="17" fillId="0" borderId="58" xfId="66" applyFont="1" applyBorder="1" applyProtection="1">
      <protection locked="0"/>
    </xf>
    <xf numFmtId="175" fontId="17" fillId="0" borderId="34" xfId="66" applyFont="1" applyBorder="1" applyProtection="1">
      <protection locked="0"/>
    </xf>
    <xf numFmtId="175" fontId="19" fillId="0" borderId="17" xfId="66" applyFont="1" applyBorder="1" applyAlignment="1">
      <alignment wrapText="1"/>
    </xf>
    <xf numFmtId="175" fontId="16" fillId="0" borderId="17" xfId="66" applyBorder="1" applyAlignment="1">
      <alignment horizontal="left" indent="1"/>
    </xf>
    <xf numFmtId="175" fontId="16" fillId="47" borderId="17" xfId="66" applyFill="1" applyBorder="1" applyAlignment="1">
      <alignment horizontal="left" indent="1"/>
    </xf>
    <xf numFmtId="175" fontId="17" fillId="0" borderId="20" xfId="66" applyFont="1" applyBorder="1"/>
    <xf numFmtId="175" fontId="17" fillId="0" borderId="17" xfId="66" applyFont="1" applyBorder="1"/>
    <xf numFmtId="175" fontId="16" fillId="0" borderId="17" xfId="66" quotePrefix="1" applyBorder="1" applyAlignment="1">
      <alignment horizontal="left" indent="1"/>
    </xf>
    <xf numFmtId="175" fontId="17" fillId="0" borderId="20" xfId="66" applyFont="1" applyBorder="1" applyAlignment="1">
      <alignment wrapText="1"/>
    </xf>
    <xf numFmtId="175" fontId="17" fillId="0" borderId="22" xfId="66" applyFont="1" applyBorder="1" applyAlignment="1" applyProtection="1">
      <alignment wrapText="1"/>
      <protection locked="0"/>
    </xf>
    <xf numFmtId="0" fontId="78" fillId="49" borderId="18" xfId="520" applyFont="1" applyFill="1" applyBorder="1"/>
    <xf numFmtId="175" fontId="68" fillId="47" borderId="40" xfId="66" applyFont="1" applyFill="1" applyBorder="1" applyAlignment="1">
      <alignment horizontal="center"/>
    </xf>
    <xf numFmtId="175" fontId="69" fillId="0" borderId="40" xfId="66" applyFont="1" applyBorder="1"/>
    <xf numFmtId="175" fontId="69" fillId="47" borderId="40" xfId="66" applyFont="1" applyFill="1" applyBorder="1"/>
    <xf numFmtId="175" fontId="16" fillId="47" borderId="13" xfId="66" applyFill="1" applyBorder="1" applyProtection="1">
      <protection locked="0"/>
    </xf>
    <xf numFmtId="6" fontId="76" fillId="0" borderId="13" xfId="520" applyNumberFormat="1" applyFont="1" applyBorder="1"/>
    <xf numFmtId="175" fontId="64" fillId="0" borderId="0" xfId="66" applyFont="1" applyProtection="1">
      <protection locked="0"/>
    </xf>
    <xf numFmtId="175" fontId="16" fillId="0" borderId="17" xfId="66" applyBorder="1"/>
    <xf numFmtId="175" fontId="16" fillId="47" borderId="17" xfId="0" applyFont="1" applyFill="1" applyBorder="1" applyAlignment="1">
      <alignment horizontal="left"/>
    </xf>
    <xf numFmtId="175" fontId="68" fillId="0" borderId="52" xfId="66" applyFont="1" applyBorder="1"/>
    <xf numFmtId="175" fontId="17" fillId="0" borderId="54" xfId="66" applyFont="1" applyBorder="1" applyAlignment="1">
      <alignment horizontal="center"/>
    </xf>
    <xf numFmtId="175" fontId="17" fillId="0" borderId="54" xfId="66" applyFont="1" applyBorder="1" applyAlignment="1">
      <alignment horizontal="left"/>
    </xf>
    <xf numFmtId="175" fontId="16" fillId="0" borderId="54" xfId="66" applyBorder="1"/>
    <xf numFmtId="175" fontId="17" fillId="0" borderId="54" xfId="66" applyFont="1" applyBorder="1"/>
    <xf numFmtId="175" fontId="17" fillId="0" borderId="54" xfId="66" applyFont="1" applyBorder="1" applyAlignment="1">
      <alignment horizontal="left" indent="1"/>
    </xf>
    <xf numFmtId="175" fontId="17" fillId="0" borderId="54" xfId="66" applyFont="1" applyBorder="1" applyAlignment="1">
      <alignment horizontal="center" wrapText="1"/>
    </xf>
    <xf numFmtId="175" fontId="17" fillId="0" borderId="61" xfId="66" applyFont="1" applyBorder="1" applyAlignment="1">
      <alignment wrapText="1"/>
    </xf>
    <xf numFmtId="175" fontId="65" fillId="0" borderId="0" xfId="66" applyFont="1" applyProtection="1">
      <protection locked="0"/>
    </xf>
    <xf numFmtId="43" fontId="16" fillId="50" borderId="27" xfId="46" quotePrefix="1" applyFill="1" applyBorder="1" applyAlignment="1">
      <alignment horizontal="left"/>
    </xf>
    <xf numFmtId="43" fontId="16" fillId="50" borderId="48" xfId="46" quotePrefix="1" applyFill="1" applyBorder="1" applyAlignment="1">
      <alignment horizontal="left"/>
    </xf>
    <xf numFmtId="43" fontId="16" fillId="50" borderId="0" xfId="46" quotePrefix="1" applyFill="1" applyAlignment="1">
      <alignment horizontal="left"/>
    </xf>
    <xf numFmtId="43" fontId="16" fillId="50" borderId="41" xfId="46" quotePrefix="1" applyFill="1" applyBorder="1" applyAlignment="1">
      <alignment horizontal="left"/>
    </xf>
    <xf numFmtId="43" fontId="16" fillId="50" borderId="14" xfId="46" quotePrefix="1" applyFill="1" applyBorder="1" applyAlignment="1">
      <alignment horizontal="left"/>
    </xf>
    <xf numFmtId="43" fontId="16" fillId="50" borderId="16" xfId="46" quotePrefix="1" applyFill="1" applyBorder="1" applyAlignment="1">
      <alignment horizontal="left"/>
    </xf>
    <xf numFmtId="43" fontId="16" fillId="50" borderId="0" xfId="46" quotePrefix="1" applyFill="1" applyAlignment="1">
      <alignment horizontal="center"/>
    </xf>
    <xf numFmtId="3" fontId="17" fillId="47" borderId="18" xfId="0" applyNumberFormat="1" applyFont="1" applyFill="1" applyBorder="1" applyAlignment="1">
      <alignment horizontal="center" wrapText="1"/>
    </xf>
    <xf numFmtId="175" fontId="17" fillId="47" borderId="26" xfId="0" applyFont="1" applyFill="1" applyBorder="1" applyAlignment="1">
      <alignment horizontal="center"/>
    </xf>
    <xf numFmtId="175" fontId="83" fillId="0" borderId="0" xfId="0" applyFont="1" applyAlignment="1" applyProtection="1">
      <alignment vertical="center"/>
      <protection locked="0"/>
    </xf>
    <xf numFmtId="175" fontId="84" fillId="0" borderId="0" xfId="0" applyFont="1" applyAlignment="1" applyProtection="1">
      <alignment vertical="center"/>
      <protection locked="0"/>
    </xf>
    <xf numFmtId="175" fontId="37" fillId="47" borderId="0" xfId="0" applyFont="1" applyFill="1" applyProtection="1">
      <protection locked="0"/>
    </xf>
    <xf numFmtId="43" fontId="16" fillId="0" borderId="0" xfId="46" applyProtection="1">
      <protection locked="0"/>
    </xf>
    <xf numFmtId="2" fontId="18" fillId="0" borderId="0" xfId="0" applyNumberFormat="1" applyFont="1" applyProtection="1">
      <protection locked="0"/>
    </xf>
    <xf numFmtId="0" fontId="18" fillId="0" borderId="11" xfId="67" applyNumberFormat="1" applyBorder="1" applyAlignment="1">
      <alignment horizontal="center" vertical="center" wrapText="1"/>
    </xf>
    <xf numFmtId="6" fontId="18" fillId="0" borderId="11" xfId="67" applyNumberFormat="1" applyBorder="1" applyAlignment="1">
      <alignment horizontal="center" vertical="center" wrapText="1"/>
    </xf>
    <xf numFmtId="175" fontId="18" fillId="0" borderId="11" xfId="67" applyBorder="1" applyAlignment="1">
      <alignment horizontal="left" vertical="center" wrapText="1"/>
    </xf>
    <xf numFmtId="14" fontId="18" fillId="0" borderId="11" xfId="67" applyNumberFormat="1" applyBorder="1" applyAlignment="1">
      <alignment horizontal="center" vertical="center" wrapText="1"/>
    </xf>
    <xf numFmtId="175" fontId="37" fillId="0" borderId="0" xfId="67" applyFont="1" applyAlignment="1">
      <alignment horizontal="center" vertical="center"/>
    </xf>
    <xf numFmtId="0" fontId="18" fillId="0" borderId="11" xfId="67" applyNumberFormat="1" applyBorder="1" applyAlignment="1" applyProtection="1">
      <alignment horizontal="center" vertical="center"/>
      <protection locked="0"/>
    </xf>
    <xf numFmtId="6" fontId="18" fillId="0" borderId="11" xfId="67" applyNumberFormat="1" applyBorder="1" applyAlignment="1" applyProtection="1">
      <alignment horizontal="center" vertical="center"/>
      <protection locked="0"/>
    </xf>
    <xf numFmtId="175" fontId="18" fillId="0" borderId="0" xfId="67" applyAlignment="1" applyProtection="1">
      <alignment vertical="center"/>
      <protection locked="0"/>
    </xf>
    <xf numFmtId="175" fontId="18" fillId="0" borderId="11" xfId="67" applyBorder="1" applyAlignment="1">
      <alignment horizontal="center" vertical="center" wrapText="1"/>
    </xf>
    <xf numFmtId="175" fontId="18" fillId="0" borderId="11" xfId="67" applyBorder="1" applyAlignment="1" applyProtection="1">
      <alignment horizontal="center" vertical="center" wrapText="1"/>
      <protection locked="0"/>
    </xf>
    <xf numFmtId="175" fontId="18" fillId="0" borderId="0" xfId="0" applyFont="1" applyAlignment="1">
      <alignment horizontal="center"/>
    </xf>
    <xf numFmtId="172" fontId="16" fillId="0" borderId="0" xfId="0" applyNumberFormat="1" applyFont="1"/>
    <xf numFmtId="175" fontId="42" fillId="0" borderId="0" xfId="0" applyFont="1"/>
    <xf numFmtId="3" fontId="42" fillId="0" borderId="0" xfId="0" applyNumberFormat="1" applyFont="1"/>
    <xf numFmtId="175" fontId="18" fillId="47" borderId="0" xfId="0" applyFont="1" applyFill="1" applyAlignment="1">
      <alignment horizontal="center"/>
    </xf>
    <xf numFmtId="0" fontId="16" fillId="0" borderId="0" xfId="66" applyNumberFormat="1"/>
    <xf numFmtId="175" fontId="16" fillId="47" borderId="0" xfId="66" applyFont="1" applyFill="1" applyAlignment="1" applyProtection="1">
      <alignment horizontal="center"/>
      <protection locked="0"/>
    </xf>
    <xf numFmtId="175" fontId="16" fillId="47" borderId="0" xfId="66" applyFont="1" applyFill="1" applyProtection="1">
      <protection locked="0"/>
    </xf>
    <xf numFmtId="171" fontId="16" fillId="47" borderId="0" xfId="66" applyNumberFormat="1" applyFont="1" applyFill="1" applyAlignment="1" applyProtection="1">
      <alignment horizontal="center"/>
      <protection locked="0"/>
    </xf>
    <xf numFmtId="175" fontId="16" fillId="0" borderId="0" xfId="66" applyBorder="1"/>
    <xf numFmtId="175" fontId="17" fillId="44" borderId="53" xfId="66" applyFont="1" applyFill="1" applyBorder="1" applyAlignment="1">
      <alignment horizontal="center"/>
    </xf>
    <xf numFmtId="175" fontId="17" fillId="0" borderId="53" xfId="0" applyFont="1" applyBorder="1" applyAlignment="1">
      <alignment wrapText="1"/>
    </xf>
    <xf numFmtId="175" fontId="17" fillId="0" borderId="60" xfId="66" applyFont="1" applyBorder="1" applyAlignment="1">
      <alignment horizontal="left"/>
    </xf>
    <xf numFmtId="175" fontId="17" fillId="0" borderId="20" xfId="66" applyFont="1" applyBorder="1" applyAlignment="1" applyProtection="1">
      <alignment horizontal="center"/>
      <protection locked="0"/>
    </xf>
    <xf numFmtId="6" fontId="76" fillId="0" borderId="0" xfId="520" applyNumberFormat="1" applyFont="1" applyBorder="1"/>
    <xf numFmtId="0" fontId="76" fillId="0" borderId="0" xfId="520" applyFont="1" applyBorder="1"/>
    <xf numFmtId="0" fontId="77" fillId="0" borderId="21" xfId="520" applyFont="1" applyBorder="1"/>
    <xf numFmtId="164" fontId="69" fillId="0" borderId="27" xfId="66" applyNumberFormat="1" applyFont="1" applyBorder="1"/>
    <xf numFmtId="175" fontId="81" fillId="0" borderId="0" xfId="0" quotePrefix="1" applyFont="1" applyAlignment="1">
      <alignment vertical="center"/>
    </xf>
    <xf numFmtId="175" fontId="81" fillId="0" borderId="0" xfId="0" quotePrefix="1" applyFont="1" applyProtection="1">
      <protection locked="0"/>
    </xf>
    <xf numFmtId="175" fontId="85" fillId="47" borderId="0" xfId="0" quotePrefix="1" applyFont="1" applyFill="1" applyProtection="1">
      <protection locked="0"/>
    </xf>
    <xf numFmtId="175" fontId="17" fillId="0" borderId="20" xfId="66" applyFont="1" applyBorder="1" applyAlignment="1" applyProtection="1">
      <alignment horizontal="right"/>
      <protection locked="0"/>
    </xf>
    <xf numFmtId="6" fontId="16" fillId="0" borderId="22" xfId="66" applyNumberFormat="1" applyBorder="1" applyAlignment="1">
      <alignment horizontal="right"/>
    </xf>
    <xf numFmtId="0" fontId="17" fillId="0" borderId="0" xfId="522" applyFont="1" applyAlignment="1" applyProtection="1">
      <alignment horizontal="center"/>
      <protection locked="0"/>
    </xf>
    <xf numFmtId="17" fontId="17" fillId="47" borderId="0" xfId="522" quotePrefix="1" applyNumberFormat="1" applyFont="1" applyFill="1" applyAlignment="1" applyProtection="1">
      <alignment horizontal="center"/>
      <protection locked="0"/>
    </xf>
    <xf numFmtId="0" fontId="57" fillId="49" borderId="18" xfId="520" applyFont="1" applyFill="1" applyBorder="1"/>
    <xf numFmtId="0" fontId="17" fillId="0" borderId="18" xfId="520" applyFont="1" applyBorder="1" applyAlignment="1">
      <alignment horizontal="center"/>
    </xf>
    <xf numFmtId="0" fontId="17" fillId="0" borderId="14" xfId="520" applyFont="1" applyBorder="1" applyAlignment="1">
      <alignment horizontal="center"/>
    </xf>
    <xf numFmtId="0" fontId="17" fillId="0" borderId="21" xfId="520" applyFont="1" applyBorder="1" applyAlignment="1">
      <alignment wrapText="1"/>
    </xf>
    <xf numFmtId="0" fontId="16" fillId="0" borderId="17" xfId="520" applyFont="1" applyBorder="1" applyAlignment="1">
      <alignment horizontal="left" indent="2"/>
    </xf>
    <xf numFmtId="0" fontId="16" fillId="0" borderId="17" xfId="520" applyFont="1" applyBorder="1" applyAlignment="1">
      <alignment horizontal="left" wrapText="1" indent="2"/>
    </xf>
    <xf numFmtId="0" fontId="16" fillId="47" borderId="17" xfId="520" applyFont="1" applyFill="1" applyBorder="1" applyAlignment="1">
      <alignment horizontal="left" wrapText="1" indent="2"/>
    </xf>
    <xf numFmtId="0" fontId="88" fillId="0" borderId="17" xfId="520" applyFont="1" applyBorder="1"/>
    <xf numFmtId="0" fontId="57" fillId="49" borderId="20" xfId="520" applyFont="1" applyFill="1" applyBorder="1"/>
    <xf numFmtId="0" fontId="57" fillId="0" borderId="21" xfId="520" applyFont="1" applyBorder="1"/>
    <xf numFmtId="3" fontId="48" fillId="0" borderId="17" xfId="0" applyNumberFormat="1" applyFont="1" applyFill="1" applyBorder="1" applyAlignment="1" applyProtection="1">
      <alignment horizontal="center"/>
      <protection locked="0"/>
    </xf>
    <xf numFmtId="175" fontId="17" fillId="47" borderId="0" xfId="0" applyFont="1" applyFill="1" applyAlignment="1" applyProtection="1">
      <alignment wrapText="1"/>
      <protection locked="0"/>
    </xf>
    <xf numFmtId="175" fontId="17" fillId="0" borderId="11" xfId="0" applyFont="1" applyBorder="1" applyAlignment="1">
      <alignment horizontal="center"/>
    </xf>
    <xf numFmtId="175" fontId="0" fillId="0" borderId="48" xfId="0" applyBorder="1"/>
    <xf numFmtId="2" fontId="42" fillId="0" borderId="0" xfId="0" applyNumberFormat="1" applyFont="1" applyProtection="1">
      <protection locked="0"/>
    </xf>
    <xf numFmtId="175" fontId="16" fillId="0" borderId="0" xfId="0" applyFont="1" applyFill="1" applyBorder="1"/>
    <xf numFmtId="175" fontId="16" fillId="0" borderId="0" xfId="0" applyFont="1" applyFill="1" applyBorder="1" applyProtection="1">
      <protection locked="0"/>
    </xf>
    <xf numFmtId="2" fontId="16" fillId="0" borderId="0" xfId="0" applyNumberFormat="1" applyFont="1" applyFill="1" applyBorder="1" applyProtection="1">
      <protection locked="0"/>
    </xf>
    <xf numFmtId="1" fontId="16" fillId="0" borderId="0" xfId="0" applyNumberFormat="1" applyFont="1" applyFill="1" applyBorder="1" applyProtection="1">
      <protection locked="0"/>
    </xf>
    <xf numFmtId="1" fontId="16" fillId="0" borderId="67" xfId="0" applyNumberFormat="1" applyFont="1" applyFill="1" applyBorder="1" applyProtection="1">
      <protection locked="0"/>
    </xf>
    <xf numFmtId="175" fontId="16" fillId="0" borderId="0" xfId="0" applyFont="1" applyAlignment="1" applyProtection="1">
      <alignment vertical="top"/>
      <protection locked="0"/>
    </xf>
    <xf numFmtId="175" fontId="16" fillId="0" borderId="0" xfId="0" applyFont="1" applyFill="1" applyAlignment="1" applyProtection="1">
      <alignment vertical="top"/>
      <protection locked="0"/>
    </xf>
    <xf numFmtId="175" fontId="89" fillId="0" borderId="0" xfId="0" applyFont="1" applyFill="1" applyBorder="1" applyAlignment="1">
      <alignment horizontal="center" vertical="top"/>
    </xf>
    <xf numFmtId="175" fontId="89" fillId="0" borderId="66" xfId="0" applyFont="1" applyFill="1" applyBorder="1" applyAlignment="1">
      <alignment horizontal="center" vertical="top"/>
    </xf>
    <xf numFmtId="43" fontId="89" fillId="0" borderId="18" xfId="0" applyNumberFormat="1" applyFont="1" applyFill="1" applyBorder="1" applyAlignment="1" applyProtection="1">
      <alignment horizontal="center" vertical="top" wrapText="1"/>
      <protection locked="0"/>
    </xf>
    <xf numFmtId="43" fontId="89" fillId="0" borderId="11" xfId="0" applyNumberFormat="1" applyFont="1" applyFill="1" applyBorder="1" applyAlignment="1" applyProtection="1">
      <alignment horizontal="center" vertical="top" wrapText="1"/>
      <protection locked="0"/>
    </xf>
    <xf numFmtId="1" fontId="59" fillId="0" borderId="67" xfId="0" applyNumberFormat="1" applyFont="1" applyFill="1" applyBorder="1"/>
    <xf numFmtId="175" fontId="59" fillId="0" borderId="68" xfId="0" applyFont="1" applyFill="1" applyBorder="1"/>
    <xf numFmtId="175" fontId="59" fillId="0" borderId="68" xfId="0" applyFont="1" applyFill="1" applyBorder="1" applyProtection="1">
      <protection locked="0"/>
    </xf>
    <xf numFmtId="176" fontId="16" fillId="0" borderId="0" xfId="0" applyNumberFormat="1" applyFont="1" applyFill="1" applyBorder="1" applyProtection="1">
      <protection locked="0"/>
    </xf>
    <xf numFmtId="0" fontId="16" fillId="0" borderId="0" xfId="0" applyNumberFormat="1" applyFont="1" applyFill="1" applyAlignment="1" applyProtection="1">
      <alignment vertical="top"/>
      <protection locked="0"/>
    </xf>
    <xf numFmtId="0" fontId="4" fillId="0" borderId="0" xfId="888"/>
    <xf numFmtId="0" fontId="17" fillId="0" borderId="14" xfId="520" quotePrefix="1" applyNumberFormat="1" applyFont="1" applyBorder="1" applyAlignment="1">
      <alignment horizontal="center"/>
    </xf>
    <xf numFmtId="1" fontId="16" fillId="0" borderId="0" xfId="0" applyNumberFormat="1" applyFont="1" applyProtection="1">
      <protection locked="0"/>
    </xf>
    <xf numFmtId="175" fontId="69" fillId="47" borderId="40" xfId="0" applyFont="1" applyFill="1" applyBorder="1"/>
    <xf numFmtId="175" fontId="69" fillId="0" borderId="0" xfId="0" applyFont="1" applyFill="1" applyBorder="1" applyAlignment="1">
      <alignment horizontal="left"/>
    </xf>
    <xf numFmtId="175" fontId="68" fillId="0" borderId="70" xfId="66" applyFont="1" applyBorder="1" applyAlignment="1">
      <alignment horizontal="left" wrapText="1" indent="1"/>
    </xf>
    <xf numFmtId="175" fontId="46" fillId="0" borderId="0" xfId="66" applyFont="1" applyFill="1"/>
    <xf numFmtId="3" fontId="16" fillId="47" borderId="41" xfId="0" applyNumberFormat="1" applyFont="1" applyFill="1" applyBorder="1" applyAlignment="1" applyProtection="1">
      <alignment wrapText="1"/>
      <protection locked="0"/>
    </xf>
    <xf numFmtId="165" fontId="16" fillId="47" borderId="0" xfId="0" applyNumberFormat="1" applyFont="1" applyFill="1" applyProtection="1">
      <protection locked="0"/>
    </xf>
    <xf numFmtId="172" fontId="18" fillId="47" borderId="11" xfId="46" applyNumberFormat="1" applyFont="1" applyFill="1" applyBorder="1" applyAlignment="1">
      <alignment horizontal="right"/>
    </xf>
    <xf numFmtId="3" fontId="16" fillId="0" borderId="71" xfId="0" applyNumberFormat="1" applyFont="1" applyBorder="1" applyAlignment="1">
      <alignment horizontal="left" vertical="center" wrapText="1"/>
    </xf>
    <xf numFmtId="175" fontId="0" fillId="0" borderId="0" xfId="0" applyBorder="1"/>
    <xf numFmtId="175" fontId="71" fillId="0" borderId="0" xfId="66" applyFont="1" applyAlignment="1">
      <alignment wrapText="1"/>
    </xf>
    <xf numFmtId="164" fontId="17" fillId="0" borderId="0" xfId="66" applyNumberFormat="1" applyFont="1" applyBorder="1"/>
    <xf numFmtId="175" fontId="71" fillId="0" borderId="0" xfId="66" applyFont="1" applyBorder="1" applyAlignment="1">
      <alignment wrapText="1"/>
    </xf>
    <xf numFmtId="3" fontId="16" fillId="0" borderId="0" xfId="0" applyNumberFormat="1" applyFont="1" applyBorder="1" applyAlignment="1">
      <alignment horizontal="left" vertical="center" wrapText="1"/>
    </xf>
    <xf numFmtId="175" fontId="37" fillId="0" borderId="13" xfId="0" applyFont="1" applyBorder="1" applyAlignment="1">
      <alignment horizontal="center" wrapText="1"/>
    </xf>
    <xf numFmtId="175" fontId="37" fillId="0" borderId="15" xfId="0" applyFont="1" applyBorder="1" applyAlignment="1">
      <alignment horizontal="center" wrapText="1"/>
    </xf>
    <xf numFmtId="175" fontId="17" fillId="0" borderId="11" xfId="0" quotePrefix="1" applyFont="1" applyBorder="1" applyAlignment="1">
      <alignment horizontal="center"/>
    </xf>
    <xf numFmtId="175" fontId="16" fillId="0" borderId="11" xfId="0" applyFont="1" applyBorder="1" applyAlignment="1">
      <alignment vertical="center"/>
    </xf>
    <xf numFmtId="2" fontId="16" fillId="0" borderId="19" xfId="0" applyNumberFormat="1" applyFont="1" applyBorder="1" applyAlignment="1">
      <alignment vertical="center"/>
    </xf>
    <xf numFmtId="3" fontId="16" fillId="52" borderId="19" xfId="0" applyNumberFormat="1" applyFont="1" applyFill="1" applyBorder="1" applyAlignment="1">
      <alignment horizontal="center" vertical="center"/>
    </xf>
    <xf numFmtId="175" fontId="16" fillId="0" borderId="34" xfId="0" applyFont="1" applyBorder="1" applyAlignment="1">
      <alignment vertical="center"/>
    </xf>
    <xf numFmtId="2" fontId="16" fillId="0" borderId="16" xfId="0" applyNumberFormat="1" applyFont="1" applyBorder="1" applyAlignment="1">
      <alignment vertical="center"/>
    </xf>
    <xf numFmtId="3" fontId="16" fillId="52" borderId="16" xfId="0" applyNumberFormat="1" applyFont="1" applyFill="1" applyBorder="1" applyAlignment="1">
      <alignment horizontal="center" vertical="center"/>
    </xf>
    <xf numFmtId="3" fontId="16" fillId="0" borderId="16" xfId="0" applyNumberFormat="1" applyFont="1" applyBorder="1" applyAlignment="1">
      <alignment horizontal="center" vertical="center"/>
    </xf>
    <xf numFmtId="2" fontId="16" fillId="52" borderId="16" xfId="0" applyNumberFormat="1" applyFont="1" applyFill="1" applyBorder="1" applyAlignment="1">
      <alignment vertical="center"/>
    </xf>
    <xf numFmtId="3" fontId="16" fillId="0" borderId="19" xfId="0" applyNumberFormat="1" applyFont="1" applyBorder="1" applyAlignment="1">
      <alignment horizontal="center" vertical="center"/>
    </xf>
    <xf numFmtId="2" fontId="16" fillId="0" borderId="41" xfId="0" applyNumberFormat="1" applyFont="1" applyBorder="1" applyAlignment="1">
      <alignment vertical="center"/>
    </xf>
    <xf numFmtId="175" fontId="16" fillId="0" borderId="0" xfId="0" applyFont="1" applyBorder="1" applyAlignment="1"/>
    <xf numFmtId="175" fontId="18" fillId="47" borderId="11" xfId="0" applyFont="1" applyFill="1" applyBorder="1" applyAlignment="1" applyProtection="1">
      <alignment horizontal="left"/>
      <protection locked="0"/>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66" applyFont="1"/>
    <xf numFmtId="175" fontId="64" fillId="0" borderId="0" xfId="0" applyFont="1" applyAlignment="1">
      <alignment vertical="center"/>
    </xf>
    <xf numFmtId="0" fontId="73" fillId="0" borderId="0" xfId="520" applyFont="1"/>
    <xf numFmtId="175" fontId="16" fillId="0" borderId="0" xfId="66" applyBorder="1" applyAlignment="1">
      <alignment horizontal="center"/>
    </xf>
    <xf numFmtId="175" fontId="68" fillId="43" borderId="18" xfId="66" applyFont="1" applyFill="1" applyBorder="1" applyAlignment="1">
      <alignment horizontal="right"/>
    </xf>
    <xf numFmtId="44" fontId="68" fillId="43" borderId="18" xfId="50" applyFont="1" applyFill="1" applyBorder="1" applyAlignment="1">
      <alignment horizontal="right"/>
    </xf>
    <xf numFmtId="175" fontId="16" fillId="0" borderId="0" xfId="0" applyFont="1" applyBorder="1" applyAlignment="1">
      <alignment vertical="center"/>
    </xf>
    <xf numFmtId="2" fontId="16" fillId="0" borderId="0" xfId="0" applyNumberFormat="1" applyFont="1" applyBorder="1" applyAlignment="1">
      <alignment vertical="center"/>
    </xf>
    <xf numFmtId="3" fontId="16" fillId="0" borderId="0" xfId="0" applyNumberFormat="1" applyFont="1" applyBorder="1" applyAlignment="1">
      <alignment horizontal="center" vertical="center"/>
    </xf>
    <xf numFmtId="3" fontId="16" fillId="52" borderId="0" xfId="0" applyNumberFormat="1" applyFont="1" applyFill="1" applyBorder="1" applyAlignment="1">
      <alignment horizontal="center" vertical="center"/>
    </xf>
    <xf numFmtId="175" fontId="64" fillId="43" borderId="0" xfId="66" applyFont="1" applyFill="1"/>
    <xf numFmtId="44" fontId="64" fillId="43" borderId="0" xfId="50" applyFont="1" applyFill="1"/>
    <xf numFmtId="44" fontId="69" fillId="47" borderId="0" xfId="50" applyFont="1" applyFill="1"/>
    <xf numFmtId="175" fontId="17" fillId="0" borderId="72" xfId="66" applyFont="1" applyBorder="1" applyAlignment="1">
      <alignment horizontal="center" wrapText="1"/>
    </xf>
    <xf numFmtId="175" fontId="16" fillId="0" borderId="59" xfId="66" applyBorder="1"/>
    <xf numFmtId="175" fontId="69" fillId="43" borderId="53" xfId="66" applyFont="1" applyFill="1" applyBorder="1"/>
    <xf numFmtId="175" fontId="64" fillId="0" borderId="0" xfId="0" quotePrefix="1" applyFont="1" applyBorder="1" applyAlignment="1"/>
    <xf numFmtId="175" fontId="37" fillId="0" borderId="11" xfId="0" applyFont="1" applyBorder="1" applyAlignment="1" applyProtection="1">
      <alignment horizontal="center"/>
      <protection locked="0"/>
    </xf>
    <xf numFmtId="175" fontId="37" fillId="0" borderId="11" xfId="0" applyFont="1" applyBorder="1" applyAlignment="1">
      <alignment horizontal="center"/>
    </xf>
    <xf numFmtId="42" fontId="16" fillId="0" borderId="0" xfId="520" applyNumberFormat="1" applyFont="1" applyBorder="1"/>
    <xf numFmtId="42" fontId="16" fillId="0" borderId="41" xfId="520" applyNumberFormat="1" applyBorder="1"/>
    <xf numFmtId="42" fontId="16" fillId="0" borderId="0" xfId="520" applyNumberFormat="1" applyFont="1"/>
    <xf numFmtId="42" fontId="16" fillId="0" borderId="41" xfId="520" applyNumberFormat="1" applyFont="1" applyBorder="1"/>
    <xf numFmtId="42" fontId="16" fillId="49" borderId="18" xfId="520" applyNumberFormat="1" applyFont="1" applyFill="1" applyBorder="1"/>
    <xf numFmtId="42" fontId="16" fillId="49" borderId="19" xfId="520" applyNumberFormat="1" applyFont="1" applyFill="1" applyBorder="1"/>
    <xf numFmtId="42" fontId="76" fillId="49" borderId="18" xfId="520" applyNumberFormat="1" applyFont="1" applyFill="1" applyBorder="1"/>
    <xf numFmtId="42" fontId="76" fillId="0" borderId="17" xfId="520" applyNumberFormat="1" applyFont="1" applyBorder="1"/>
    <xf numFmtId="42" fontId="76" fillId="0" borderId="0" xfId="520" applyNumberFormat="1" applyFont="1"/>
    <xf numFmtId="42" fontId="76" fillId="0" borderId="41" xfId="520" applyNumberFormat="1" applyFont="1" applyBorder="1"/>
    <xf numFmtId="42" fontId="76" fillId="0" borderId="0" xfId="520" applyNumberFormat="1" applyFont="1" applyBorder="1"/>
    <xf numFmtId="42" fontId="76" fillId="0" borderId="14" xfId="520" applyNumberFormat="1" applyFont="1" applyBorder="1"/>
    <xf numFmtId="42" fontId="76" fillId="0" borderId="16" xfId="520" applyNumberFormat="1" applyFont="1" applyBorder="1"/>
    <xf numFmtId="42" fontId="16" fillId="0" borderId="22" xfId="520" applyNumberFormat="1" applyFont="1" applyBorder="1"/>
    <xf numFmtId="42" fontId="16" fillId="0" borderId="48" xfId="520" applyNumberFormat="1" applyBorder="1"/>
    <xf numFmtId="42" fontId="16" fillId="0" borderId="17" xfId="520" applyNumberFormat="1" applyFont="1" applyBorder="1"/>
    <xf numFmtId="42" fontId="16" fillId="0" borderId="21" xfId="520" applyNumberFormat="1" applyFont="1" applyBorder="1"/>
    <xf numFmtId="42" fontId="16" fillId="0" borderId="16" xfId="520" applyNumberFormat="1" applyBorder="1"/>
    <xf numFmtId="42" fontId="16" fillId="49" borderId="21" xfId="520" applyNumberFormat="1" applyFont="1" applyFill="1" applyBorder="1"/>
    <xf numFmtId="42" fontId="16" fillId="49" borderId="14" xfId="520" applyNumberFormat="1" applyFont="1" applyFill="1" applyBorder="1"/>
    <xf numFmtId="42" fontId="76" fillId="49" borderId="19" xfId="520" applyNumberFormat="1" applyFont="1" applyFill="1" applyBorder="1"/>
    <xf numFmtId="42" fontId="76" fillId="0" borderId="22" xfId="520" applyNumberFormat="1" applyFont="1" applyBorder="1"/>
    <xf numFmtId="42" fontId="76" fillId="0" borderId="27" xfId="520" applyNumberFormat="1" applyFont="1" applyBorder="1"/>
    <xf numFmtId="42" fontId="76" fillId="45" borderId="0" xfId="520" applyNumberFormat="1" applyFont="1" applyFill="1"/>
    <xf numFmtId="42" fontId="76" fillId="0" borderId="48" xfId="520" applyNumberFormat="1" applyFont="1" applyBorder="1"/>
    <xf numFmtId="42" fontId="16" fillId="0" borderId="13" xfId="520" applyNumberFormat="1" applyBorder="1"/>
    <xf numFmtId="42" fontId="16" fillId="0" borderId="0" xfId="66" applyNumberFormat="1" applyProtection="1">
      <protection locked="0"/>
    </xf>
    <xf numFmtId="42" fontId="16" fillId="0" borderId="17" xfId="66" applyNumberFormat="1" applyBorder="1" applyAlignment="1" applyProtection="1">
      <alignment horizontal="center"/>
      <protection locked="0"/>
    </xf>
    <xf numFmtId="42" fontId="16"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7" fillId="47" borderId="11" xfId="66" applyFont="1" applyFill="1" applyBorder="1" applyAlignment="1">
      <alignment horizontal="center"/>
    </xf>
    <xf numFmtId="171" fontId="17" fillId="47" borderId="11" xfId="66" applyNumberFormat="1" applyFont="1" applyFill="1" applyBorder="1" applyAlignment="1">
      <alignment horizontal="center"/>
    </xf>
    <xf numFmtId="175" fontId="17" fillId="47" borderId="11" xfId="66" applyFont="1" applyFill="1" applyBorder="1" applyAlignment="1">
      <alignment horizontal="center" wrapText="1"/>
    </xf>
    <xf numFmtId="175" fontId="17" fillId="47" borderId="0" xfId="66" applyFont="1" applyFill="1" applyAlignment="1" applyProtection="1">
      <alignment horizontal="left"/>
      <protection locked="0"/>
    </xf>
    <xf numFmtId="0" fontId="6" fillId="0" borderId="0" xfId="597"/>
    <xf numFmtId="43" fontId="0" fillId="50" borderId="0" xfId="46" applyFont="1" applyFill="1" applyAlignment="1">
      <alignment horizontal="left"/>
    </xf>
    <xf numFmtId="175" fontId="128" fillId="0" borderId="0" xfId="66" applyFont="1" applyAlignment="1">
      <alignment wrapText="1"/>
    </xf>
    <xf numFmtId="175" fontId="72" fillId="47" borderId="0" xfId="0" quotePrefix="1" applyFont="1" applyFill="1" applyProtection="1">
      <protection locked="0"/>
    </xf>
    <xf numFmtId="175" fontId="129" fillId="52" borderId="0" xfId="0" applyFont="1" applyFill="1" applyBorder="1"/>
    <xf numFmtId="175" fontId="16" fillId="0" borderId="13" xfId="0" applyFont="1" applyBorder="1" applyAlignment="1">
      <alignment vertical="center"/>
    </xf>
    <xf numFmtId="2" fontId="16" fillId="0" borderId="97" xfId="0" applyNumberFormat="1" applyFont="1" applyBorder="1" applyAlignment="1">
      <alignment vertical="center"/>
    </xf>
    <xf numFmtId="3" fontId="16" fillId="52" borderId="41" xfId="0" applyNumberFormat="1" applyFont="1" applyFill="1" applyBorder="1" applyAlignment="1">
      <alignment horizontal="center" vertical="center"/>
    </xf>
    <xf numFmtId="3" fontId="16" fillId="0" borderId="98" xfId="0" applyNumberFormat="1" applyFont="1" applyBorder="1" applyAlignment="1">
      <alignment horizontal="left" vertical="center" wrapText="1"/>
    </xf>
    <xf numFmtId="2" fontId="16" fillId="0" borderId="11" xfId="0" applyNumberFormat="1" applyFont="1" applyBorder="1" applyAlignment="1">
      <alignment vertical="center"/>
    </xf>
    <xf numFmtId="3" fontId="16" fillId="52" borderId="11" xfId="0" applyNumberFormat="1" applyFont="1" applyFill="1" applyBorder="1" applyAlignment="1">
      <alignment horizontal="center" vertical="center"/>
    </xf>
    <xf numFmtId="175" fontId="16" fillId="0" borderId="0" xfId="0" applyFont="1" applyBorder="1"/>
    <xf numFmtId="175" fontId="64" fillId="0" borderId="0" xfId="0" quotePrefix="1" applyFont="1" applyBorder="1"/>
    <xf numFmtId="3" fontId="16" fillId="0" borderId="41" xfId="0" applyNumberFormat="1" applyFont="1" applyBorder="1" applyAlignment="1">
      <alignment horizontal="center" vertical="center"/>
    </xf>
    <xf numFmtId="3" fontId="16" fillId="0" borderId="99" xfId="0" applyNumberFormat="1" applyFont="1" applyBorder="1" applyAlignment="1">
      <alignment horizontal="left" vertical="center" wrapText="1"/>
    </xf>
    <xf numFmtId="3" fontId="16" fillId="0" borderId="11" xfId="0" applyNumberFormat="1" applyFont="1" applyBorder="1" applyAlignment="1">
      <alignment horizontal="center" vertical="center"/>
    </xf>
    <xf numFmtId="175" fontId="128" fillId="52" borderId="0" xfId="0" applyFont="1" applyFill="1" applyBorder="1" applyAlignment="1"/>
    <xf numFmtId="175" fontId="59" fillId="0" borderId="34" xfId="0" applyFont="1" applyBorder="1" applyAlignment="1">
      <alignment vertical="center"/>
    </xf>
    <xf numFmtId="2" fontId="59" fillId="0" borderId="16" xfId="0" applyNumberFormat="1" applyFont="1" applyBorder="1" applyAlignment="1">
      <alignment vertical="center"/>
    </xf>
    <xf numFmtId="2" fontId="59" fillId="0" borderId="100" xfId="0" applyNumberFormat="1" applyFont="1" applyBorder="1" applyAlignment="1">
      <alignment vertical="center"/>
    </xf>
    <xf numFmtId="175" fontId="131" fillId="0" borderId="0" xfId="66" applyFont="1" applyProtection="1">
      <protection locked="0"/>
    </xf>
    <xf numFmtId="0" fontId="132" fillId="0" borderId="0" xfId="520" applyFont="1"/>
    <xf numFmtId="6" fontId="132" fillId="0" borderId="0" xfId="520" applyNumberFormat="1" applyFont="1"/>
    <xf numFmtId="168" fontId="132" fillId="0" borderId="0" xfId="52" applyNumberFormat="1" applyFont="1"/>
    <xf numFmtId="175" fontId="16" fillId="0" borderId="0" xfId="66" applyFill="1" applyProtection="1">
      <protection locked="0"/>
    </xf>
    <xf numFmtId="175" fontId="16" fillId="0" borderId="37" xfId="66" applyFill="1" applyBorder="1" applyProtection="1">
      <protection locked="0"/>
    </xf>
    <xf numFmtId="175" fontId="16" fillId="0" borderId="18" xfId="66" applyFill="1" applyBorder="1" applyProtection="1">
      <protection locked="0"/>
    </xf>
    <xf numFmtId="175" fontId="17" fillId="0" borderId="11" xfId="66" applyFont="1" applyFill="1" applyBorder="1" applyAlignment="1" applyProtection="1">
      <alignment horizontal="center" wrapText="1"/>
      <protection locked="0"/>
    </xf>
    <xf numFmtId="175" fontId="17" fillId="0" borderId="13" xfId="66" applyFont="1" applyFill="1" applyBorder="1" applyAlignment="1" applyProtection="1">
      <alignment horizontal="center" wrapText="1"/>
      <protection locked="0"/>
    </xf>
    <xf numFmtId="42" fontId="16" fillId="0" borderId="0" xfId="66" applyNumberFormat="1" applyFill="1" applyProtection="1">
      <protection locked="0"/>
    </xf>
    <xf numFmtId="164" fontId="16" fillId="0" borderId="42" xfId="66" applyNumberFormat="1" applyFill="1" applyBorder="1" applyProtection="1">
      <protection locked="0"/>
    </xf>
    <xf numFmtId="0" fontId="64" fillId="0" borderId="0" xfId="66" applyNumberFormat="1" applyFont="1" applyAlignment="1">
      <alignment horizontal="left"/>
    </xf>
    <xf numFmtId="164" fontId="71" fillId="0" borderId="0" xfId="66" applyNumberFormat="1" applyFont="1"/>
    <xf numFmtId="175" fontId="64" fillId="47" borderId="0" xfId="66" applyFont="1" applyFill="1" applyAlignment="1">
      <alignment wrapText="1"/>
    </xf>
    <xf numFmtId="175" fontId="64" fillId="0" borderId="0" xfId="66" applyFont="1" applyAlignment="1">
      <alignment wrapText="1"/>
    </xf>
    <xf numFmtId="175" fontId="64" fillId="47" borderId="0" xfId="66" applyFont="1" applyFill="1" applyAlignment="1"/>
    <xf numFmtId="175" fontId="68" fillId="47" borderId="52" xfId="66" applyFont="1" applyFill="1" applyBorder="1" applyAlignment="1">
      <alignment wrapText="1"/>
    </xf>
    <xf numFmtId="175" fontId="17" fillId="47" borderId="61" xfId="66" applyFont="1" applyFill="1" applyBorder="1" applyAlignment="1">
      <alignment wrapText="1"/>
    </xf>
    <xf numFmtId="164" fontId="16" fillId="47" borderId="0" xfId="66" applyNumberFormat="1" applyFill="1"/>
    <xf numFmtId="175" fontId="68" fillId="43" borderId="96" xfId="66" applyFont="1" applyFill="1" applyBorder="1" applyAlignment="1">
      <alignment horizontal="right"/>
    </xf>
    <xf numFmtId="175" fontId="68" fillId="43" borderId="101" xfId="66" applyFont="1" applyFill="1" applyBorder="1" applyAlignment="1">
      <alignment horizontal="center" wrapText="1"/>
    </xf>
    <xf numFmtId="6" fontId="16" fillId="0" borderId="27" xfId="66" applyNumberFormat="1" applyBorder="1" applyProtection="1">
      <protection locked="0"/>
    </xf>
    <xf numFmtId="6" fontId="16" fillId="0" borderId="95" xfId="66" applyNumberFormat="1" applyBorder="1" applyProtection="1">
      <protection locked="0"/>
    </xf>
    <xf numFmtId="6" fontId="16" fillId="0" borderId="13" xfId="66" applyNumberFormat="1" applyBorder="1" applyAlignment="1">
      <alignment horizontal="right"/>
    </xf>
    <xf numFmtId="167" fontId="16" fillId="0" borderId="13" xfId="66" applyNumberFormat="1" applyBorder="1" applyAlignment="1">
      <alignment horizontal="right"/>
    </xf>
    <xf numFmtId="167" fontId="16" fillId="0" borderId="11" xfId="66" applyNumberFormat="1" applyBorder="1" applyAlignment="1">
      <alignment horizontal="right"/>
    </xf>
    <xf numFmtId="167" fontId="16" fillId="0" borderId="11" xfId="66" applyNumberFormat="1" applyBorder="1"/>
    <xf numFmtId="167" fontId="16" fillId="0" borderId="13" xfId="66" applyNumberFormat="1" applyBorder="1"/>
    <xf numFmtId="167" fontId="16" fillId="47" borderId="13" xfId="66" applyNumberFormat="1" applyFill="1" applyBorder="1" applyAlignment="1">
      <alignment horizontal="right"/>
    </xf>
    <xf numFmtId="42" fontId="16" fillId="49" borderId="11" xfId="520" applyNumberFormat="1" applyFont="1" applyFill="1" applyBorder="1"/>
    <xf numFmtId="42" fontId="16" fillId="0" borderId="15" xfId="520" applyNumberFormat="1" applyFont="1" applyBorder="1"/>
    <xf numFmtId="42" fontId="16" fillId="0" borderId="13" xfId="520" applyNumberFormat="1" applyFont="1" applyBorder="1"/>
    <xf numFmtId="42" fontId="16" fillId="0" borderId="13" xfId="520" applyNumberFormat="1" applyFill="1" applyBorder="1"/>
    <xf numFmtId="42" fontId="16" fillId="0" borderId="41" xfId="520" applyNumberFormat="1" applyFill="1" applyBorder="1"/>
    <xf numFmtId="42" fontId="16" fillId="0" borderId="0" xfId="520" applyNumberFormat="1" applyFont="1" applyFill="1"/>
    <xf numFmtId="42" fontId="16" fillId="0" borderId="41" xfId="520" applyNumberFormat="1" applyFont="1" applyFill="1" applyBorder="1"/>
    <xf numFmtId="42" fontId="16" fillId="0" borderId="15" xfId="520" applyNumberFormat="1" applyFill="1" applyBorder="1"/>
    <xf numFmtId="42" fontId="16" fillId="0" borderId="48" xfId="520" applyNumberFormat="1" applyFill="1" applyBorder="1"/>
    <xf numFmtId="42" fontId="76" fillId="0" borderId="0" xfId="520" applyNumberFormat="1" applyFont="1" applyFill="1"/>
    <xf numFmtId="42" fontId="77" fillId="0" borderId="0" xfId="520" applyNumberFormat="1" applyFont="1"/>
    <xf numFmtId="175" fontId="17" fillId="0" borderId="60" xfId="66" applyFont="1" applyBorder="1"/>
    <xf numFmtId="175" fontId="17" fillId="0" borderId="101" xfId="66" applyFont="1" applyBorder="1"/>
    <xf numFmtId="175" fontId="17" fillId="0" borderId="101" xfId="66" applyFont="1" applyBorder="1" applyAlignment="1">
      <alignment horizontal="left" wrapText="1" indent="1"/>
    </xf>
    <xf numFmtId="175" fontId="17" fillId="0" borderId="101" xfId="66" applyFont="1" applyBorder="1" applyAlignment="1">
      <alignment horizontal="left" indent="1"/>
    </xf>
    <xf numFmtId="175" fontId="17" fillId="0" borderId="103" xfId="66" applyFont="1" applyBorder="1" applyAlignment="1">
      <alignment horizontal="left" indent="1"/>
    </xf>
    <xf numFmtId="43" fontId="16" fillId="50" borderId="0" xfId="46" applyFill="1" applyAlignment="1">
      <alignment horizontal="left"/>
    </xf>
    <xf numFmtId="175" fontId="128" fillId="47" borderId="0" xfId="0" quotePrefix="1" applyFont="1" applyFill="1" applyAlignment="1">
      <alignment vertical="top" wrapText="1"/>
    </xf>
    <xf numFmtId="175" fontId="64" fillId="0" borderId="0" xfId="0" applyFont="1"/>
    <xf numFmtId="175" fontId="70" fillId="47" borderId="0" xfId="66" applyFont="1" applyFill="1" applyAlignment="1" applyProtection="1">
      <alignment vertical="center"/>
      <protection locked="0"/>
    </xf>
    <xf numFmtId="175" fontId="16" fillId="0" borderId="0" xfId="66" applyFont="1" applyProtection="1">
      <protection locked="0"/>
    </xf>
    <xf numFmtId="42" fontId="16" fillId="47" borderId="17" xfId="66" applyNumberFormat="1" applyFill="1" applyBorder="1" applyAlignment="1">
      <alignment horizontal="right"/>
    </xf>
    <xf numFmtId="41" fontId="16" fillId="0" borderId="0" xfId="66" applyNumberFormat="1" applyBorder="1" applyProtection="1">
      <protection locked="0"/>
    </xf>
    <xf numFmtId="177" fontId="16" fillId="0" borderId="0" xfId="66" applyNumberFormat="1" applyBorder="1" applyProtection="1">
      <protection locked="0"/>
    </xf>
    <xf numFmtId="178" fontId="69" fillId="0" borderId="17" xfId="66" applyNumberFormat="1" applyFont="1" applyBorder="1"/>
    <xf numFmtId="178" fontId="69" fillId="0" borderId="0" xfId="66" applyNumberFormat="1" applyFont="1" applyBorder="1"/>
    <xf numFmtId="178" fontId="68" fillId="43" borderId="14" xfId="66" applyNumberFormat="1" applyFont="1" applyFill="1" applyBorder="1" applyAlignment="1"/>
    <xf numFmtId="178" fontId="69" fillId="0" borderId="0" xfId="66" applyNumberFormat="1" applyFont="1" applyAlignment="1"/>
    <xf numFmtId="178" fontId="68" fillId="0" borderId="96" xfId="66" applyNumberFormat="1" applyFont="1" applyBorder="1" applyAlignment="1"/>
    <xf numFmtId="178" fontId="68" fillId="43" borderId="42" xfId="66" applyNumberFormat="1" applyFont="1" applyFill="1" applyBorder="1" applyAlignment="1"/>
    <xf numFmtId="178" fontId="69" fillId="0" borderId="54" xfId="66" applyNumberFormat="1" applyFont="1" applyFill="1" applyBorder="1"/>
    <xf numFmtId="178" fontId="16" fillId="0" borderId="0" xfId="66" applyNumberFormat="1" applyBorder="1" applyAlignment="1"/>
    <xf numFmtId="178" fontId="16" fillId="0" borderId="54" xfId="66" applyNumberFormat="1" applyBorder="1" applyAlignment="1"/>
    <xf numFmtId="178" fontId="16" fillId="0" borderId="96" xfId="66" applyNumberFormat="1" applyBorder="1" applyAlignment="1"/>
    <xf numFmtId="178" fontId="16" fillId="0" borderId="18" xfId="66" applyNumberFormat="1" applyBorder="1" applyAlignment="1"/>
    <xf numFmtId="178" fontId="16" fillId="0" borderId="39" xfId="66" applyNumberFormat="1" applyBorder="1" applyAlignment="1"/>
    <xf numFmtId="178" fontId="16" fillId="0" borderId="0" xfId="66" applyNumberFormat="1" applyAlignment="1"/>
    <xf numFmtId="178" fontId="16" fillId="0" borderId="0" xfId="66" applyNumberFormat="1" applyAlignment="1" applyProtection="1">
      <protection locked="0"/>
    </xf>
    <xf numFmtId="178" fontId="16" fillId="0" borderId="0" xfId="66" applyNumberFormat="1" applyBorder="1" applyAlignment="1" applyProtection="1">
      <protection locked="0"/>
    </xf>
    <xf numFmtId="178" fontId="16" fillId="0" borderId="27" xfId="66" applyNumberFormat="1" applyBorder="1" applyAlignment="1"/>
    <xf numFmtId="178" fontId="16" fillId="0" borderId="14" xfId="66" applyNumberFormat="1" applyBorder="1" applyAlignment="1" applyProtection="1">
      <protection locked="0"/>
    </xf>
    <xf numFmtId="178" fontId="16" fillId="0" borderId="102" xfId="66" applyNumberFormat="1" applyBorder="1" applyAlignment="1"/>
    <xf numFmtId="178" fontId="16" fillId="0" borderId="59" xfId="66" applyNumberFormat="1" applyBorder="1" applyAlignment="1"/>
    <xf numFmtId="178" fontId="16" fillId="44" borderId="96" xfId="66" applyNumberFormat="1" applyFill="1" applyBorder="1" applyAlignment="1"/>
    <xf numFmtId="178" fontId="16" fillId="44" borderId="18" xfId="66" applyNumberFormat="1" applyFill="1" applyBorder="1" applyAlignment="1"/>
    <xf numFmtId="178" fontId="16" fillId="44" borderId="39" xfId="66" applyNumberFormat="1" applyFill="1" applyBorder="1" applyAlignment="1"/>
    <xf numFmtId="178" fontId="17" fillId="0" borderId="46" xfId="66" applyNumberFormat="1" applyFont="1" applyBorder="1" applyAlignment="1"/>
    <xf numFmtId="178" fontId="17" fillId="0" borderId="61" xfId="66" applyNumberFormat="1" applyFont="1" applyBorder="1" applyAlignment="1"/>
    <xf numFmtId="178" fontId="17" fillId="47" borderId="46" xfId="66" applyNumberFormat="1" applyFont="1" applyFill="1" applyBorder="1" applyAlignment="1"/>
    <xf numFmtId="178" fontId="17" fillId="47" borderId="62" xfId="66" applyNumberFormat="1" applyFont="1" applyFill="1" applyBorder="1" applyAlignment="1"/>
    <xf numFmtId="178" fontId="17" fillId="47" borderId="61" xfId="66" applyNumberFormat="1" applyFont="1" applyFill="1" applyBorder="1" applyAlignment="1"/>
    <xf numFmtId="178" fontId="69" fillId="0" borderId="17" xfId="66" applyNumberFormat="1" applyFont="1" applyBorder="1" applyAlignment="1"/>
    <xf numFmtId="178" fontId="69" fillId="0" borderId="0" xfId="66" applyNumberFormat="1" applyFont="1" applyBorder="1" applyAlignment="1"/>
    <xf numFmtId="178" fontId="69" fillId="0" borderId="21" xfId="66" applyNumberFormat="1" applyFont="1" applyBorder="1" applyAlignment="1"/>
    <xf numFmtId="178" fontId="69" fillId="0" borderId="14" xfId="66" applyNumberFormat="1" applyFont="1" applyBorder="1" applyAlignment="1"/>
    <xf numFmtId="178" fontId="68" fillId="43" borderId="21" xfId="66" applyNumberFormat="1" applyFont="1" applyFill="1" applyBorder="1" applyAlignment="1"/>
    <xf numFmtId="178" fontId="69" fillId="0" borderId="54" xfId="66" applyNumberFormat="1" applyFont="1" applyFill="1" applyBorder="1" applyAlignment="1"/>
    <xf numFmtId="178" fontId="68" fillId="43" borderId="51" xfId="66" applyNumberFormat="1" applyFont="1" applyFill="1" applyBorder="1" applyAlignment="1"/>
    <xf numFmtId="178" fontId="68" fillId="47" borderId="51" xfId="66" applyNumberFormat="1" applyFont="1" applyFill="1" applyBorder="1" applyAlignment="1"/>
    <xf numFmtId="42" fontId="16" fillId="0" borderId="17" xfId="66" applyNumberFormat="1" applyBorder="1" applyAlignment="1"/>
    <xf numFmtId="42" fontId="16" fillId="0" borderId="13" xfId="66" applyNumberFormat="1" applyBorder="1" applyAlignment="1"/>
    <xf numFmtId="42" fontId="16" fillId="0" borderId="0" xfId="66" applyNumberFormat="1" applyFill="1" applyBorder="1" applyAlignment="1"/>
    <xf numFmtId="42" fontId="16" fillId="47" borderId="13" xfId="66" applyNumberFormat="1" applyFill="1" applyBorder="1" applyAlignment="1"/>
    <xf numFmtId="42" fontId="16" fillId="0" borderId="21" xfId="66" applyNumberFormat="1" applyBorder="1" applyAlignment="1"/>
    <xf numFmtId="42" fontId="16" fillId="0" borderId="14" xfId="66" applyNumberFormat="1" applyBorder="1" applyAlignment="1"/>
    <xf numFmtId="42" fontId="16" fillId="0" borderId="20" xfId="66" applyNumberFormat="1" applyBorder="1" applyAlignment="1"/>
    <xf numFmtId="42" fontId="16" fillId="0" borderId="18" xfId="66" applyNumberFormat="1" applyFill="1" applyBorder="1" applyAlignment="1"/>
    <xf numFmtId="42" fontId="16" fillId="47" borderId="11" xfId="66" applyNumberFormat="1" applyFill="1" applyBorder="1" applyAlignment="1"/>
    <xf numFmtId="42" fontId="16" fillId="0" borderId="11" xfId="66" applyNumberFormat="1" applyBorder="1" applyAlignment="1"/>
    <xf numFmtId="42" fontId="16" fillId="0" borderId="0" xfId="66" applyNumberFormat="1" applyAlignment="1"/>
    <xf numFmtId="42" fontId="16" fillId="0" borderId="0" xfId="66" applyNumberFormat="1" applyAlignment="1" applyProtection="1">
      <protection locked="0"/>
    </xf>
    <xf numFmtId="42" fontId="16" fillId="0" borderId="13" xfId="66" applyNumberFormat="1" applyFill="1" applyBorder="1" applyAlignment="1"/>
    <xf numFmtId="42" fontId="16" fillId="0" borderId="18" xfId="66" applyNumberFormat="1" applyBorder="1" applyAlignment="1"/>
    <xf numFmtId="42" fontId="16" fillId="0" borderId="11" xfId="66" applyNumberFormat="1" applyFill="1" applyBorder="1" applyAlignment="1"/>
    <xf numFmtId="42" fontId="16" fillId="0" borderId="22" xfId="66" applyNumberFormat="1" applyBorder="1" applyAlignment="1"/>
    <xf numFmtId="42" fontId="16" fillId="0" borderId="14" xfId="66" applyNumberFormat="1" applyBorder="1" applyAlignment="1" applyProtection="1">
      <protection locked="0"/>
    </xf>
    <xf numFmtId="42" fontId="16" fillId="0" borderId="20" xfId="66" applyNumberFormat="1" applyFill="1" applyBorder="1" applyAlignment="1"/>
    <xf numFmtId="42" fontId="16" fillId="0" borderId="17" xfId="66" applyNumberFormat="1" applyFill="1" applyBorder="1" applyAlignment="1"/>
    <xf numFmtId="42" fontId="16" fillId="47" borderId="15" xfId="66" applyNumberFormat="1" applyFill="1" applyBorder="1" applyAlignment="1"/>
    <xf numFmtId="42" fontId="16" fillId="47" borderId="13" xfId="66" applyNumberFormat="1" applyFill="1" applyBorder="1" applyAlignment="1" applyProtection="1">
      <protection locked="0"/>
    </xf>
    <xf numFmtId="42" fontId="16" fillId="0" borderId="13" xfId="66" applyNumberFormat="1" applyBorder="1" applyAlignment="1" applyProtection="1">
      <protection locked="0"/>
    </xf>
    <xf numFmtId="42" fontId="16" fillId="0" borderId="34" xfId="66" applyNumberFormat="1" applyBorder="1" applyAlignment="1" applyProtection="1">
      <protection locked="0"/>
    </xf>
    <xf numFmtId="42" fontId="16" fillId="47" borderId="20" xfId="66" applyNumberFormat="1" applyFill="1" applyBorder="1" applyAlignment="1"/>
    <xf numFmtId="175" fontId="16" fillId="0" borderId="0" xfId="66" applyFont="1" applyFill="1" applyProtection="1">
      <protection locked="0"/>
    </xf>
    <xf numFmtId="3" fontId="48" fillId="47" borderId="17" xfId="0" applyNumberFormat="1" applyFont="1" applyFill="1" applyBorder="1" applyAlignment="1" applyProtection="1">
      <alignment horizontal="center"/>
      <protection locked="0"/>
    </xf>
    <xf numFmtId="43" fontId="16" fillId="50" borderId="0" xfId="46" quotePrefix="1" applyFill="1" applyAlignment="1">
      <alignment horizontal="right"/>
    </xf>
    <xf numFmtId="43" fontId="16" fillId="50" borderId="0" xfId="46" quotePrefix="1" applyNumberFormat="1" applyFill="1" applyAlignment="1">
      <alignment horizontal="right"/>
    </xf>
    <xf numFmtId="179" fontId="16" fillId="0" borderId="17" xfId="66" applyNumberFormat="1" applyBorder="1" applyAlignment="1"/>
    <xf numFmtId="42" fontId="59" fillId="0" borderId="21" xfId="520" applyNumberFormat="1" applyFont="1" applyBorder="1"/>
    <xf numFmtId="175" fontId="16" fillId="47" borderId="0" xfId="66" applyFont="1" applyFill="1"/>
    <xf numFmtId="175" fontId="134"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Alignment="1">
      <alignment horizontal="left" vertical="justify"/>
    </xf>
    <xf numFmtId="175" fontId="64" fillId="0" borderId="0" xfId="0" quotePrefix="1" applyFont="1"/>
    <xf numFmtId="175" fontId="64" fillId="0" borderId="0" xfId="0" applyFont="1"/>
    <xf numFmtId="175" fontId="64" fillId="52" borderId="0" xfId="0" quotePrefix="1" applyFont="1" applyFill="1" applyAlignment="1">
      <alignment vertical="justify"/>
    </xf>
    <xf numFmtId="175" fontId="64" fillId="52" borderId="0" xfId="0" applyFont="1" applyFill="1" applyAlignment="1">
      <alignment vertical="justify"/>
    </xf>
    <xf numFmtId="175" fontId="64" fillId="52" borderId="0" xfId="0" quotePrefix="1" applyFont="1" applyFill="1"/>
    <xf numFmtId="175" fontId="64" fillId="52" borderId="0" xfId="0" applyFont="1" applyFill="1"/>
    <xf numFmtId="175" fontId="64" fillId="0" borderId="0" xfId="0" applyFont="1" applyAlignment="1">
      <alignment horizontal="left" vertical="justify"/>
    </xf>
    <xf numFmtId="175" fontId="64" fillId="0" borderId="0" xfId="0" quotePrefix="1" applyFont="1" applyProtection="1">
      <protection locked="0"/>
    </xf>
    <xf numFmtId="175" fontId="135" fillId="47" borderId="0" xfId="0" applyFont="1" applyFill="1" applyProtection="1">
      <protection locked="0"/>
    </xf>
    <xf numFmtId="175" fontId="128" fillId="47" borderId="0" xfId="0" applyFont="1" applyFill="1" applyAlignment="1">
      <alignment vertical="top" wrapText="1"/>
    </xf>
    <xf numFmtId="175" fontId="69" fillId="43" borderId="0" xfId="66" applyFont="1" applyFill="1"/>
    <xf numFmtId="175" fontId="69" fillId="47" borderId="40" xfId="0" applyFont="1" applyFill="1" applyBorder="1"/>
    <xf numFmtId="42" fontId="16" fillId="0" borderId="0" xfId="520" applyNumberFormat="1" applyFont="1" applyBorder="1"/>
    <xf numFmtId="178" fontId="69" fillId="0" borderId="0" xfId="66" applyNumberFormat="1" applyFont="1" applyBorder="1" applyAlignment="1"/>
    <xf numFmtId="175" fontId="16" fillId="43" borderId="0" xfId="66" applyFont="1" applyFill="1"/>
    <xf numFmtId="168" fontId="16" fillId="0" borderId="0" xfId="66" applyNumberFormat="1" applyProtection="1">
      <protection locked="0"/>
    </xf>
    <xf numFmtId="44" fontId="69" fillId="43" borderId="0" xfId="5685" applyFont="1" applyFill="1"/>
    <xf numFmtId="168" fontId="16" fillId="0" borderId="0" xfId="66" applyNumberFormat="1" applyFill="1" applyProtection="1">
      <protection locked="0"/>
    </xf>
    <xf numFmtId="175" fontId="16" fillId="0" borderId="36" xfId="66" applyFill="1" applyBorder="1" applyProtection="1">
      <protection locked="0"/>
    </xf>
    <xf numFmtId="175" fontId="16" fillId="0" borderId="14" xfId="66" applyFill="1" applyBorder="1" applyProtection="1">
      <protection locked="0"/>
    </xf>
    <xf numFmtId="175" fontId="17" fillId="0" borderId="14" xfId="66" applyFont="1" applyFill="1" applyBorder="1" applyAlignment="1" applyProtection="1">
      <alignment horizontal="right"/>
      <protection locked="0"/>
    </xf>
    <xf numFmtId="6" fontId="16" fillId="0" borderId="0" xfId="66" applyNumberFormat="1" applyFill="1"/>
    <xf numFmtId="6" fontId="16" fillId="0" borderId="0" xfId="66" applyNumberFormat="1" applyFill="1" applyProtection="1">
      <protection locked="0"/>
    </xf>
    <xf numFmtId="42" fontId="16" fillId="0" borderId="21" xfId="66" applyNumberFormat="1" applyFill="1" applyBorder="1" applyAlignment="1"/>
    <xf numFmtId="175" fontId="68" fillId="0" borderId="0" xfId="66" applyFont="1" applyFill="1" applyAlignment="1">
      <alignment horizontal="center"/>
    </xf>
    <xf numFmtId="175" fontId="68" fillId="0" borderId="0" xfId="66" applyFont="1" applyFill="1" applyAlignment="1"/>
    <xf numFmtId="44" fontId="68" fillId="0" borderId="0" xfId="50" applyFont="1" applyFill="1" applyAlignment="1">
      <alignment horizontal="center"/>
    </xf>
    <xf numFmtId="175" fontId="68" fillId="0" borderId="0" xfId="66" applyFont="1" applyFill="1" applyBorder="1" applyAlignment="1">
      <alignment horizontal="center"/>
    </xf>
    <xf numFmtId="175" fontId="68" fillId="0" borderId="54" xfId="66" applyFont="1" applyFill="1" applyBorder="1" applyAlignment="1">
      <alignment horizontal="center" wrapText="1"/>
    </xf>
    <xf numFmtId="178" fontId="69" fillId="0" borderId="0" xfId="66" applyNumberFormat="1" applyFont="1" applyFill="1" applyBorder="1"/>
    <xf numFmtId="178" fontId="69" fillId="0" borderId="0" xfId="66" applyNumberFormat="1" applyFont="1" applyFill="1" applyBorder="1" applyAlignment="1"/>
    <xf numFmtId="178" fontId="69" fillId="0" borderId="14" xfId="66" applyNumberFormat="1" applyFont="1" applyFill="1" applyBorder="1" applyAlignment="1"/>
    <xf numFmtId="178" fontId="68" fillId="0" borderId="14" xfId="66" applyNumberFormat="1" applyFont="1" applyFill="1" applyBorder="1" applyAlignment="1"/>
    <xf numFmtId="178" fontId="68" fillId="0" borderId="101" xfId="66" applyNumberFormat="1" applyFont="1" applyFill="1" applyBorder="1" applyAlignment="1"/>
    <xf numFmtId="178" fontId="69" fillId="0" borderId="0" xfId="66" applyNumberFormat="1" applyFont="1" applyFill="1" applyAlignment="1"/>
    <xf numFmtId="178" fontId="68" fillId="0" borderId="96" xfId="66" applyNumberFormat="1" applyFont="1" applyFill="1" applyBorder="1" applyAlignment="1"/>
    <xf numFmtId="178" fontId="68" fillId="0" borderId="42" xfId="66" applyNumberFormat="1" applyFont="1" applyFill="1" applyBorder="1" applyAlignment="1"/>
    <xf numFmtId="178" fontId="68" fillId="0" borderId="61" xfId="66" applyNumberFormat="1" applyFont="1" applyFill="1" applyBorder="1" applyAlignment="1"/>
    <xf numFmtId="178" fontId="68" fillId="0" borderId="14" xfId="50" applyNumberFormat="1" applyFont="1" applyFill="1" applyBorder="1" applyAlignment="1"/>
    <xf numFmtId="178" fontId="68" fillId="0" borderId="60" xfId="66" applyNumberFormat="1" applyFont="1" applyFill="1" applyBorder="1" applyAlignment="1"/>
    <xf numFmtId="178" fontId="68" fillId="0" borderId="51" xfId="66" applyNumberFormat="1" applyFont="1" applyFill="1" applyBorder="1" applyAlignment="1"/>
    <xf numFmtId="178" fontId="68" fillId="0" borderId="73" xfId="66" applyNumberFormat="1" applyFont="1" applyFill="1" applyBorder="1" applyAlignment="1"/>
    <xf numFmtId="42" fontId="16" fillId="0" borderId="0" xfId="66" applyNumberFormat="1" applyBorder="1" applyAlignment="1"/>
    <xf numFmtId="172" fontId="18" fillId="47" borderId="114" xfId="46" applyNumberFormat="1" applyFont="1" applyFill="1" applyBorder="1" applyAlignment="1">
      <alignment horizontal="right"/>
    </xf>
    <xf numFmtId="175" fontId="64" fillId="0" borderId="0" xfId="66" applyFont="1" applyAlignment="1">
      <alignment wrapText="1"/>
    </xf>
    <xf numFmtId="175" fontId="0" fillId="0" borderId="0" xfId="66" applyFont="1"/>
    <xf numFmtId="175" fontId="0" fillId="47" borderId="0" xfId="66" applyFont="1" applyFill="1"/>
    <xf numFmtId="0" fontId="1" fillId="0" borderId="0" xfId="597" applyFont="1"/>
    <xf numFmtId="175" fontId="0" fillId="0" borderId="0" xfId="66" applyFont="1" applyAlignment="1">
      <alignment horizontal="center"/>
    </xf>
    <xf numFmtId="175" fontId="0" fillId="0" borderId="115" xfId="66" applyFont="1" applyBorder="1"/>
    <xf numFmtId="175" fontId="0" fillId="0" borderId="54" xfId="66" applyFont="1" applyBorder="1"/>
    <xf numFmtId="178" fontId="0" fillId="0" borderId="0" xfId="66" applyNumberFormat="1" applyFont="1"/>
    <xf numFmtId="178" fontId="0" fillId="0" borderId="54" xfId="66" applyNumberFormat="1" applyFont="1" applyBorder="1"/>
    <xf numFmtId="164" fontId="0" fillId="0" borderId="0" xfId="66" applyNumberFormat="1" applyFont="1"/>
    <xf numFmtId="178" fontId="0" fillId="0" borderId="116" xfId="66" applyNumberFormat="1" applyFont="1" applyBorder="1"/>
    <xf numFmtId="178" fontId="0" fillId="0" borderId="101"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117" xfId="66" applyNumberFormat="1" applyFont="1" applyBorder="1"/>
    <xf numFmtId="178" fontId="0" fillId="0" borderId="14" xfId="66" applyNumberFormat="1" applyFont="1" applyBorder="1" applyProtection="1">
      <protection locked="0"/>
    </xf>
    <xf numFmtId="175" fontId="17" fillId="0" borderId="115" xfId="66" applyFont="1" applyBorder="1" applyAlignment="1">
      <alignment horizontal="left" indent="1"/>
    </xf>
    <xf numFmtId="178" fontId="0" fillId="0" borderId="115" xfId="66" applyNumberFormat="1" applyFont="1" applyBorder="1"/>
    <xf numFmtId="178" fontId="0" fillId="44" borderId="116" xfId="66" applyNumberFormat="1" applyFont="1" applyFill="1" applyBorder="1"/>
    <xf numFmtId="178" fontId="0" fillId="44" borderId="101" xfId="66" applyNumberFormat="1" applyFont="1" applyFill="1" applyBorder="1"/>
    <xf numFmtId="164" fontId="0" fillId="0" borderId="0" xfId="66" applyNumberFormat="1" applyFont="1" applyAlignment="1">
      <alignment horizontal="right"/>
    </xf>
    <xf numFmtId="164" fontId="0" fillId="44" borderId="0" xfId="66" applyNumberFormat="1" applyFont="1" applyFill="1"/>
    <xf numFmtId="178" fontId="17" fillId="0" borderId="46" xfId="66" applyNumberFormat="1" applyFont="1" applyBorder="1"/>
    <xf numFmtId="178" fontId="17" fillId="0" borderId="61" xfId="66" applyNumberFormat="1" applyFont="1" applyBorder="1"/>
    <xf numFmtId="178" fontId="17" fillId="47" borderId="46" xfId="66" applyNumberFormat="1" applyFont="1" applyFill="1" applyBorder="1"/>
    <xf numFmtId="178" fontId="17" fillId="47" borderId="62" xfId="66" applyNumberFormat="1" applyFont="1" applyFill="1" applyBorder="1"/>
    <xf numFmtId="178" fontId="17" fillId="47" borderId="61" xfId="66" applyNumberFormat="1" applyFont="1" applyFill="1" applyBorder="1"/>
    <xf numFmtId="164" fontId="0" fillId="47" borderId="0" xfId="66" applyNumberFormat="1" applyFont="1" applyFill="1"/>
    <xf numFmtId="164" fontId="17" fillId="0" borderId="0" xfId="66" applyNumberFormat="1" applyFont="1"/>
    <xf numFmtId="175" fontId="64" fillId="47" borderId="0" xfId="66" applyFont="1" applyFill="1"/>
    <xf numFmtId="175" fontId="128" fillId="47" borderId="0" xfId="66" applyFont="1" applyFill="1"/>
    <xf numFmtId="175" fontId="0" fillId="0" borderId="114" xfId="0" applyBorder="1"/>
    <xf numFmtId="1" fontId="0" fillId="47" borderId="114" xfId="66" applyNumberFormat="1" applyFont="1" applyFill="1" applyBorder="1" applyAlignment="1" applyProtection="1">
      <alignment horizontal="center"/>
      <protection locked="0"/>
    </xf>
    <xf numFmtId="14" fontId="0" fillId="0" borderId="114" xfId="0" applyNumberFormat="1" applyBorder="1"/>
    <xf numFmtId="175" fontId="0" fillId="47" borderId="114" xfId="66" applyFont="1" applyFill="1" applyBorder="1" applyAlignment="1" applyProtection="1">
      <alignment horizontal="center"/>
      <protection locked="0"/>
    </xf>
    <xf numFmtId="2" fontId="0" fillId="47" borderId="114" xfId="66" applyNumberFormat="1" applyFont="1" applyFill="1" applyBorder="1" applyProtection="1">
      <protection locked="0"/>
    </xf>
    <xf numFmtId="16" fontId="0" fillId="0" borderId="114" xfId="0" applyNumberFormat="1" applyBorder="1" applyAlignment="1">
      <alignment horizontal="right"/>
    </xf>
    <xf numFmtId="175" fontId="71" fillId="47" borderId="0" xfId="66" quotePrefix="1" applyFont="1" applyFill="1" applyAlignment="1" applyProtection="1">
      <alignment horizontal="left"/>
      <protection locked="0"/>
    </xf>
    <xf numFmtId="175" fontId="137" fillId="0" borderId="0" xfId="0" quotePrefix="1" applyFont="1" applyAlignment="1">
      <alignment vertical="center"/>
    </xf>
    <xf numFmtId="175" fontId="0" fillId="0" borderId="0" xfId="0" applyProtection="1">
      <protection locked="0"/>
    </xf>
    <xf numFmtId="175" fontId="64" fillId="47" borderId="0" xfId="0" quotePrefix="1" applyFont="1" applyFill="1" applyProtection="1">
      <protection locked="0"/>
    </xf>
    <xf numFmtId="175" fontId="64" fillId="47" borderId="0" xfId="0" quotePrefix="1" applyFont="1" applyFill="1" applyAlignment="1">
      <alignment horizontal="left" vertical="top" wrapText="1"/>
    </xf>
    <xf numFmtId="175" fontId="17" fillId="0" borderId="63" xfId="0" applyFont="1" applyBorder="1" applyAlignment="1">
      <alignment horizontal="center"/>
    </xf>
    <xf numFmtId="175" fontId="17" fillId="0" borderId="64" xfId="0" applyFont="1" applyBorder="1" applyAlignment="1">
      <alignment horizontal="center"/>
    </xf>
    <xf numFmtId="175" fontId="17" fillId="0" borderId="65" xfId="0" applyFont="1" applyBorder="1" applyAlignment="1">
      <alignment horizontal="center"/>
    </xf>
    <xf numFmtId="175" fontId="64" fillId="0" borderId="0" xfId="0" quotePrefix="1" applyFont="1" applyBorder="1" applyAlignment="1"/>
    <xf numFmtId="175" fontId="64" fillId="0" borderId="0" xfId="0" applyFont="1" applyBorder="1" applyAlignment="1"/>
    <xf numFmtId="175" fontId="64" fillId="52" borderId="0" xfId="0" quotePrefix="1" applyFont="1" applyFill="1" applyBorder="1" applyAlignment="1"/>
    <xf numFmtId="175" fontId="64" fillId="52" borderId="0" xfId="0" applyFont="1" applyFill="1" applyBorder="1" applyAlignment="1"/>
    <xf numFmtId="175" fontId="64" fillId="0" borderId="0" xfId="0" quotePrefix="1" applyFont="1" applyAlignment="1">
      <alignment horizontal="left" vertical="justify"/>
    </xf>
    <xf numFmtId="175" fontId="17" fillId="0" borderId="17" xfId="0" applyFont="1" applyBorder="1" applyAlignment="1">
      <alignment horizontal="center"/>
    </xf>
    <xf numFmtId="175" fontId="17" fillId="0" borderId="0" xfId="0" applyFont="1" applyBorder="1" applyAlignment="1">
      <alignment horizontal="center"/>
    </xf>
    <xf numFmtId="175" fontId="17" fillId="0" borderId="41" xfId="0" applyFont="1" applyBorder="1" applyAlignment="1">
      <alignment horizontal="center"/>
    </xf>
    <xf numFmtId="175" fontId="71" fillId="0" borderId="0" xfId="0" applyFont="1" applyAlignment="1">
      <alignment vertical="top" wrapText="1"/>
    </xf>
    <xf numFmtId="175" fontId="64" fillId="0" borderId="0" xfId="0" quotePrefix="1" applyFont="1"/>
    <xf numFmtId="175" fontId="64" fillId="0" borderId="0" xfId="0" applyFont="1"/>
    <xf numFmtId="175" fontId="64" fillId="52" borderId="0" xfId="0" quotePrefix="1" applyFont="1" applyFill="1" applyAlignment="1">
      <alignment vertical="justify"/>
    </xf>
    <xf numFmtId="175" fontId="64" fillId="52" borderId="0" xfId="0" applyFont="1" applyFill="1" applyAlignment="1">
      <alignment vertical="justify"/>
    </xf>
    <xf numFmtId="175" fontId="64" fillId="52" borderId="0" xfId="0" quotePrefix="1" applyFont="1" applyFill="1"/>
    <xf numFmtId="175" fontId="64" fillId="52" borderId="0" xfId="0" applyFont="1" applyFill="1"/>
    <xf numFmtId="175" fontId="64" fillId="0" borderId="0" xfId="0" applyFont="1" applyAlignment="1">
      <alignment horizontal="left" vertical="justify"/>
    </xf>
    <xf numFmtId="175" fontId="37" fillId="0" borderId="11" xfId="0" applyFont="1" applyBorder="1" applyAlignment="1" applyProtection="1">
      <alignment horizontal="center"/>
      <protection locked="0"/>
    </xf>
    <xf numFmtId="175" fontId="37" fillId="0" borderId="11" xfId="0" applyFont="1" applyBorder="1" applyAlignment="1">
      <alignment horizontal="center"/>
    </xf>
    <xf numFmtId="175" fontId="57" fillId="47" borderId="20" xfId="66" applyFont="1" applyFill="1" applyBorder="1" applyAlignment="1">
      <alignment horizontal="center" wrapText="1"/>
    </xf>
    <xf numFmtId="175" fontId="57" fillId="47" borderId="18" xfId="66" applyFont="1" applyFill="1" applyBorder="1" applyAlignment="1">
      <alignment horizontal="center" wrapText="1"/>
    </xf>
    <xf numFmtId="175" fontId="57" fillId="47" borderId="19" xfId="66" applyFont="1" applyFill="1" applyBorder="1" applyAlignment="1">
      <alignment horizontal="center" wrapText="1"/>
    </xf>
    <xf numFmtId="175" fontId="83" fillId="0" borderId="0" xfId="0" applyFont="1" applyAlignment="1" applyProtection="1">
      <alignment horizontal="center"/>
      <protection locked="0"/>
    </xf>
    <xf numFmtId="17" fontId="83" fillId="47" borderId="0" xfId="0" quotePrefix="1" applyNumberFormat="1" applyFont="1" applyFill="1" applyAlignment="1" applyProtection="1">
      <alignment horizontal="left"/>
      <protection locked="0"/>
    </xf>
    <xf numFmtId="0" fontId="77" fillId="0" borderId="22" xfId="520" applyFont="1" applyBorder="1" applyAlignment="1">
      <alignment horizontal="center" vertical="center" wrapText="1"/>
    </xf>
    <xf numFmtId="0" fontId="77" fillId="0" borderId="21" xfId="520" applyFont="1" applyBorder="1" applyAlignment="1">
      <alignment horizontal="center" vertical="center" wrapText="1"/>
    </xf>
    <xf numFmtId="0" fontId="77" fillId="0" borderId="15" xfId="520" applyFont="1" applyBorder="1" applyAlignment="1">
      <alignment horizontal="center" vertical="center" wrapText="1"/>
    </xf>
    <xf numFmtId="0" fontId="77" fillId="0" borderId="34" xfId="520" applyFont="1" applyBorder="1" applyAlignment="1">
      <alignment horizontal="center" vertical="center" wrapText="1"/>
    </xf>
    <xf numFmtId="175" fontId="16" fillId="0" borderId="0" xfId="66" applyAlignment="1">
      <alignment wrapText="1"/>
    </xf>
    <xf numFmtId="175" fontId="64" fillId="0" borderId="0" xfId="66" applyFont="1" applyAlignment="1">
      <alignment wrapText="1"/>
    </xf>
    <xf numFmtId="178" fontId="69" fillId="0" borderId="117" xfId="66" applyNumberFormat="1" applyFont="1" applyFill="1" applyBorder="1"/>
    <xf numFmtId="178" fontId="69" fillId="0" borderId="118" xfId="66" applyNumberFormat="1" applyFont="1" applyFill="1" applyBorder="1"/>
  </cellXfs>
  <cellStyles count="5686">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refreshError="1"/>
      <sheetData sheetId="1" refreshError="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393" customFormat="1" ht="39.5" thickBot="1">
      <c r="A1" s="394" t="s">
        <v>0</v>
      </c>
      <c r="B1" s="394" t="s">
        <v>1</v>
      </c>
      <c r="C1" s="394" t="s">
        <v>2</v>
      </c>
      <c r="D1" s="394" t="s">
        <v>3</v>
      </c>
      <c r="E1" s="395" t="s">
        <v>4</v>
      </c>
      <c r="F1" s="396" t="s">
        <v>5</v>
      </c>
      <c r="G1" s="397" t="s">
        <v>6</v>
      </c>
      <c r="H1" s="398" t="s">
        <v>7</v>
      </c>
    </row>
    <row r="2" spans="1:8" ht="15.5" thickTop="1" thickBot="1">
      <c r="A2" s="403">
        <v>0</v>
      </c>
      <c r="B2" s="85" t="s">
        <v>8</v>
      </c>
      <c r="C2" s="404"/>
      <c r="D2" s="394" t="s">
        <v>9</v>
      </c>
      <c r="E2" s="399">
        <v>1</v>
      </c>
      <c r="F2" s="400" t="s">
        <v>10</v>
      </c>
      <c r="G2" s="39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0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5.5" thickTop="1" thickBot="1">
      <c r="A3" s="391">
        <v>1</v>
      </c>
      <c r="B3" s="388" t="s">
        <v>11</v>
      </c>
      <c r="C3" s="404"/>
      <c r="D3" s="389" t="s">
        <v>9</v>
      </c>
      <c r="E3" s="399">
        <v>1</v>
      </c>
      <c r="F3" s="400" t="s">
        <v>10</v>
      </c>
      <c r="G3"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5.5" thickTop="1" thickBot="1">
      <c r="A4" s="391">
        <v>2</v>
      </c>
      <c r="B4" s="388" t="s">
        <v>12</v>
      </c>
      <c r="C4" s="404" t="s">
        <v>13</v>
      </c>
      <c r="D4" s="389" t="s">
        <v>9</v>
      </c>
      <c r="E4" s="399">
        <v>1</v>
      </c>
      <c r="F4" s="400" t="s">
        <v>10</v>
      </c>
      <c r="G4" s="39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0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5.5" thickTop="1" thickBot="1">
      <c r="A5" s="391">
        <v>3</v>
      </c>
      <c r="B5" s="388" t="s">
        <v>14</v>
      </c>
      <c r="C5" s="404"/>
      <c r="D5" s="389" t="s">
        <v>9</v>
      </c>
      <c r="E5" s="399">
        <v>1</v>
      </c>
      <c r="F5" s="400" t="s">
        <v>10</v>
      </c>
      <c r="G5" s="39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0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5.5" thickTop="1" thickBot="1">
      <c r="A6" s="391">
        <v>4</v>
      </c>
      <c r="B6" s="388" t="s">
        <v>15</v>
      </c>
      <c r="C6" s="404" t="s">
        <v>16</v>
      </c>
      <c r="D6" s="389" t="s">
        <v>9</v>
      </c>
      <c r="E6" s="399">
        <v>1</v>
      </c>
      <c r="F6" s="400" t="s">
        <v>10</v>
      </c>
      <c r="G6" s="39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0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5.5" thickTop="1" thickBot="1">
      <c r="A7" s="391">
        <v>5</v>
      </c>
      <c r="B7" s="389" t="s">
        <v>17</v>
      </c>
      <c r="C7" s="404" t="s">
        <v>18</v>
      </c>
      <c r="D7" s="389" t="s">
        <v>19</v>
      </c>
      <c r="E7" s="399">
        <v>1</v>
      </c>
      <c r="F7" s="400" t="s">
        <v>10</v>
      </c>
      <c r="G7"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5.5" thickTop="1" thickBot="1">
      <c r="A8" s="391">
        <v>6</v>
      </c>
      <c r="B8" s="389" t="s">
        <v>20</v>
      </c>
      <c r="C8" s="404" t="s">
        <v>18</v>
      </c>
      <c r="D8" s="389" t="s">
        <v>9</v>
      </c>
      <c r="E8" s="399">
        <v>1</v>
      </c>
      <c r="F8" s="400" t="s">
        <v>10</v>
      </c>
      <c r="G8"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5.5" thickTop="1" thickBot="1">
      <c r="A9" s="391">
        <v>7</v>
      </c>
      <c r="B9" s="389" t="s">
        <v>21</v>
      </c>
      <c r="C9" s="404" t="s">
        <v>22</v>
      </c>
      <c r="D9" s="389" t="s">
        <v>19</v>
      </c>
      <c r="E9" s="399">
        <v>1</v>
      </c>
      <c r="F9" s="400" t="s">
        <v>10</v>
      </c>
      <c r="G9"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5.5" thickTop="1" thickBot="1">
      <c r="A10" s="391">
        <v>8</v>
      </c>
      <c r="B10" s="389" t="s">
        <v>23</v>
      </c>
      <c r="C10" s="404" t="s">
        <v>22</v>
      </c>
      <c r="D10" s="389" t="s">
        <v>9</v>
      </c>
      <c r="E10" s="399">
        <v>1</v>
      </c>
      <c r="F10" s="400" t="s">
        <v>10</v>
      </c>
      <c r="G10"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5.5" thickTop="1" thickBot="1">
      <c r="A11" s="391">
        <v>9</v>
      </c>
      <c r="B11" s="389" t="s">
        <v>24</v>
      </c>
      <c r="C11" s="404"/>
      <c r="D11" s="389" t="s">
        <v>9</v>
      </c>
      <c r="E11" s="399">
        <v>1</v>
      </c>
      <c r="F11" s="400" t="s">
        <v>10</v>
      </c>
      <c r="G11"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5.5" thickTop="1" thickBot="1">
      <c r="A12" s="391">
        <v>10</v>
      </c>
      <c r="B12" s="389" t="s">
        <v>25</v>
      </c>
      <c r="C12" s="404"/>
      <c r="D12" s="389" t="s">
        <v>9</v>
      </c>
      <c r="E12" s="399">
        <v>1</v>
      </c>
      <c r="F12" s="400" t="s">
        <v>10</v>
      </c>
      <c r="G12"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391">
        <v>11</v>
      </c>
      <c r="B13" s="389" t="s">
        <v>26</v>
      </c>
      <c r="C13" s="404"/>
      <c r="D13" s="389" t="s">
        <v>9</v>
      </c>
      <c r="E13" s="399">
        <v>1</v>
      </c>
      <c r="F13" s="400" t="s">
        <v>10</v>
      </c>
      <c r="G13"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3"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1.11812</v>
      </c>
    </row>
    <row r="14" spans="1:8" ht="13.5" thickTop="1" thickBot="1">
      <c r="A14" s="391">
        <v>12</v>
      </c>
      <c r="B14" s="388" t="s">
        <v>27</v>
      </c>
      <c r="C14" s="388"/>
      <c r="D14" s="389" t="s">
        <v>19</v>
      </c>
      <c r="E14" s="399">
        <v>1</v>
      </c>
      <c r="F14" s="400" t="s">
        <v>10</v>
      </c>
      <c r="G14"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4"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0.68663677264004952</v>
      </c>
    </row>
    <row r="15" spans="1:8" ht="15.5" thickTop="1" thickBot="1">
      <c r="A15" s="403">
        <v>0</v>
      </c>
      <c r="B15" s="85" t="s">
        <v>8</v>
      </c>
      <c r="C15" s="404"/>
      <c r="D15" s="394" t="s">
        <v>9</v>
      </c>
      <c r="E15" s="399">
        <v>2</v>
      </c>
      <c r="F15" s="400" t="s">
        <v>28</v>
      </c>
      <c r="G15" s="39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4</v>
      </c>
      <c r="H15" s="40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0.49343344116210935</v>
      </c>
    </row>
    <row r="16" spans="1:8" ht="15.5" thickTop="1" thickBot="1">
      <c r="A16" s="391">
        <v>1</v>
      </c>
      <c r="B16" s="389" t="s">
        <v>11</v>
      </c>
      <c r="C16" s="404"/>
      <c r="D16" s="389" t="s">
        <v>9</v>
      </c>
      <c r="E16" s="392">
        <v>2</v>
      </c>
      <c r="F16" s="401" t="s">
        <v>28</v>
      </c>
      <c r="G16"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14068</v>
      </c>
      <c r="H16"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1.9695200000000002</v>
      </c>
    </row>
    <row r="17" spans="1:8" ht="15.5" thickTop="1" thickBot="1">
      <c r="A17" s="391">
        <v>2</v>
      </c>
      <c r="B17" s="389" t="s">
        <v>12</v>
      </c>
      <c r="C17" s="404" t="s">
        <v>13</v>
      </c>
      <c r="D17" s="389" t="s">
        <v>9</v>
      </c>
      <c r="E17" s="392">
        <v>2</v>
      </c>
      <c r="F17" s="401" t="s">
        <v>28</v>
      </c>
      <c r="G17" s="39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0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5.5" thickTop="1" thickBot="1">
      <c r="A18" s="391">
        <v>3</v>
      </c>
      <c r="B18" s="389" t="s">
        <v>14</v>
      </c>
      <c r="C18" s="404"/>
      <c r="D18" s="389" t="s">
        <v>9</v>
      </c>
      <c r="E18" s="392">
        <v>2</v>
      </c>
      <c r="F18" s="401" t="s">
        <v>28</v>
      </c>
      <c r="G18" s="39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0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5.5" thickTop="1" thickBot="1">
      <c r="A19" s="391">
        <v>4</v>
      </c>
      <c r="B19" s="389" t="s">
        <v>15</v>
      </c>
      <c r="C19" s="404" t="s">
        <v>16</v>
      </c>
      <c r="D19" s="389" t="s">
        <v>9</v>
      </c>
      <c r="E19" s="392">
        <v>2</v>
      </c>
      <c r="F19" s="401" t="s">
        <v>28</v>
      </c>
      <c r="G19" s="39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0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5.5" thickTop="1" thickBot="1">
      <c r="A20" s="391">
        <v>5</v>
      </c>
      <c r="B20" s="389" t="s">
        <v>17</v>
      </c>
      <c r="C20" s="404" t="s">
        <v>18</v>
      </c>
      <c r="D20" s="389" t="s">
        <v>19</v>
      </c>
      <c r="E20" s="392">
        <v>2</v>
      </c>
      <c r="F20" s="401" t="s">
        <v>28</v>
      </c>
      <c r="G20"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17278</v>
      </c>
      <c r="H20"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4.5015298280304707E-5</v>
      </c>
    </row>
    <row r="21" spans="1:8" ht="15.5" thickTop="1" thickBot="1">
      <c r="A21" s="391">
        <v>6</v>
      </c>
      <c r="B21" s="389" t="s">
        <v>20</v>
      </c>
      <c r="C21" s="404" t="s">
        <v>18</v>
      </c>
      <c r="D21" s="389" t="s">
        <v>9</v>
      </c>
      <c r="E21" s="392">
        <v>2</v>
      </c>
      <c r="F21" s="401" t="s">
        <v>28</v>
      </c>
      <c r="G21"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704</v>
      </c>
      <c r="H21"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5.9277471620589494E-5</v>
      </c>
    </row>
    <row r="22" spans="1:8" ht="15.5" thickTop="1" thickBot="1">
      <c r="A22" s="391">
        <v>7</v>
      </c>
      <c r="B22" s="389" t="s">
        <v>21</v>
      </c>
      <c r="C22" s="404" t="s">
        <v>22</v>
      </c>
      <c r="D22" s="389" t="s">
        <v>19</v>
      </c>
      <c r="E22" s="392">
        <v>2</v>
      </c>
      <c r="F22" s="401" t="s">
        <v>28</v>
      </c>
      <c r="G22"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10185</v>
      </c>
      <c r="H22"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5.5" thickTop="1" thickBot="1">
      <c r="A23" s="391">
        <v>8</v>
      </c>
      <c r="B23" s="389" t="s">
        <v>23</v>
      </c>
      <c r="C23" s="404" t="s">
        <v>22</v>
      </c>
      <c r="D23" s="389" t="s">
        <v>9</v>
      </c>
      <c r="E23" s="392">
        <v>2</v>
      </c>
      <c r="F23" s="401" t="s">
        <v>28</v>
      </c>
      <c r="G23"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2648</v>
      </c>
      <c r="H23"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5.5" thickTop="1" thickBot="1">
      <c r="A24" s="391">
        <v>9</v>
      </c>
      <c r="B24" s="389" t="s">
        <v>24</v>
      </c>
      <c r="C24" s="404"/>
      <c r="D24" s="389" t="s">
        <v>9</v>
      </c>
      <c r="E24" s="392">
        <v>2</v>
      </c>
      <c r="F24" s="401" t="s">
        <v>28</v>
      </c>
      <c r="G24"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5.5" thickTop="1" thickBot="1">
      <c r="A25" s="391">
        <v>10</v>
      </c>
      <c r="B25" s="389" t="s">
        <v>25</v>
      </c>
      <c r="C25" s="404"/>
      <c r="D25" s="389" t="s">
        <v>9</v>
      </c>
      <c r="E25" s="392">
        <v>2</v>
      </c>
      <c r="F25" s="401" t="s">
        <v>28</v>
      </c>
      <c r="G25"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5.5" thickTop="1" thickBot="1">
      <c r="A26" s="391">
        <v>11</v>
      </c>
      <c r="B26" s="389" t="s">
        <v>26</v>
      </c>
      <c r="C26" s="404"/>
      <c r="D26" s="389" t="s">
        <v>9</v>
      </c>
      <c r="E26" s="392">
        <v>2</v>
      </c>
      <c r="F26" s="401" t="s">
        <v>28</v>
      </c>
      <c r="G26"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111739</v>
      </c>
      <c r="H26"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1.1173900000000001</v>
      </c>
    </row>
    <row r="27" spans="1:8" ht="13.5" thickTop="1" thickBot="1">
      <c r="A27" s="391">
        <v>12</v>
      </c>
      <c r="B27" s="389" t="s">
        <v>27</v>
      </c>
      <c r="C27" s="388"/>
      <c r="D27" s="389" t="s">
        <v>19</v>
      </c>
      <c r="E27" s="392">
        <v>2</v>
      </c>
      <c r="F27" s="401" t="s">
        <v>28</v>
      </c>
      <c r="G27"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18502</v>
      </c>
      <c r="H27"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0.63577350297570234</v>
      </c>
    </row>
    <row r="28" spans="1:8" ht="15.5" thickTop="1" thickBot="1">
      <c r="A28" s="403">
        <v>0</v>
      </c>
      <c r="B28" s="85" t="s">
        <v>8</v>
      </c>
      <c r="C28" s="404"/>
      <c r="D28" s="394" t="s">
        <v>9</v>
      </c>
      <c r="E28" s="399">
        <v>3</v>
      </c>
      <c r="F28" s="400" t="s">
        <v>29</v>
      </c>
      <c r="G28" s="39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0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0.61670471191406251</v>
      </c>
    </row>
    <row r="29" spans="1:8" ht="15.5" thickTop="1" thickBot="1">
      <c r="A29" s="391">
        <v>1</v>
      </c>
      <c r="B29" s="389" t="s">
        <v>11</v>
      </c>
      <c r="C29" s="404"/>
      <c r="D29" s="389" t="s">
        <v>9</v>
      </c>
      <c r="E29" s="392">
        <v>3</v>
      </c>
      <c r="F29" s="401" t="s">
        <v>29</v>
      </c>
      <c r="G29"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13616</v>
      </c>
      <c r="H29"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5.5" thickTop="1" thickBot="1">
      <c r="A30" s="391">
        <v>2</v>
      </c>
      <c r="B30" s="389" t="s">
        <v>12</v>
      </c>
      <c r="C30" s="404" t="s">
        <v>13</v>
      </c>
      <c r="D30" s="389" t="s">
        <v>9</v>
      </c>
      <c r="E30" s="392">
        <v>3</v>
      </c>
      <c r="F30" s="401" t="s">
        <v>29</v>
      </c>
      <c r="G30"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0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5.5" thickTop="1" thickBot="1">
      <c r="A31" s="391">
        <v>3</v>
      </c>
      <c r="B31" s="389" t="s">
        <v>14</v>
      </c>
      <c r="C31" s="404"/>
      <c r="D31" s="389" t="s">
        <v>9</v>
      </c>
      <c r="E31" s="392">
        <v>3</v>
      </c>
      <c r="F31" s="401" t="s">
        <v>29</v>
      </c>
      <c r="G31"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0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5.5" thickTop="1" thickBot="1">
      <c r="A32" s="391">
        <v>4</v>
      </c>
      <c r="B32" s="389" t="s">
        <v>15</v>
      </c>
      <c r="C32" s="404" t="s">
        <v>16</v>
      </c>
      <c r="D32" s="389" t="s">
        <v>9</v>
      </c>
      <c r="E32" s="392">
        <v>3</v>
      </c>
      <c r="F32" s="401" t="s">
        <v>29</v>
      </c>
      <c r="G32"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0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5.5" thickTop="1" thickBot="1">
      <c r="A33" s="391">
        <v>5</v>
      </c>
      <c r="B33" s="389" t="s">
        <v>17</v>
      </c>
      <c r="C33" s="404" t="s">
        <v>18</v>
      </c>
      <c r="D33" s="389" t="s">
        <v>19</v>
      </c>
      <c r="E33" s="392">
        <v>3</v>
      </c>
      <c r="F33" s="401" t="s">
        <v>29</v>
      </c>
      <c r="G33"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17050</v>
      </c>
      <c r="H33"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5.5" thickTop="1" thickBot="1">
      <c r="A34" s="391">
        <v>6</v>
      </c>
      <c r="B34" s="389" t="s">
        <v>20</v>
      </c>
      <c r="C34" s="404" t="s">
        <v>18</v>
      </c>
      <c r="D34" s="389" t="s">
        <v>9</v>
      </c>
      <c r="E34" s="392">
        <v>3</v>
      </c>
      <c r="F34" s="401" t="s">
        <v>29</v>
      </c>
      <c r="G34"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268</v>
      </c>
      <c r="H34"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5.5" thickTop="1" thickBot="1">
      <c r="A35" s="391">
        <v>7</v>
      </c>
      <c r="B35" s="389" t="s">
        <v>21</v>
      </c>
      <c r="C35" s="404" t="s">
        <v>22</v>
      </c>
      <c r="D35" s="389" t="s">
        <v>19</v>
      </c>
      <c r="E35" s="392">
        <v>3</v>
      </c>
      <c r="F35" s="401" t="s">
        <v>29</v>
      </c>
      <c r="G35"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10091</v>
      </c>
      <c r="H35"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5.5" thickTop="1" thickBot="1">
      <c r="A36" s="391">
        <v>8</v>
      </c>
      <c r="B36" s="389" t="s">
        <v>23</v>
      </c>
      <c r="C36" s="404" t="s">
        <v>22</v>
      </c>
      <c r="D36" s="389" t="s">
        <v>9</v>
      </c>
      <c r="E36" s="392">
        <v>3</v>
      </c>
      <c r="F36" s="401" t="s">
        <v>29</v>
      </c>
      <c r="G36"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2627</v>
      </c>
      <c r="H36"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5.5" thickTop="1" thickBot="1">
      <c r="A37" s="391">
        <v>9</v>
      </c>
      <c r="B37" s="389" t="s">
        <v>24</v>
      </c>
      <c r="C37" s="404"/>
      <c r="D37" s="389" t="s">
        <v>9</v>
      </c>
      <c r="E37" s="392">
        <v>3</v>
      </c>
      <c r="F37" s="401" t="s">
        <v>29</v>
      </c>
      <c r="G37"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5.5" thickTop="1" thickBot="1">
      <c r="A38" s="391">
        <v>10</v>
      </c>
      <c r="B38" s="389" t="s">
        <v>25</v>
      </c>
      <c r="C38" s="404"/>
      <c r="D38" s="389" t="s">
        <v>9</v>
      </c>
      <c r="E38" s="392">
        <v>3</v>
      </c>
      <c r="F38" s="401" t="s">
        <v>29</v>
      </c>
      <c r="G38"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5.5" thickTop="1" thickBot="1">
      <c r="A39" s="391">
        <v>11</v>
      </c>
      <c r="B39" s="389" t="s">
        <v>26</v>
      </c>
      <c r="C39" s="404"/>
      <c r="D39" s="389" t="s">
        <v>9</v>
      </c>
      <c r="E39" s="392">
        <v>3</v>
      </c>
      <c r="F39" s="401" t="s">
        <v>29</v>
      </c>
      <c r="G39"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111470</v>
      </c>
      <c r="H39"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1.1604781531494454E-2</v>
      </c>
    </row>
    <row r="40" spans="1:8" ht="13.5" thickTop="1" thickBot="1">
      <c r="A40" s="391">
        <v>12</v>
      </c>
      <c r="B40" s="389" t="s">
        <v>27</v>
      </c>
      <c r="C40" s="388"/>
      <c r="D40" s="389" t="s">
        <v>19</v>
      </c>
      <c r="E40" s="392">
        <v>3</v>
      </c>
      <c r="F40" s="401" t="s">
        <v>29</v>
      </c>
      <c r="G40"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19323</v>
      </c>
      <c r="H40"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0.81720589716985104</v>
      </c>
    </row>
    <row r="41" spans="1:8" ht="15.5" thickTop="1" thickBot="1">
      <c r="A41" s="403">
        <v>0</v>
      </c>
      <c r="B41" s="85" t="s">
        <v>8</v>
      </c>
      <c r="C41" s="404"/>
      <c r="D41" s="394" t="s">
        <v>9</v>
      </c>
      <c r="E41" s="399">
        <v>4</v>
      </c>
      <c r="F41" s="400" t="s">
        <v>30</v>
      </c>
      <c r="G41" s="39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2</v>
      </c>
      <c r="H41" s="40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0.28272567749023436</v>
      </c>
    </row>
    <row r="42" spans="1:8" ht="15.5" thickTop="1" thickBot="1">
      <c r="A42" s="391">
        <v>1</v>
      </c>
      <c r="B42" s="389" t="s">
        <v>11</v>
      </c>
      <c r="C42" s="404"/>
      <c r="D42" s="389" t="s">
        <v>9</v>
      </c>
      <c r="E42" s="392">
        <v>4</v>
      </c>
      <c r="F42" s="401" t="s">
        <v>30</v>
      </c>
      <c r="G42"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14076</v>
      </c>
      <c r="H42"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5.5" thickTop="1" thickBot="1">
      <c r="A43" s="391">
        <v>2</v>
      </c>
      <c r="B43" s="389" t="s">
        <v>12</v>
      </c>
      <c r="C43" s="404" t="s">
        <v>13</v>
      </c>
      <c r="D43" s="389" t="s">
        <v>9</v>
      </c>
      <c r="E43" s="392">
        <v>4</v>
      </c>
      <c r="F43" s="401" t="s">
        <v>30</v>
      </c>
      <c r="G43"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0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5.5" thickTop="1" thickBot="1">
      <c r="A44" s="391">
        <v>3</v>
      </c>
      <c r="B44" s="389" t="s">
        <v>14</v>
      </c>
      <c r="C44" s="404"/>
      <c r="D44" s="389" t="s">
        <v>9</v>
      </c>
      <c r="E44" s="392">
        <v>4</v>
      </c>
      <c r="F44" s="401" t="s">
        <v>30</v>
      </c>
      <c r="G44"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0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5.5" thickTop="1" thickBot="1">
      <c r="A45" s="391">
        <v>4</v>
      </c>
      <c r="B45" s="389" t="s">
        <v>15</v>
      </c>
      <c r="C45" s="404" t="s">
        <v>16</v>
      </c>
      <c r="D45" s="389" t="s">
        <v>9</v>
      </c>
      <c r="E45" s="392">
        <v>4</v>
      </c>
      <c r="F45" s="401" t="s">
        <v>30</v>
      </c>
      <c r="G45"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0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5.5" thickTop="1" thickBot="1">
      <c r="A46" s="391">
        <v>5</v>
      </c>
      <c r="B46" s="389" t="s">
        <v>17</v>
      </c>
      <c r="C46" s="404" t="s">
        <v>18</v>
      </c>
      <c r="D46" s="389" t="s">
        <v>19</v>
      </c>
      <c r="E46" s="392">
        <v>4</v>
      </c>
      <c r="F46" s="401" t="s">
        <v>30</v>
      </c>
      <c r="G46"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17283</v>
      </c>
      <c r="H46"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0.63219965072348705</v>
      </c>
    </row>
    <row r="47" spans="1:8" ht="15.5" thickTop="1" thickBot="1">
      <c r="A47" s="391">
        <v>6</v>
      </c>
      <c r="B47" s="389" t="s">
        <v>20</v>
      </c>
      <c r="C47" s="404" t="s">
        <v>18</v>
      </c>
      <c r="D47" s="389" t="s">
        <v>9</v>
      </c>
      <c r="E47" s="392">
        <v>4</v>
      </c>
      <c r="F47" s="401" t="s">
        <v>30</v>
      </c>
      <c r="G47"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268</v>
      </c>
      <c r="H47"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9.207833182811738E-2</v>
      </c>
    </row>
    <row r="48" spans="1:8" ht="15.5" thickTop="1" thickBot="1">
      <c r="A48" s="391">
        <v>7</v>
      </c>
      <c r="B48" s="389" t="s">
        <v>21</v>
      </c>
      <c r="C48" s="404" t="s">
        <v>22</v>
      </c>
      <c r="D48" s="389" t="s">
        <v>19</v>
      </c>
      <c r="E48" s="392">
        <v>4</v>
      </c>
      <c r="F48" s="401" t="s">
        <v>30</v>
      </c>
      <c r="G48"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9815</v>
      </c>
      <c r="H48"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0.27112955999999999</v>
      </c>
    </row>
    <row r="49" spans="1:8" ht="15.5" thickTop="1" thickBot="1">
      <c r="A49" s="391">
        <v>8</v>
      </c>
      <c r="B49" s="389" t="s">
        <v>23</v>
      </c>
      <c r="C49" s="404" t="s">
        <v>22</v>
      </c>
      <c r="D49" s="389" t="s">
        <v>9</v>
      </c>
      <c r="E49" s="392">
        <v>4</v>
      </c>
      <c r="F49" s="401" t="s">
        <v>30</v>
      </c>
      <c r="G49"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2774</v>
      </c>
      <c r="H49"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0.15616732319999999</v>
      </c>
    </row>
    <row r="50" spans="1:8" ht="15.5" thickTop="1" thickBot="1">
      <c r="A50" s="391">
        <v>9</v>
      </c>
      <c r="B50" s="389" t="s">
        <v>24</v>
      </c>
      <c r="C50" s="404"/>
      <c r="D50" s="389" t="s">
        <v>9</v>
      </c>
      <c r="E50" s="392">
        <v>4</v>
      </c>
      <c r="F50" s="401" t="s">
        <v>30</v>
      </c>
      <c r="G50"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5.5" thickTop="1" thickBot="1">
      <c r="A51" s="391">
        <v>10</v>
      </c>
      <c r="B51" s="389" t="s">
        <v>25</v>
      </c>
      <c r="C51" s="404"/>
      <c r="D51" s="389" t="s">
        <v>9</v>
      </c>
      <c r="E51" s="392">
        <v>4</v>
      </c>
      <c r="F51" s="401" t="s">
        <v>30</v>
      </c>
      <c r="G51"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5.5" thickTop="1" thickBot="1">
      <c r="A52" s="391">
        <v>11</v>
      </c>
      <c r="B52" s="389" t="s">
        <v>26</v>
      </c>
      <c r="C52" s="404"/>
      <c r="D52" s="389" t="s">
        <v>9</v>
      </c>
      <c r="E52" s="392">
        <v>4</v>
      </c>
      <c r="F52" s="401" t="s">
        <v>30</v>
      </c>
      <c r="G52"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112449</v>
      </c>
      <c r="H52"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8.2588858593487885E-2</v>
      </c>
    </row>
    <row r="53" spans="1:8" ht="13.5" thickTop="1" thickBot="1">
      <c r="A53" s="391">
        <v>12</v>
      </c>
      <c r="B53" s="389" t="s">
        <v>27</v>
      </c>
      <c r="C53" s="388"/>
      <c r="D53" s="389" t="s">
        <v>19</v>
      </c>
      <c r="E53" s="392">
        <v>4</v>
      </c>
      <c r="F53" s="401" t="s">
        <v>30</v>
      </c>
      <c r="G53"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16109</v>
      </c>
      <c r="H53"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0.74185605258546561</v>
      </c>
    </row>
    <row r="54" spans="1:8" ht="15.5" thickTop="1" thickBot="1">
      <c r="A54" s="403">
        <v>0</v>
      </c>
      <c r="B54" s="85" t="s">
        <v>8</v>
      </c>
      <c r="C54" s="404"/>
      <c r="D54" s="394" t="s">
        <v>9</v>
      </c>
      <c r="E54" s="399">
        <v>5</v>
      </c>
      <c r="F54" s="400" t="s">
        <v>31</v>
      </c>
      <c r="G54" s="39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2</v>
      </c>
      <c r="H54" s="40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0.27460052490234377</v>
      </c>
    </row>
    <row r="55" spans="1:8" ht="15.5" thickTop="1" thickBot="1">
      <c r="A55" s="391">
        <v>1</v>
      </c>
      <c r="B55" s="389" t="s">
        <v>11</v>
      </c>
      <c r="C55" s="404"/>
      <c r="D55" s="389" t="s">
        <v>9</v>
      </c>
      <c r="E55" s="392">
        <v>5</v>
      </c>
      <c r="F55" s="401" t="s">
        <v>31</v>
      </c>
      <c r="G55"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13310</v>
      </c>
      <c r="H55"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5.5" thickTop="1" thickBot="1">
      <c r="A56" s="391">
        <v>2</v>
      </c>
      <c r="B56" s="389" t="s">
        <v>12</v>
      </c>
      <c r="C56" s="404" t="s">
        <v>13</v>
      </c>
      <c r="D56" s="389" t="s">
        <v>9</v>
      </c>
      <c r="E56" s="392">
        <v>5</v>
      </c>
      <c r="F56" s="401" t="s">
        <v>31</v>
      </c>
      <c r="G56"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0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5.5" thickTop="1" thickBot="1">
      <c r="A57" s="391">
        <v>3</v>
      </c>
      <c r="B57" s="389" t="s">
        <v>14</v>
      </c>
      <c r="C57" s="404"/>
      <c r="D57" s="389" t="s">
        <v>9</v>
      </c>
      <c r="E57" s="392">
        <v>5</v>
      </c>
      <c r="F57" s="401" t="s">
        <v>31</v>
      </c>
      <c r="G57"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0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5.5" thickTop="1" thickBot="1">
      <c r="A58" s="391">
        <v>4</v>
      </c>
      <c r="B58" s="389" t="s">
        <v>15</v>
      </c>
      <c r="C58" s="404" t="s">
        <v>16</v>
      </c>
      <c r="D58" s="389" t="s">
        <v>9</v>
      </c>
      <c r="E58" s="392">
        <v>5</v>
      </c>
      <c r="F58" s="401" t="s">
        <v>31</v>
      </c>
      <c r="G58"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0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5.5" thickTop="1" thickBot="1">
      <c r="A59" s="391">
        <v>5</v>
      </c>
      <c r="B59" s="389" t="s">
        <v>17</v>
      </c>
      <c r="C59" s="404" t="s">
        <v>18</v>
      </c>
      <c r="D59" s="389" t="s">
        <v>19</v>
      </c>
      <c r="E59" s="392">
        <v>5</v>
      </c>
      <c r="F59" s="401" t="s">
        <v>31</v>
      </c>
      <c r="G59"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17130</v>
      </c>
      <c r="H59"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1.3920932315289973</v>
      </c>
    </row>
    <row r="60" spans="1:8" ht="15.5" thickTop="1" thickBot="1">
      <c r="A60" s="391">
        <v>6</v>
      </c>
      <c r="B60" s="389" t="s">
        <v>20</v>
      </c>
      <c r="C60" s="404" t="s">
        <v>18</v>
      </c>
      <c r="D60" s="389" t="s">
        <v>9</v>
      </c>
      <c r="E60" s="392">
        <v>5</v>
      </c>
      <c r="F60" s="401" t="s">
        <v>31</v>
      </c>
      <c r="G60"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256</v>
      </c>
      <c r="H60"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0.23586849975585938</v>
      </c>
    </row>
    <row r="61" spans="1:8" ht="15.5" thickTop="1" thickBot="1">
      <c r="A61" s="391">
        <v>7</v>
      </c>
      <c r="B61" s="389" t="s">
        <v>21</v>
      </c>
      <c r="C61" s="404" t="s">
        <v>22</v>
      </c>
      <c r="D61" s="389" t="s">
        <v>19</v>
      </c>
      <c r="E61" s="392">
        <v>5</v>
      </c>
      <c r="F61" s="401" t="s">
        <v>31</v>
      </c>
      <c r="G61"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9593</v>
      </c>
      <c r="H61"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0.55346429780000006</v>
      </c>
    </row>
    <row r="62" spans="1:8" ht="15.5" thickTop="1" thickBot="1">
      <c r="A62" s="391">
        <v>8</v>
      </c>
      <c r="B62" s="389" t="s">
        <v>23</v>
      </c>
      <c r="C62" s="404" t="s">
        <v>22</v>
      </c>
      <c r="D62" s="389" t="s">
        <v>9</v>
      </c>
      <c r="E62" s="392">
        <v>5</v>
      </c>
      <c r="F62" s="401" t="s">
        <v>31</v>
      </c>
      <c r="G62"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2705</v>
      </c>
      <c r="H62"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0.1742817975</v>
      </c>
    </row>
    <row r="63" spans="1:8" ht="15.5" thickTop="1" thickBot="1">
      <c r="A63" s="391">
        <v>9</v>
      </c>
      <c r="B63" s="389" t="s">
        <v>24</v>
      </c>
      <c r="C63" s="404"/>
      <c r="D63" s="389" t="s">
        <v>9</v>
      </c>
      <c r="E63" s="392">
        <v>5</v>
      </c>
      <c r="F63" s="401" t="s">
        <v>31</v>
      </c>
      <c r="G63"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41</v>
      </c>
      <c r="H63"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0.48483278999999996</v>
      </c>
    </row>
    <row r="64" spans="1:8" ht="15.5" thickTop="1" thickBot="1">
      <c r="A64" s="391">
        <v>10</v>
      </c>
      <c r="B64" s="389" t="s">
        <v>25</v>
      </c>
      <c r="C64" s="404"/>
      <c r="D64" s="389" t="s">
        <v>9</v>
      </c>
      <c r="E64" s="392">
        <v>5</v>
      </c>
      <c r="F64" s="401" t="s">
        <v>31</v>
      </c>
      <c r="G64"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134</v>
      </c>
      <c r="H64"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1.214125358</v>
      </c>
    </row>
    <row r="65" spans="1:8" ht="15.5" thickTop="1" thickBot="1">
      <c r="A65" s="391">
        <v>11</v>
      </c>
      <c r="B65" s="389" t="s">
        <v>26</v>
      </c>
      <c r="C65" s="404"/>
      <c r="D65" s="389" t="s">
        <v>9</v>
      </c>
      <c r="E65" s="392">
        <v>5</v>
      </c>
      <c r="F65" s="401" t="s">
        <v>31</v>
      </c>
      <c r="G65"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106176</v>
      </c>
      <c r="H65"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0.14518625372857208</v>
      </c>
    </row>
    <row r="66" spans="1:8" ht="13.5" thickTop="1" thickBot="1">
      <c r="A66" s="391">
        <v>12</v>
      </c>
      <c r="B66" s="389" t="s">
        <v>27</v>
      </c>
      <c r="C66" s="388"/>
      <c r="D66" s="389" t="s">
        <v>19</v>
      </c>
      <c r="E66" s="392">
        <v>5</v>
      </c>
      <c r="F66" s="401" t="s">
        <v>31</v>
      </c>
      <c r="G66"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19517</v>
      </c>
      <c r="H66"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1.9292683404082556</v>
      </c>
    </row>
    <row r="67" spans="1:8" ht="15.5" thickTop="1" thickBot="1">
      <c r="A67" s="403">
        <v>0</v>
      </c>
      <c r="B67" s="85" t="s">
        <v>8</v>
      </c>
      <c r="C67" s="404"/>
      <c r="D67" s="394" t="s">
        <v>9</v>
      </c>
      <c r="E67" s="399">
        <v>6</v>
      </c>
      <c r="F67" s="400" t="s">
        <v>32</v>
      </c>
      <c r="G67" s="39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1</v>
      </c>
      <c r="H67" s="40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0.16708448791503908</v>
      </c>
    </row>
    <row r="68" spans="1:8" ht="15.5" thickTop="1" thickBot="1">
      <c r="A68" s="391">
        <v>1</v>
      </c>
      <c r="B68" s="389" t="s">
        <v>11</v>
      </c>
      <c r="C68" s="404"/>
      <c r="D68" s="389" t="s">
        <v>9</v>
      </c>
      <c r="E68" s="392">
        <v>6</v>
      </c>
      <c r="F68" s="401" t="s">
        <v>32</v>
      </c>
      <c r="G68"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7017</v>
      </c>
      <c r="H68"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5.5" thickTop="1" thickBot="1">
      <c r="A69" s="391">
        <v>2</v>
      </c>
      <c r="B69" s="389" t="s">
        <v>12</v>
      </c>
      <c r="C69" s="404" t="s">
        <v>13</v>
      </c>
      <c r="D69" s="389" t="s">
        <v>9</v>
      </c>
      <c r="E69" s="392">
        <v>6</v>
      </c>
      <c r="F69" s="401" t="s">
        <v>32</v>
      </c>
      <c r="G69"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0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5.5" thickTop="1" thickBot="1">
      <c r="A70" s="391">
        <v>3</v>
      </c>
      <c r="B70" s="389" t="s">
        <v>14</v>
      </c>
      <c r="C70" s="404"/>
      <c r="D70" s="389" t="s">
        <v>9</v>
      </c>
      <c r="E70" s="392">
        <v>6</v>
      </c>
      <c r="F70" s="401" t="s">
        <v>32</v>
      </c>
      <c r="G70"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0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5.5" thickTop="1" thickBot="1">
      <c r="A71" s="391">
        <v>4</v>
      </c>
      <c r="B71" s="389" t="s">
        <v>15</v>
      </c>
      <c r="C71" s="404" t="s">
        <v>16</v>
      </c>
      <c r="D71" s="389" t="s">
        <v>9</v>
      </c>
      <c r="E71" s="392">
        <v>6</v>
      </c>
      <c r="F71" s="401" t="s">
        <v>32</v>
      </c>
      <c r="G71"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0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5.5" thickTop="1" thickBot="1">
      <c r="A72" s="391">
        <v>5</v>
      </c>
      <c r="B72" s="389" t="s">
        <v>17</v>
      </c>
      <c r="C72" s="404" t="s">
        <v>18</v>
      </c>
      <c r="D72" s="389" t="s">
        <v>19</v>
      </c>
      <c r="E72" s="392">
        <v>6</v>
      </c>
      <c r="F72" s="401" t="s">
        <v>32</v>
      </c>
      <c r="G72"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14623</v>
      </c>
      <c r="H72"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0.75110183168202638</v>
      </c>
    </row>
    <row r="73" spans="1:8" ht="15.5" thickTop="1" thickBot="1">
      <c r="A73" s="391">
        <v>6</v>
      </c>
      <c r="B73" s="389" t="s">
        <v>20</v>
      </c>
      <c r="C73" s="404" t="s">
        <v>18</v>
      </c>
      <c r="D73" s="389" t="s">
        <v>9</v>
      </c>
      <c r="E73" s="392">
        <v>6</v>
      </c>
      <c r="F73" s="401" t="s">
        <v>32</v>
      </c>
      <c r="G73"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236</v>
      </c>
      <c r="H73"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0.20210570478439333</v>
      </c>
    </row>
    <row r="74" spans="1:8" ht="15.5" thickTop="1" thickBot="1">
      <c r="A74" s="391">
        <v>7</v>
      </c>
      <c r="B74" s="389" t="s">
        <v>21</v>
      </c>
      <c r="C74" s="404" t="s">
        <v>22</v>
      </c>
      <c r="D74" s="389" t="s">
        <v>19</v>
      </c>
      <c r="E74" s="392">
        <v>6</v>
      </c>
      <c r="F74" s="401" t="s">
        <v>32</v>
      </c>
      <c r="G74"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9409</v>
      </c>
      <c r="H74"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0.34679127659999998</v>
      </c>
    </row>
    <row r="75" spans="1:8" ht="15.5" thickTop="1" thickBot="1">
      <c r="A75" s="391">
        <v>8</v>
      </c>
      <c r="B75" s="389" t="s">
        <v>23</v>
      </c>
      <c r="C75" s="404" t="s">
        <v>22</v>
      </c>
      <c r="D75" s="389" t="s">
        <v>9</v>
      </c>
      <c r="E75" s="392">
        <v>6</v>
      </c>
      <c r="F75" s="401" t="s">
        <v>32</v>
      </c>
      <c r="G75"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2244</v>
      </c>
      <c r="H75"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0.1342089276</v>
      </c>
    </row>
    <row r="76" spans="1:8" ht="15.5" thickTop="1" thickBot="1">
      <c r="A76" s="391">
        <v>9</v>
      </c>
      <c r="B76" s="389" t="s">
        <v>24</v>
      </c>
      <c r="C76" s="404"/>
      <c r="D76" s="389" t="s">
        <v>9</v>
      </c>
      <c r="E76" s="392">
        <v>6</v>
      </c>
      <c r="F76" s="401" t="s">
        <v>32</v>
      </c>
      <c r="G76"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49</v>
      </c>
      <c r="H76"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0.57943431000000001</v>
      </c>
    </row>
    <row r="77" spans="1:8" ht="15.5" thickTop="1" thickBot="1">
      <c r="A77" s="391">
        <v>10</v>
      </c>
      <c r="B77" s="389" t="s">
        <v>25</v>
      </c>
      <c r="C77" s="404"/>
      <c r="D77" s="389" t="s">
        <v>9</v>
      </c>
      <c r="E77" s="392">
        <v>6</v>
      </c>
      <c r="F77" s="401" t="s">
        <v>32</v>
      </c>
      <c r="G77"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125</v>
      </c>
      <c r="H77"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1.132579625</v>
      </c>
    </row>
    <row r="78" spans="1:8" ht="15.5" thickTop="1" thickBot="1">
      <c r="A78" s="391">
        <v>11</v>
      </c>
      <c r="B78" s="389" t="s">
        <v>26</v>
      </c>
      <c r="C78" s="404"/>
      <c r="D78" s="389" t="s">
        <v>9</v>
      </c>
      <c r="E78" s="392">
        <v>6</v>
      </c>
      <c r="F78" s="401" t="s">
        <v>32</v>
      </c>
      <c r="G78"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105904</v>
      </c>
      <c r="H78"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9.293238217800405E-2</v>
      </c>
    </row>
    <row r="79" spans="1:8" ht="13.5" thickTop="1" thickBot="1">
      <c r="A79" s="391">
        <v>12</v>
      </c>
      <c r="B79" s="389" t="s">
        <v>27</v>
      </c>
      <c r="C79" s="388"/>
      <c r="D79" s="389" t="s">
        <v>19</v>
      </c>
      <c r="E79" s="392">
        <v>6</v>
      </c>
      <c r="F79" s="401" t="s">
        <v>32</v>
      </c>
      <c r="G79"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20395</v>
      </c>
      <c r="H79"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1.5282490066869205</v>
      </c>
    </row>
    <row r="80" spans="1:8" ht="15.5" thickTop="1" thickBot="1">
      <c r="A80" s="403">
        <v>0</v>
      </c>
      <c r="B80" s="85" t="s">
        <v>8</v>
      </c>
      <c r="C80" s="404"/>
      <c r="D80" s="394" t="s">
        <v>9</v>
      </c>
      <c r="E80" s="399">
        <v>7</v>
      </c>
      <c r="F80" s="400" t="s">
        <v>33</v>
      </c>
      <c r="G80" s="39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1</v>
      </c>
      <c r="H80" s="40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0.15948800659179688</v>
      </c>
    </row>
    <row r="81" spans="1:8" ht="15.5" thickTop="1" thickBot="1">
      <c r="A81" s="391">
        <v>1</v>
      </c>
      <c r="B81" s="389" t="s">
        <v>11</v>
      </c>
      <c r="C81" s="404"/>
      <c r="D81" s="389" t="s">
        <v>9</v>
      </c>
      <c r="E81" s="392">
        <v>7</v>
      </c>
      <c r="F81" s="401" t="s">
        <v>33</v>
      </c>
      <c r="G81"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5806</v>
      </c>
      <c r="H81" s="402">
        <f>VLOOKUP(BUReporting[[#This Row],[Program]],'Program MW '!$A$34:$S$44,3,FALSE)</f>
        <v>0</v>
      </c>
    </row>
    <row r="82" spans="1:8" ht="15.5" thickTop="1" thickBot="1">
      <c r="A82" s="391">
        <v>2</v>
      </c>
      <c r="B82" s="389" t="s">
        <v>12</v>
      </c>
      <c r="C82" s="404" t="s">
        <v>13</v>
      </c>
      <c r="D82" s="389" t="s">
        <v>9</v>
      </c>
      <c r="E82" s="392">
        <v>7</v>
      </c>
      <c r="F82" s="401" t="s">
        <v>33</v>
      </c>
      <c r="G82" s="39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02" t="e">
        <f>VLOOKUP(BUReporting[[#This Row],[Program]],'Program MW '!$A$34:$S$44,3,FALSE)</f>
        <v>#N/A</v>
      </c>
    </row>
    <row r="83" spans="1:8" ht="15.5" thickTop="1" thickBot="1">
      <c r="A83" s="391">
        <v>3</v>
      </c>
      <c r="B83" s="389" t="s">
        <v>14</v>
      </c>
      <c r="C83" s="404"/>
      <c r="D83" s="389" t="s">
        <v>9</v>
      </c>
      <c r="E83" s="392">
        <v>7</v>
      </c>
      <c r="F83" s="401" t="s">
        <v>33</v>
      </c>
      <c r="G83" s="39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02" t="e">
        <f>VLOOKUP(BUReporting[[#This Row],[Program]],'Program MW '!$A$34:$S$44,3,FALSE)</f>
        <v>#N/A</v>
      </c>
    </row>
    <row r="84" spans="1:8" ht="15.5" thickTop="1" thickBot="1">
      <c r="A84" s="391">
        <v>4</v>
      </c>
      <c r="B84" s="389" t="s">
        <v>15</v>
      </c>
      <c r="C84" s="404" t="s">
        <v>16</v>
      </c>
      <c r="D84" s="389" t="s">
        <v>9</v>
      </c>
      <c r="E84" s="392">
        <v>7</v>
      </c>
      <c r="F84" s="401" t="s">
        <v>33</v>
      </c>
      <c r="G84" s="39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02" t="e">
        <f>VLOOKUP(BUReporting[[#This Row],[Program]],'Program MW '!$A$34:$S$44,3,FALSE)</f>
        <v>#N/A</v>
      </c>
    </row>
    <row r="85" spans="1:8" ht="15.5" thickTop="1" thickBot="1">
      <c r="A85" s="391">
        <v>5</v>
      </c>
      <c r="B85" s="389" t="s">
        <v>17</v>
      </c>
      <c r="C85" s="404" t="s">
        <v>18</v>
      </c>
      <c r="D85" s="389" t="s">
        <v>19</v>
      </c>
      <c r="E85" s="392">
        <v>7</v>
      </c>
      <c r="F85" s="401" t="s">
        <v>33</v>
      </c>
      <c r="G85"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14955</v>
      </c>
      <c r="H85" s="402">
        <f>VLOOKUP(BUReporting[[#This Row],[Program]],'Program MW '!$A$34:$S$44,3,FALSE)</f>
        <v>2.4866744115203621</v>
      </c>
    </row>
    <row r="86" spans="1:8" ht="15.5" thickTop="1" thickBot="1">
      <c r="A86" s="391">
        <v>6</v>
      </c>
      <c r="B86" s="389" t="s">
        <v>20</v>
      </c>
      <c r="C86" s="404" t="s">
        <v>18</v>
      </c>
      <c r="D86" s="389" t="s">
        <v>9</v>
      </c>
      <c r="E86" s="392">
        <v>7</v>
      </c>
      <c r="F86" s="401" t="s">
        <v>33</v>
      </c>
      <c r="G86"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249</v>
      </c>
      <c r="H86" s="402">
        <f>VLOOKUP(BUReporting[[#This Row],[Program]],'Program MW '!$A$34:$S$44,3,FALSE)</f>
        <v>0.51758776760101322</v>
      </c>
    </row>
    <row r="87" spans="1:8" ht="15.5" thickTop="1" thickBot="1">
      <c r="A87" s="391">
        <v>7</v>
      </c>
      <c r="B87" s="389" t="s">
        <v>21</v>
      </c>
      <c r="C87" s="404" t="s">
        <v>22</v>
      </c>
      <c r="D87" s="389" t="s">
        <v>19</v>
      </c>
      <c r="E87" s="392">
        <v>7</v>
      </c>
      <c r="F87" s="401" t="s">
        <v>33</v>
      </c>
      <c r="G87"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9340</v>
      </c>
      <c r="H87" s="402">
        <f>VLOOKUP(BUReporting[[#This Row],[Program]],'Program MW '!$A$34:$S$44,3,FALSE)</f>
        <v>1.2445325839999999</v>
      </c>
    </row>
    <row r="88" spans="1:8" ht="15.5" thickTop="1" thickBot="1">
      <c r="A88" s="391">
        <v>8</v>
      </c>
      <c r="B88" s="389" t="s">
        <v>23</v>
      </c>
      <c r="C88" s="404" t="s">
        <v>22</v>
      </c>
      <c r="D88" s="389" t="s">
        <v>9</v>
      </c>
      <c r="E88" s="392">
        <v>7</v>
      </c>
      <c r="F88" s="401" t="s">
        <v>33</v>
      </c>
      <c r="G88"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2705</v>
      </c>
      <c r="H88" s="402">
        <f>VLOOKUP(BUReporting[[#This Row],[Program]],'Program MW '!$A$34:$S$44,3,FALSE)</f>
        <v>0.21937090149999999</v>
      </c>
    </row>
    <row r="89" spans="1:8" ht="15.5" thickTop="1" thickBot="1">
      <c r="A89" s="391">
        <v>9</v>
      </c>
      <c r="B89" s="389" t="s">
        <v>24</v>
      </c>
      <c r="C89" s="404"/>
      <c r="D89" s="389" t="s">
        <v>9</v>
      </c>
      <c r="E89" s="392">
        <v>7</v>
      </c>
      <c r="F89" s="401" t="s">
        <v>33</v>
      </c>
      <c r="G89"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35</v>
      </c>
      <c r="H89" s="402">
        <f>VLOOKUP(BUReporting[[#This Row],[Program]],'Program MW '!$A$34:$S$44,3,FALSE)</f>
        <v>0.41388164999999999</v>
      </c>
    </row>
    <row r="90" spans="1:8" ht="15.5" thickTop="1" thickBot="1">
      <c r="A90" s="391">
        <v>10</v>
      </c>
      <c r="B90" s="389" t="s">
        <v>25</v>
      </c>
      <c r="C90" s="404"/>
      <c r="D90" s="389" t="s">
        <v>9</v>
      </c>
      <c r="E90" s="392">
        <v>7</v>
      </c>
      <c r="F90" s="401" t="s">
        <v>33</v>
      </c>
      <c r="G90"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131</v>
      </c>
      <c r="H90" s="402">
        <f>VLOOKUP(BUReporting[[#This Row],[Program]],'Program MW '!$A$34:$S$44,3,FALSE)</f>
        <v>1.186943447</v>
      </c>
    </row>
    <row r="91" spans="1:8" ht="15.5" thickTop="1" thickBot="1">
      <c r="A91" s="391">
        <v>11</v>
      </c>
      <c r="B91" s="389" t="s">
        <v>26</v>
      </c>
      <c r="C91" s="404"/>
      <c r="D91" s="389" t="s">
        <v>9</v>
      </c>
      <c r="E91" s="392">
        <v>7</v>
      </c>
      <c r="F91" s="401" t="s">
        <v>33</v>
      </c>
      <c r="G91"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62705</v>
      </c>
      <c r="H91" s="402">
        <f>VLOOKUP(BUReporting[[#This Row],[Program]],'Program MW '!$A$34:$S$44,3,FALSE)</f>
        <v>0.13718643118937368</v>
      </c>
    </row>
    <row r="92" spans="1:8" ht="13.5" thickTop="1" thickBot="1">
      <c r="A92" s="391">
        <v>12</v>
      </c>
      <c r="B92" s="389" t="s">
        <v>27</v>
      </c>
      <c r="C92" s="388"/>
      <c r="D92" s="389" t="s">
        <v>19</v>
      </c>
      <c r="E92" s="392">
        <v>7</v>
      </c>
      <c r="F92" s="401" t="s">
        <v>33</v>
      </c>
      <c r="G92"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21149</v>
      </c>
      <c r="H92" s="402">
        <f>VLOOKUP(BUReporting[[#This Row],[Program]],'Program MW '!$A$34:$S$44,3,FALSE)</f>
        <v>1.8182098268599642</v>
      </c>
    </row>
    <row r="93" spans="1:8" ht="15.5" thickTop="1" thickBot="1">
      <c r="A93" s="403">
        <v>0</v>
      </c>
      <c r="B93" s="85" t="s">
        <v>8</v>
      </c>
      <c r="C93" s="404"/>
      <c r="D93" s="394" t="s">
        <v>9</v>
      </c>
      <c r="E93" s="399">
        <v>8</v>
      </c>
      <c r="F93" s="400" t="s">
        <v>34</v>
      </c>
      <c r="G93" s="39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40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5.5" thickTop="1" thickBot="1">
      <c r="A94" s="391">
        <v>1</v>
      </c>
      <c r="B94" s="389" t="s">
        <v>11</v>
      </c>
      <c r="C94" s="404"/>
      <c r="D94" s="389" t="s">
        <v>9</v>
      </c>
      <c r="E94" s="392">
        <v>8</v>
      </c>
      <c r="F94" s="401" t="s">
        <v>34</v>
      </c>
      <c r="G94"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4" s="402">
        <f>VLOOKUP(BUReporting[[#This Row],[Program]],'Program MW '!$A$34:$S$44,6,FALSE)</f>
        <v>0</v>
      </c>
    </row>
    <row r="95" spans="1:8" ht="15.5" thickTop="1" thickBot="1">
      <c r="A95" s="391">
        <v>2</v>
      </c>
      <c r="B95" s="389" t="s">
        <v>12</v>
      </c>
      <c r="C95" s="404" t="s">
        <v>13</v>
      </c>
      <c r="D95" s="389" t="s">
        <v>9</v>
      </c>
      <c r="E95" s="392">
        <v>8</v>
      </c>
      <c r="F95" s="401" t="s">
        <v>34</v>
      </c>
      <c r="G95" s="39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02" t="e">
        <f>VLOOKUP(BUReporting[[#This Row],[Program]],'Program MW '!$A$34:$S$44,6,FALSE)</f>
        <v>#N/A</v>
      </c>
    </row>
    <row r="96" spans="1:8" ht="15.5" thickTop="1" thickBot="1">
      <c r="A96" s="391">
        <v>3</v>
      </c>
      <c r="B96" s="389" t="s">
        <v>14</v>
      </c>
      <c r="C96" s="404"/>
      <c r="D96" s="389" t="s">
        <v>9</v>
      </c>
      <c r="E96" s="392">
        <v>8</v>
      </c>
      <c r="F96" s="401" t="s">
        <v>34</v>
      </c>
      <c r="G96" s="39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02" t="e">
        <f>VLOOKUP(BUReporting[[#This Row],[Program]],'Program MW '!$A$34:$S$44,6,FALSE)</f>
        <v>#N/A</v>
      </c>
    </row>
    <row r="97" spans="1:8" ht="15.5" thickTop="1" thickBot="1">
      <c r="A97" s="391">
        <v>4</v>
      </c>
      <c r="B97" s="389" t="s">
        <v>15</v>
      </c>
      <c r="C97" s="404" t="s">
        <v>16</v>
      </c>
      <c r="D97" s="389" t="s">
        <v>9</v>
      </c>
      <c r="E97" s="392">
        <v>8</v>
      </c>
      <c r="F97" s="401" t="s">
        <v>34</v>
      </c>
      <c r="G97" s="39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02" t="e">
        <f>VLOOKUP(BUReporting[[#This Row],[Program]],'Program MW '!$A$34:$S$44,6,FALSE)</f>
        <v>#N/A</v>
      </c>
    </row>
    <row r="98" spans="1:8" ht="15.5" thickTop="1" thickBot="1">
      <c r="A98" s="391">
        <v>5</v>
      </c>
      <c r="B98" s="389" t="s">
        <v>17</v>
      </c>
      <c r="C98" s="404" t="s">
        <v>18</v>
      </c>
      <c r="D98" s="389" t="s">
        <v>19</v>
      </c>
      <c r="E98" s="392">
        <v>8</v>
      </c>
      <c r="F98" s="401" t="s">
        <v>34</v>
      </c>
      <c r="G98"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8" s="402">
        <f>VLOOKUP(BUReporting[[#This Row],[Program]],'Program MW '!$A$34:$S$44,6,FALSE)</f>
        <v>0</v>
      </c>
    </row>
    <row r="99" spans="1:8" ht="15.5" thickTop="1" thickBot="1">
      <c r="A99" s="391">
        <v>6</v>
      </c>
      <c r="B99" s="389" t="s">
        <v>20</v>
      </c>
      <c r="C99" s="404" t="s">
        <v>18</v>
      </c>
      <c r="D99" s="389" t="s">
        <v>9</v>
      </c>
      <c r="E99" s="392">
        <v>8</v>
      </c>
      <c r="F99" s="401" t="s">
        <v>34</v>
      </c>
      <c r="G99"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9" s="402">
        <f>VLOOKUP(BUReporting[[#This Row],[Program]],'Program MW '!$A$34:$S$44,6,FALSE)</f>
        <v>0</v>
      </c>
    </row>
    <row r="100" spans="1:8" ht="15.5" thickTop="1" thickBot="1">
      <c r="A100" s="391">
        <v>7</v>
      </c>
      <c r="B100" s="389" t="s">
        <v>21</v>
      </c>
      <c r="C100" s="404" t="s">
        <v>22</v>
      </c>
      <c r="D100" s="389" t="s">
        <v>19</v>
      </c>
      <c r="E100" s="392">
        <v>8</v>
      </c>
      <c r="F100" s="401" t="s">
        <v>34</v>
      </c>
      <c r="G100"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0" s="402">
        <f>VLOOKUP(BUReporting[[#This Row],[Program]],'Program MW '!$A$34:$S$44,6,FALSE)</f>
        <v>0</v>
      </c>
    </row>
    <row r="101" spans="1:8" ht="15.5" thickTop="1" thickBot="1">
      <c r="A101" s="391">
        <v>8</v>
      </c>
      <c r="B101" s="389" t="s">
        <v>23</v>
      </c>
      <c r="C101" s="404" t="s">
        <v>22</v>
      </c>
      <c r="D101" s="389" t="s">
        <v>9</v>
      </c>
      <c r="E101" s="392">
        <v>8</v>
      </c>
      <c r="F101" s="401" t="s">
        <v>34</v>
      </c>
      <c r="G101"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1" s="402">
        <f>VLOOKUP(BUReporting[[#This Row],[Program]],'Program MW '!$A$34:$S$44,6,FALSE)</f>
        <v>0</v>
      </c>
    </row>
    <row r="102" spans="1:8" ht="15.5" thickTop="1" thickBot="1">
      <c r="A102" s="391">
        <v>9</v>
      </c>
      <c r="B102" s="389" t="s">
        <v>24</v>
      </c>
      <c r="C102" s="404"/>
      <c r="D102" s="389" t="s">
        <v>9</v>
      </c>
      <c r="E102" s="392">
        <v>8</v>
      </c>
      <c r="F102" s="401" t="s">
        <v>34</v>
      </c>
      <c r="G102"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2" s="402">
        <f>VLOOKUP(BUReporting[[#This Row],[Program]],'Program MW '!$A$34:$S$44,6,FALSE)</f>
        <v>0</v>
      </c>
    </row>
    <row r="103" spans="1:8" ht="15.5" thickTop="1" thickBot="1">
      <c r="A103" s="391">
        <v>10</v>
      </c>
      <c r="B103" s="389" t="s">
        <v>25</v>
      </c>
      <c r="C103" s="404"/>
      <c r="D103" s="389" t="s">
        <v>9</v>
      </c>
      <c r="E103" s="392">
        <v>8</v>
      </c>
      <c r="F103" s="401" t="s">
        <v>34</v>
      </c>
      <c r="G103"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3" s="402">
        <f>VLOOKUP(BUReporting[[#This Row],[Program]],'Program MW '!$A$34:$S$44,6,FALSE)</f>
        <v>0</v>
      </c>
    </row>
    <row r="104" spans="1:8" ht="15.5" thickTop="1" thickBot="1">
      <c r="A104" s="391">
        <v>11</v>
      </c>
      <c r="B104" s="389" t="s">
        <v>26</v>
      </c>
      <c r="C104" s="404"/>
      <c r="D104" s="389" t="s">
        <v>9</v>
      </c>
      <c r="E104" s="392">
        <v>8</v>
      </c>
      <c r="F104" s="401" t="s">
        <v>34</v>
      </c>
      <c r="G104"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4" s="402">
        <f>VLOOKUP(BUReporting[[#This Row],[Program]],'Program MW '!$A$34:$S$44,6,FALSE)</f>
        <v>0</v>
      </c>
    </row>
    <row r="105" spans="1:8" ht="13.5" thickTop="1" thickBot="1">
      <c r="A105" s="391">
        <v>12</v>
      </c>
      <c r="B105" s="389" t="s">
        <v>27</v>
      </c>
      <c r="C105" s="388"/>
      <c r="D105" s="389" t="s">
        <v>19</v>
      </c>
      <c r="E105" s="392">
        <v>8</v>
      </c>
      <c r="F105" s="401" t="s">
        <v>34</v>
      </c>
      <c r="G105"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5" s="402">
        <f>VLOOKUP(BUReporting[[#This Row],[Program]],'Program MW '!$A$34:$S$44,6,FALSE)</f>
        <v>0</v>
      </c>
    </row>
    <row r="106" spans="1:8" ht="15.5" thickTop="1" thickBot="1">
      <c r="A106" s="403">
        <v>0</v>
      </c>
      <c r="B106" s="85" t="s">
        <v>8</v>
      </c>
      <c r="C106" s="404"/>
      <c r="D106" s="394" t="s">
        <v>9</v>
      </c>
      <c r="E106" s="399">
        <v>9</v>
      </c>
      <c r="F106" s="400" t="s">
        <v>35</v>
      </c>
      <c r="G106" s="39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0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5.5" thickTop="1" thickBot="1">
      <c r="A107" s="391">
        <v>1</v>
      </c>
      <c r="B107" s="389" t="s">
        <v>11</v>
      </c>
      <c r="C107" s="404"/>
      <c r="D107" s="389" t="s">
        <v>9</v>
      </c>
      <c r="E107" s="392">
        <v>9</v>
      </c>
      <c r="F107" s="401" t="s">
        <v>35</v>
      </c>
      <c r="G107"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02">
        <f>VLOOKUP(BUReporting[[#This Row],[Program]],'Program MW '!$A$34:$S$44,9,FALSE)</f>
        <v>0</v>
      </c>
    </row>
    <row r="108" spans="1:8" ht="15.5" thickTop="1" thickBot="1">
      <c r="A108" s="391">
        <v>2</v>
      </c>
      <c r="B108" s="389" t="s">
        <v>12</v>
      </c>
      <c r="C108" s="404" t="s">
        <v>13</v>
      </c>
      <c r="D108" s="389" t="s">
        <v>9</v>
      </c>
      <c r="E108" s="392">
        <v>9</v>
      </c>
      <c r="F108" s="401" t="s">
        <v>35</v>
      </c>
      <c r="G108"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02" t="e">
        <f>VLOOKUP(BUReporting[[#This Row],[Program]],'Program MW '!$A$34:$S$44,9,FALSE)</f>
        <v>#N/A</v>
      </c>
    </row>
    <row r="109" spans="1:8" ht="15.5" thickTop="1" thickBot="1">
      <c r="A109" s="391">
        <v>3</v>
      </c>
      <c r="B109" s="389" t="s">
        <v>14</v>
      </c>
      <c r="C109" s="404"/>
      <c r="D109" s="389" t="s">
        <v>9</v>
      </c>
      <c r="E109" s="392">
        <v>9</v>
      </c>
      <c r="F109" s="401" t="s">
        <v>35</v>
      </c>
      <c r="G109"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02" t="e">
        <f>VLOOKUP(BUReporting[[#This Row],[Program]],'Program MW '!$A$34:$S$44,9,FALSE)</f>
        <v>#N/A</v>
      </c>
    </row>
    <row r="110" spans="1:8" ht="15.5" thickTop="1" thickBot="1">
      <c r="A110" s="391">
        <v>4</v>
      </c>
      <c r="B110" s="389" t="s">
        <v>15</v>
      </c>
      <c r="C110" s="404" t="s">
        <v>16</v>
      </c>
      <c r="D110" s="389" t="s">
        <v>9</v>
      </c>
      <c r="E110" s="392">
        <v>9</v>
      </c>
      <c r="F110" s="401" t="s">
        <v>35</v>
      </c>
      <c r="G110"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02" t="e">
        <f>VLOOKUP(BUReporting[[#This Row],[Program]],'Program MW '!$A$34:$S$44,9,FALSE)</f>
        <v>#N/A</v>
      </c>
    </row>
    <row r="111" spans="1:8" ht="15.5" thickTop="1" thickBot="1">
      <c r="A111" s="391">
        <v>5</v>
      </c>
      <c r="B111" s="389" t="s">
        <v>17</v>
      </c>
      <c r="C111" s="404" t="s">
        <v>18</v>
      </c>
      <c r="D111" s="389" t="s">
        <v>19</v>
      </c>
      <c r="E111" s="392">
        <v>9</v>
      </c>
      <c r="F111" s="401" t="s">
        <v>35</v>
      </c>
      <c r="G111"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02">
        <f>VLOOKUP(BUReporting[[#This Row],[Program]],'Program MW '!$A$34:$S$44,9,FALSE)</f>
        <v>0</v>
      </c>
    </row>
    <row r="112" spans="1:8" ht="15.5" thickTop="1" thickBot="1">
      <c r="A112" s="391">
        <v>6</v>
      </c>
      <c r="B112" s="389" t="s">
        <v>20</v>
      </c>
      <c r="C112" s="404" t="s">
        <v>18</v>
      </c>
      <c r="D112" s="389" t="s">
        <v>9</v>
      </c>
      <c r="E112" s="392">
        <v>9</v>
      </c>
      <c r="F112" s="401" t="s">
        <v>35</v>
      </c>
      <c r="G112"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02">
        <f>VLOOKUP(BUReporting[[#This Row],[Program]],'Program MW '!$A$34:$S$44,9,FALSE)</f>
        <v>0</v>
      </c>
    </row>
    <row r="113" spans="1:8" ht="15.5" thickTop="1" thickBot="1">
      <c r="A113" s="391">
        <v>7</v>
      </c>
      <c r="B113" s="389" t="s">
        <v>21</v>
      </c>
      <c r="C113" s="404" t="s">
        <v>22</v>
      </c>
      <c r="D113" s="389" t="s">
        <v>19</v>
      </c>
      <c r="E113" s="392">
        <v>9</v>
      </c>
      <c r="F113" s="401" t="s">
        <v>35</v>
      </c>
      <c r="G113"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02">
        <f>VLOOKUP(BUReporting[[#This Row],[Program]],'Program MW '!$A$34:$S$44,9,FALSE)</f>
        <v>0</v>
      </c>
    </row>
    <row r="114" spans="1:8" ht="15.5" thickTop="1" thickBot="1">
      <c r="A114" s="391">
        <v>8</v>
      </c>
      <c r="B114" s="389" t="s">
        <v>23</v>
      </c>
      <c r="C114" s="404" t="s">
        <v>22</v>
      </c>
      <c r="D114" s="389" t="s">
        <v>9</v>
      </c>
      <c r="E114" s="392">
        <v>9</v>
      </c>
      <c r="F114" s="401" t="s">
        <v>35</v>
      </c>
      <c r="G114"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02">
        <f>VLOOKUP(BUReporting[[#This Row],[Program]],'Program MW '!$A$34:$S$44,9,FALSE)</f>
        <v>0</v>
      </c>
    </row>
    <row r="115" spans="1:8" ht="15.5" thickTop="1" thickBot="1">
      <c r="A115" s="391">
        <v>9</v>
      </c>
      <c r="B115" s="389" t="s">
        <v>24</v>
      </c>
      <c r="C115" s="404"/>
      <c r="D115" s="389" t="s">
        <v>9</v>
      </c>
      <c r="E115" s="392">
        <v>9</v>
      </c>
      <c r="F115" s="401" t="s">
        <v>35</v>
      </c>
      <c r="G115"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02">
        <f>VLOOKUP(BUReporting[[#This Row],[Program]],'Program MW '!$A$34:$S$44,9,FALSE)</f>
        <v>0</v>
      </c>
    </row>
    <row r="116" spans="1:8" ht="15.5" thickTop="1" thickBot="1">
      <c r="A116" s="391">
        <v>10</v>
      </c>
      <c r="B116" s="389" t="s">
        <v>25</v>
      </c>
      <c r="C116" s="404"/>
      <c r="D116" s="389" t="s">
        <v>9</v>
      </c>
      <c r="E116" s="392">
        <v>9</v>
      </c>
      <c r="F116" s="401" t="s">
        <v>35</v>
      </c>
      <c r="G116"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02">
        <f>VLOOKUP(BUReporting[[#This Row],[Program]],'Program MW '!$A$34:$S$44,9,FALSE)</f>
        <v>0</v>
      </c>
    </row>
    <row r="117" spans="1:8" ht="15.5" thickTop="1" thickBot="1">
      <c r="A117" s="391">
        <v>11</v>
      </c>
      <c r="B117" s="389" t="s">
        <v>26</v>
      </c>
      <c r="C117" s="404"/>
      <c r="D117" s="389" t="s">
        <v>9</v>
      </c>
      <c r="E117" s="392">
        <v>9</v>
      </c>
      <c r="F117" s="401" t="s">
        <v>35</v>
      </c>
      <c r="G117"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02">
        <f>VLOOKUP(BUReporting[[#This Row],[Program]],'Program MW '!$A$34:$S$44,9,FALSE)</f>
        <v>0</v>
      </c>
    </row>
    <row r="118" spans="1:8" ht="13.5" thickTop="1" thickBot="1">
      <c r="A118" s="391">
        <v>12</v>
      </c>
      <c r="B118" s="389" t="s">
        <v>27</v>
      </c>
      <c r="C118" s="388"/>
      <c r="D118" s="389" t="s">
        <v>19</v>
      </c>
      <c r="E118" s="392">
        <v>9</v>
      </c>
      <c r="F118" s="401" t="s">
        <v>35</v>
      </c>
      <c r="G118"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02">
        <f>VLOOKUP(BUReporting[[#This Row],[Program]],'Program MW '!$A$34:$S$44,9,FALSE)</f>
        <v>0</v>
      </c>
    </row>
    <row r="119" spans="1:8" ht="15.5" thickTop="1" thickBot="1">
      <c r="A119" s="403">
        <v>0</v>
      </c>
      <c r="B119" s="85" t="s">
        <v>8</v>
      </c>
      <c r="C119" s="404"/>
      <c r="D119" s="394" t="s">
        <v>9</v>
      </c>
      <c r="E119" s="399">
        <v>10</v>
      </c>
      <c r="F119" s="400" t="s">
        <v>36</v>
      </c>
      <c r="G119" s="39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0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5.5" thickTop="1" thickBot="1">
      <c r="A120" s="391">
        <v>1</v>
      </c>
      <c r="B120" s="389" t="s">
        <v>11</v>
      </c>
      <c r="C120" s="404"/>
      <c r="D120" s="389" t="s">
        <v>9</v>
      </c>
      <c r="E120" s="392">
        <v>10</v>
      </c>
      <c r="F120" s="401" t="s">
        <v>36</v>
      </c>
      <c r="G120"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02">
        <f>VLOOKUP(BUReporting[[#This Row],[Program]],'Program MW '!$A$34:$S$44,12,FALSE)</f>
        <v>0</v>
      </c>
    </row>
    <row r="121" spans="1:8" ht="15.5" thickTop="1" thickBot="1">
      <c r="A121" s="391">
        <v>2</v>
      </c>
      <c r="B121" s="389" t="s">
        <v>12</v>
      </c>
      <c r="C121" s="404" t="s">
        <v>13</v>
      </c>
      <c r="D121" s="389" t="s">
        <v>9</v>
      </c>
      <c r="E121" s="392">
        <v>10</v>
      </c>
      <c r="F121" s="401" t="s">
        <v>36</v>
      </c>
      <c r="G121"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02" t="e">
        <f>VLOOKUP(BUReporting[[#This Row],[Program]],'Program MW '!$A$34:$S$44,12,FALSE)</f>
        <v>#N/A</v>
      </c>
    </row>
    <row r="122" spans="1:8" ht="15.5" thickTop="1" thickBot="1">
      <c r="A122" s="391">
        <v>3</v>
      </c>
      <c r="B122" s="389" t="s">
        <v>14</v>
      </c>
      <c r="C122" s="404"/>
      <c r="D122" s="389" t="s">
        <v>9</v>
      </c>
      <c r="E122" s="392">
        <v>10</v>
      </c>
      <c r="F122" s="401" t="s">
        <v>36</v>
      </c>
      <c r="G122"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02" t="e">
        <f>VLOOKUP(BUReporting[[#This Row],[Program]],'Program MW '!$A$34:$S$44,12,FALSE)</f>
        <v>#N/A</v>
      </c>
    </row>
    <row r="123" spans="1:8" ht="15.5" thickTop="1" thickBot="1">
      <c r="A123" s="391">
        <v>4</v>
      </c>
      <c r="B123" s="389" t="s">
        <v>15</v>
      </c>
      <c r="C123" s="404" t="s">
        <v>16</v>
      </c>
      <c r="D123" s="389" t="s">
        <v>9</v>
      </c>
      <c r="E123" s="392">
        <v>10</v>
      </c>
      <c r="F123" s="401" t="s">
        <v>36</v>
      </c>
      <c r="G123"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02" t="e">
        <f>VLOOKUP(BUReporting[[#This Row],[Program]],'Program MW '!$A$34:$S$44,12,FALSE)</f>
        <v>#N/A</v>
      </c>
    </row>
    <row r="124" spans="1:8" ht="15.5" thickTop="1" thickBot="1">
      <c r="A124" s="391">
        <v>5</v>
      </c>
      <c r="B124" s="389" t="s">
        <v>17</v>
      </c>
      <c r="C124" s="404" t="s">
        <v>18</v>
      </c>
      <c r="D124" s="389" t="s">
        <v>19</v>
      </c>
      <c r="E124" s="392">
        <v>10</v>
      </c>
      <c r="F124" s="401" t="s">
        <v>36</v>
      </c>
      <c r="G124"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02">
        <f>VLOOKUP(BUReporting[[#This Row],[Program]],'Program MW '!$A$34:$S$44,12,FALSE)</f>
        <v>0</v>
      </c>
    </row>
    <row r="125" spans="1:8" ht="15.5" thickTop="1" thickBot="1">
      <c r="A125" s="391">
        <v>6</v>
      </c>
      <c r="B125" s="389" t="s">
        <v>20</v>
      </c>
      <c r="C125" s="404" t="s">
        <v>18</v>
      </c>
      <c r="D125" s="389" t="s">
        <v>9</v>
      </c>
      <c r="E125" s="392">
        <v>10</v>
      </c>
      <c r="F125" s="401" t="s">
        <v>36</v>
      </c>
      <c r="G125"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02">
        <f>VLOOKUP(BUReporting[[#This Row],[Program]],'Program MW '!$A$34:$S$44,12,FALSE)</f>
        <v>0</v>
      </c>
    </row>
    <row r="126" spans="1:8" ht="15.5" thickTop="1" thickBot="1">
      <c r="A126" s="391">
        <v>7</v>
      </c>
      <c r="B126" s="389" t="s">
        <v>21</v>
      </c>
      <c r="C126" s="404" t="s">
        <v>22</v>
      </c>
      <c r="D126" s="389" t="s">
        <v>19</v>
      </c>
      <c r="E126" s="392">
        <v>10</v>
      </c>
      <c r="F126" s="401" t="s">
        <v>36</v>
      </c>
      <c r="G126"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02">
        <f>VLOOKUP(BUReporting[[#This Row],[Program]],'Program MW '!$A$34:$S$44,12,FALSE)</f>
        <v>0</v>
      </c>
    </row>
    <row r="127" spans="1:8" ht="15.5" thickTop="1" thickBot="1">
      <c r="A127" s="391">
        <v>8</v>
      </c>
      <c r="B127" s="389" t="s">
        <v>23</v>
      </c>
      <c r="C127" s="404" t="s">
        <v>22</v>
      </c>
      <c r="D127" s="389" t="s">
        <v>9</v>
      </c>
      <c r="E127" s="392">
        <v>10</v>
      </c>
      <c r="F127" s="401" t="s">
        <v>36</v>
      </c>
      <c r="G127"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02">
        <f>VLOOKUP(BUReporting[[#This Row],[Program]],'Program MW '!$A$34:$S$44,12,FALSE)</f>
        <v>0</v>
      </c>
    </row>
    <row r="128" spans="1:8" ht="15.5" thickTop="1" thickBot="1">
      <c r="A128" s="391">
        <v>9</v>
      </c>
      <c r="B128" s="389" t="s">
        <v>24</v>
      </c>
      <c r="C128" s="404"/>
      <c r="D128" s="389" t="s">
        <v>9</v>
      </c>
      <c r="E128" s="392">
        <v>10</v>
      </c>
      <c r="F128" s="401" t="s">
        <v>36</v>
      </c>
      <c r="G128"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02">
        <f>VLOOKUP(BUReporting[[#This Row],[Program]],'Program MW '!$A$34:$S$44,12,FALSE)</f>
        <v>0</v>
      </c>
    </row>
    <row r="129" spans="1:8" ht="15.5" thickTop="1" thickBot="1">
      <c r="A129" s="391">
        <v>10</v>
      </c>
      <c r="B129" s="389" t="s">
        <v>25</v>
      </c>
      <c r="C129" s="404"/>
      <c r="D129" s="389" t="s">
        <v>9</v>
      </c>
      <c r="E129" s="392">
        <v>10</v>
      </c>
      <c r="F129" s="401" t="s">
        <v>36</v>
      </c>
      <c r="G129"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02">
        <f>VLOOKUP(BUReporting[[#This Row],[Program]],'Program MW '!$A$34:$S$44,12,FALSE)</f>
        <v>0</v>
      </c>
    </row>
    <row r="130" spans="1:8" ht="15.5" thickTop="1" thickBot="1">
      <c r="A130" s="391">
        <v>11</v>
      </c>
      <c r="B130" s="389" t="s">
        <v>26</v>
      </c>
      <c r="C130" s="404"/>
      <c r="D130" s="389" t="s">
        <v>9</v>
      </c>
      <c r="E130" s="392">
        <v>10</v>
      </c>
      <c r="F130" s="401" t="s">
        <v>36</v>
      </c>
      <c r="G130"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02">
        <f>VLOOKUP(BUReporting[[#This Row],[Program]],'Program MW '!$A$34:$S$44,12,FALSE)</f>
        <v>0</v>
      </c>
    </row>
    <row r="131" spans="1:8" ht="13.5" thickTop="1" thickBot="1">
      <c r="A131" s="391">
        <v>12</v>
      </c>
      <c r="B131" s="389" t="s">
        <v>27</v>
      </c>
      <c r="C131" s="388"/>
      <c r="D131" s="389" t="s">
        <v>19</v>
      </c>
      <c r="E131" s="392">
        <v>10</v>
      </c>
      <c r="F131" s="401" t="s">
        <v>36</v>
      </c>
      <c r="G131"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02">
        <f>VLOOKUP(BUReporting[[#This Row],[Program]],'Program MW '!$A$34:$S$44,12,FALSE)</f>
        <v>0</v>
      </c>
    </row>
    <row r="132" spans="1:8" ht="15.5" thickTop="1" thickBot="1">
      <c r="A132" s="403">
        <v>0</v>
      </c>
      <c r="B132" s="85" t="s">
        <v>8</v>
      </c>
      <c r="C132" s="404"/>
      <c r="D132" s="394" t="s">
        <v>9</v>
      </c>
      <c r="E132" s="399">
        <v>11</v>
      </c>
      <c r="F132" s="400" t="s">
        <v>37</v>
      </c>
      <c r="G132" s="39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0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5.5" thickTop="1" thickBot="1">
      <c r="A133" s="391">
        <v>1</v>
      </c>
      <c r="B133" s="389" t="s">
        <v>11</v>
      </c>
      <c r="C133" s="404"/>
      <c r="D133" s="389" t="s">
        <v>9</v>
      </c>
      <c r="E133" s="392">
        <v>11</v>
      </c>
      <c r="F133" s="401" t="s">
        <v>37</v>
      </c>
      <c r="G133"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02">
        <f>VLOOKUP(BUReporting[[#This Row],[Program]],'Program MW '!$A$34:$S$44,15,FALSE)</f>
        <v>0</v>
      </c>
    </row>
    <row r="134" spans="1:8" ht="15.5" thickTop="1" thickBot="1">
      <c r="A134" s="391">
        <v>2</v>
      </c>
      <c r="B134" s="389" t="s">
        <v>12</v>
      </c>
      <c r="C134" s="404" t="s">
        <v>13</v>
      </c>
      <c r="D134" s="389" t="s">
        <v>9</v>
      </c>
      <c r="E134" s="392">
        <v>11</v>
      </c>
      <c r="F134" s="401" t="s">
        <v>37</v>
      </c>
      <c r="G134"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02" t="e">
        <f>VLOOKUP(BUReporting[[#This Row],[Program]],'Program MW '!$A$34:$S$44,15,FALSE)</f>
        <v>#N/A</v>
      </c>
    </row>
    <row r="135" spans="1:8" ht="15.5" thickTop="1" thickBot="1">
      <c r="A135" s="391">
        <v>3</v>
      </c>
      <c r="B135" s="389" t="s">
        <v>14</v>
      </c>
      <c r="C135" s="404"/>
      <c r="D135" s="389" t="s">
        <v>9</v>
      </c>
      <c r="E135" s="392">
        <v>11</v>
      </c>
      <c r="F135" s="401" t="s">
        <v>37</v>
      </c>
      <c r="G135"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02" t="e">
        <f>VLOOKUP(BUReporting[[#This Row],[Program]],'Program MW '!$A$34:$S$44,15,FALSE)</f>
        <v>#N/A</v>
      </c>
    </row>
    <row r="136" spans="1:8" ht="15.5" thickTop="1" thickBot="1">
      <c r="A136" s="391">
        <v>4</v>
      </c>
      <c r="B136" s="389" t="s">
        <v>15</v>
      </c>
      <c r="C136" s="404" t="s">
        <v>16</v>
      </c>
      <c r="D136" s="389" t="s">
        <v>9</v>
      </c>
      <c r="E136" s="392">
        <v>11</v>
      </c>
      <c r="F136" s="401" t="s">
        <v>37</v>
      </c>
      <c r="G136"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02" t="e">
        <f>VLOOKUP(BUReporting[[#This Row],[Program]],'Program MW '!$A$34:$S$44,15,FALSE)</f>
        <v>#N/A</v>
      </c>
    </row>
    <row r="137" spans="1:8" ht="15.5" thickTop="1" thickBot="1">
      <c r="A137" s="391">
        <v>5</v>
      </c>
      <c r="B137" s="389" t="s">
        <v>17</v>
      </c>
      <c r="C137" s="404" t="s">
        <v>18</v>
      </c>
      <c r="D137" s="389" t="s">
        <v>19</v>
      </c>
      <c r="E137" s="392">
        <v>11</v>
      </c>
      <c r="F137" s="401" t="s">
        <v>37</v>
      </c>
      <c r="G137"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02">
        <f>VLOOKUP(BUReporting[[#This Row],[Program]],'Program MW '!$A$34:$S$44,15,FALSE)</f>
        <v>0</v>
      </c>
    </row>
    <row r="138" spans="1:8" ht="15.5" thickTop="1" thickBot="1">
      <c r="A138" s="391">
        <v>6</v>
      </c>
      <c r="B138" s="389" t="s">
        <v>20</v>
      </c>
      <c r="C138" s="404" t="s">
        <v>18</v>
      </c>
      <c r="D138" s="389" t="s">
        <v>9</v>
      </c>
      <c r="E138" s="392">
        <v>11</v>
      </c>
      <c r="F138" s="401" t="s">
        <v>37</v>
      </c>
      <c r="G138"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02">
        <f>VLOOKUP(BUReporting[[#This Row],[Program]],'Program MW '!$A$34:$S$44,15,FALSE)</f>
        <v>0</v>
      </c>
    </row>
    <row r="139" spans="1:8" ht="15.5" thickTop="1" thickBot="1">
      <c r="A139" s="391">
        <v>7</v>
      </c>
      <c r="B139" s="389" t="s">
        <v>21</v>
      </c>
      <c r="C139" s="404" t="s">
        <v>22</v>
      </c>
      <c r="D139" s="389" t="s">
        <v>19</v>
      </c>
      <c r="E139" s="392">
        <v>11</v>
      </c>
      <c r="F139" s="401" t="s">
        <v>37</v>
      </c>
      <c r="G139"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02">
        <f>VLOOKUP(BUReporting[[#This Row],[Program]],'Program MW '!$A$34:$S$44,15,FALSE)</f>
        <v>0</v>
      </c>
    </row>
    <row r="140" spans="1:8" ht="15.5" thickTop="1" thickBot="1">
      <c r="A140" s="391">
        <v>8</v>
      </c>
      <c r="B140" s="389" t="s">
        <v>23</v>
      </c>
      <c r="C140" s="404" t="s">
        <v>22</v>
      </c>
      <c r="D140" s="389" t="s">
        <v>9</v>
      </c>
      <c r="E140" s="392">
        <v>11</v>
      </c>
      <c r="F140" s="401" t="s">
        <v>37</v>
      </c>
      <c r="G140"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02">
        <f>VLOOKUP(BUReporting[[#This Row],[Program]],'Program MW '!$A$34:$S$44,15,FALSE)</f>
        <v>0</v>
      </c>
    </row>
    <row r="141" spans="1:8" ht="15.5" thickTop="1" thickBot="1">
      <c r="A141" s="391">
        <v>9</v>
      </c>
      <c r="B141" s="389" t="s">
        <v>24</v>
      </c>
      <c r="C141" s="404"/>
      <c r="D141" s="389" t="s">
        <v>9</v>
      </c>
      <c r="E141" s="392">
        <v>11</v>
      </c>
      <c r="F141" s="401" t="s">
        <v>37</v>
      </c>
      <c r="G141"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02">
        <f>VLOOKUP(BUReporting[[#This Row],[Program]],'Program MW '!$A$34:$S$44,15,FALSE)</f>
        <v>0</v>
      </c>
    </row>
    <row r="142" spans="1:8" ht="15.5" thickTop="1" thickBot="1">
      <c r="A142" s="391">
        <v>10</v>
      </c>
      <c r="B142" s="389" t="s">
        <v>25</v>
      </c>
      <c r="C142" s="404"/>
      <c r="D142" s="389" t="s">
        <v>9</v>
      </c>
      <c r="E142" s="392">
        <v>11</v>
      </c>
      <c r="F142" s="401" t="s">
        <v>37</v>
      </c>
      <c r="G142"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02">
        <f>VLOOKUP(BUReporting[[#This Row],[Program]],'Program MW '!$A$34:$S$44,15,FALSE)</f>
        <v>0</v>
      </c>
    </row>
    <row r="143" spans="1:8" ht="15.5" thickTop="1" thickBot="1">
      <c r="A143" s="391">
        <v>11</v>
      </c>
      <c r="B143" s="389" t="s">
        <v>26</v>
      </c>
      <c r="C143" s="404"/>
      <c r="D143" s="389" t="s">
        <v>9</v>
      </c>
      <c r="E143" s="392">
        <v>11</v>
      </c>
      <c r="F143" s="401" t="s">
        <v>37</v>
      </c>
      <c r="G143"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02">
        <f>VLOOKUP(BUReporting[[#This Row],[Program]],'Program MW '!$A$34:$S$44,15,FALSE)</f>
        <v>0</v>
      </c>
    </row>
    <row r="144" spans="1:8" ht="13.5" thickTop="1" thickBot="1">
      <c r="A144" s="391">
        <v>12</v>
      </c>
      <c r="B144" s="389" t="s">
        <v>27</v>
      </c>
      <c r="C144" s="388"/>
      <c r="D144" s="389" t="s">
        <v>19</v>
      </c>
      <c r="E144" s="392">
        <v>11</v>
      </c>
      <c r="F144" s="401" t="s">
        <v>37</v>
      </c>
      <c r="G144"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02">
        <f>VLOOKUP(BUReporting[[#This Row],[Program]],'Program MW '!$A$34:$S$44,15,FALSE)</f>
        <v>0</v>
      </c>
    </row>
    <row r="145" spans="1:8" ht="15.5" thickTop="1" thickBot="1">
      <c r="A145" s="403">
        <v>0</v>
      </c>
      <c r="B145" s="85" t="s">
        <v>8</v>
      </c>
      <c r="C145" s="404"/>
      <c r="D145" s="394" t="s">
        <v>9</v>
      </c>
      <c r="E145" s="399">
        <v>12</v>
      </c>
      <c r="F145" s="400" t="s">
        <v>38</v>
      </c>
      <c r="G145" s="39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0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5.5" thickTop="1" thickBot="1">
      <c r="A146" s="391">
        <v>1</v>
      </c>
      <c r="B146" s="389" t="s">
        <v>11</v>
      </c>
      <c r="C146" s="404"/>
      <c r="D146" s="389" t="s">
        <v>9</v>
      </c>
      <c r="E146" s="392">
        <v>12</v>
      </c>
      <c r="F146" s="401" t="s">
        <v>38</v>
      </c>
      <c r="G146"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02">
        <f>VLOOKUP(BUReporting[[#This Row],[Program]],'Program MW '!$A$34:$S$44,18,FALSE)</f>
        <v>0</v>
      </c>
    </row>
    <row r="147" spans="1:8" ht="15.5" thickTop="1" thickBot="1">
      <c r="A147" s="391">
        <v>2</v>
      </c>
      <c r="B147" s="389" t="s">
        <v>12</v>
      </c>
      <c r="C147" s="404" t="s">
        <v>13</v>
      </c>
      <c r="D147" s="389" t="s">
        <v>9</v>
      </c>
      <c r="E147" s="392">
        <v>12</v>
      </c>
      <c r="F147" s="401" t="s">
        <v>38</v>
      </c>
      <c r="G147"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02" t="e">
        <f>VLOOKUP(BUReporting[[#This Row],[Program]],'Program MW '!$A$34:$S$44,18,FALSE)</f>
        <v>#N/A</v>
      </c>
    </row>
    <row r="148" spans="1:8" ht="15.5" thickTop="1" thickBot="1">
      <c r="A148" s="391">
        <v>3</v>
      </c>
      <c r="B148" s="389" t="s">
        <v>14</v>
      </c>
      <c r="C148" s="404"/>
      <c r="D148" s="389" t="s">
        <v>9</v>
      </c>
      <c r="E148" s="392">
        <v>12</v>
      </c>
      <c r="F148" s="401" t="s">
        <v>38</v>
      </c>
      <c r="G148"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02" t="e">
        <f>VLOOKUP(BUReporting[[#This Row],[Program]],'Program MW '!$A$34:$S$44,18,FALSE)</f>
        <v>#N/A</v>
      </c>
    </row>
    <row r="149" spans="1:8" ht="15.5" thickTop="1" thickBot="1">
      <c r="A149" s="391">
        <v>4</v>
      </c>
      <c r="B149" s="389" t="s">
        <v>15</v>
      </c>
      <c r="C149" s="404" t="s">
        <v>16</v>
      </c>
      <c r="D149" s="389" t="s">
        <v>9</v>
      </c>
      <c r="E149" s="392">
        <v>12</v>
      </c>
      <c r="F149" s="401" t="s">
        <v>38</v>
      </c>
      <c r="G149"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02" t="e">
        <f>VLOOKUP(BUReporting[[#This Row],[Program]],'Program MW '!$A$34:$S$44,18,FALSE)</f>
        <v>#N/A</v>
      </c>
    </row>
    <row r="150" spans="1:8" ht="15.5" thickTop="1" thickBot="1">
      <c r="A150" s="391">
        <v>5</v>
      </c>
      <c r="B150" s="389" t="s">
        <v>17</v>
      </c>
      <c r="C150" s="404" t="s">
        <v>18</v>
      </c>
      <c r="D150" s="389" t="s">
        <v>19</v>
      </c>
      <c r="E150" s="392">
        <v>12</v>
      </c>
      <c r="F150" s="401" t="s">
        <v>38</v>
      </c>
      <c r="G150"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02">
        <f>VLOOKUP(BUReporting[[#This Row],[Program]],'Program MW '!$A$34:$S$44,18,FALSE)</f>
        <v>0</v>
      </c>
    </row>
    <row r="151" spans="1:8" ht="15.5" thickTop="1" thickBot="1">
      <c r="A151" s="391">
        <v>6</v>
      </c>
      <c r="B151" s="389" t="s">
        <v>20</v>
      </c>
      <c r="C151" s="404" t="s">
        <v>18</v>
      </c>
      <c r="D151" s="389" t="s">
        <v>9</v>
      </c>
      <c r="E151" s="392">
        <v>12</v>
      </c>
      <c r="F151" s="401" t="s">
        <v>38</v>
      </c>
      <c r="G151"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02">
        <f>VLOOKUP(BUReporting[[#This Row],[Program]],'Program MW '!$A$34:$S$44,18,FALSE)</f>
        <v>0</v>
      </c>
    </row>
    <row r="152" spans="1:8" ht="15.5" thickTop="1" thickBot="1">
      <c r="A152" s="391">
        <v>7</v>
      </c>
      <c r="B152" s="389" t="s">
        <v>21</v>
      </c>
      <c r="C152" s="404" t="s">
        <v>22</v>
      </c>
      <c r="D152" s="389" t="s">
        <v>19</v>
      </c>
      <c r="E152" s="392">
        <v>12</v>
      </c>
      <c r="F152" s="401" t="s">
        <v>38</v>
      </c>
      <c r="G152"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02">
        <f>VLOOKUP(BUReporting[[#This Row],[Program]],'Program MW '!$A$34:$S$44,18,FALSE)</f>
        <v>0</v>
      </c>
    </row>
    <row r="153" spans="1:8" ht="15.5" thickTop="1" thickBot="1">
      <c r="A153" s="391">
        <v>8</v>
      </c>
      <c r="B153" s="389" t="s">
        <v>23</v>
      </c>
      <c r="C153" s="404" t="s">
        <v>22</v>
      </c>
      <c r="D153" s="389" t="s">
        <v>9</v>
      </c>
      <c r="E153" s="392">
        <v>12</v>
      </c>
      <c r="F153" s="401" t="s">
        <v>38</v>
      </c>
      <c r="G153"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02">
        <f>VLOOKUP(BUReporting[[#This Row],[Program]],'Program MW '!$A$34:$S$44,18,FALSE)</f>
        <v>0</v>
      </c>
    </row>
    <row r="154" spans="1:8" ht="15.5" thickTop="1" thickBot="1">
      <c r="A154" s="391">
        <v>9</v>
      </c>
      <c r="B154" s="389" t="s">
        <v>24</v>
      </c>
      <c r="C154" s="404"/>
      <c r="D154" s="389" t="s">
        <v>9</v>
      </c>
      <c r="E154" s="392">
        <v>12</v>
      </c>
      <c r="F154" s="401" t="s">
        <v>38</v>
      </c>
      <c r="G154"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02">
        <f>VLOOKUP(BUReporting[[#This Row],[Program]],'Program MW '!$A$34:$S$44,18,FALSE)</f>
        <v>0</v>
      </c>
    </row>
    <row r="155" spans="1:8" ht="15.5" thickTop="1" thickBot="1">
      <c r="A155" s="391">
        <v>10</v>
      </c>
      <c r="B155" s="389" t="s">
        <v>25</v>
      </c>
      <c r="C155" s="404"/>
      <c r="D155" s="389" t="s">
        <v>9</v>
      </c>
      <c r="E155" s="392">
        <v>12</v>
      </c>
      <c r="F155" s="401" t="s">
        <v>38</v>
      </c>
      <c r="G155"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02">
        <f>VLOOKUP(BUReporting[[#This Row],[Program]],'Program MW '!$A$34:$S$44,18,FALSE)</f>
        <v>0</v>
      </c>
    </row>
    <row r="156" spans="1:8" ht="15.5" thickTop="1" thickBot="1">
      <c r="A156" s="391">
        <v>11</v>
      </c>
      <c r="B156" s="389" t="s">
        <v>26</v>
      </c>
      <c r="C156" s="404"/>
      <c r="D156" s="389" t="s">
        <v>9</v>
      </c>
      <c r="E156" s="392">
        <v>12</v>
      </c>
      <c r="F156" s="401" t="s">
        <v>38</v>
      </c>
      <c r="G156"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02">
        <f>VLOOKUP(BUReporting[[#This Row],[Program]],'Program MW '!$A$34:$S$44,18,FALSE)</f>
        <v>0</v>
      </c>
    </row>
    <row r="157" spans="1:8" ht="13" thickTop="1">
      <c r="A157" s="391">
        <v>12</v>
      </c>
      <c r="B157" s="389" t="s">
        <v>27</v>
      </c>
      <c r="C157" s="388"/>
      <c r="D157" s="389" t="s">
        <v>19</v>
      </c>
      <c r="E157" s="392">
        <v>12</v>
      </c>
      <c r="F157" s="401" t="s">
        <v>38</v>
      </c>
      <c r="G157"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02">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23"/>
  <sheetViews>
    <sheetView zoomScaleNormal="100" zoomScaleSheetLayoutView="100" workbookViewId="0">
      <selection activeCell="B55" sqref="B55"/>
    </sheetView>
  </sheetViews>
  <sheetFormatPr defaultColWidth="9.26953125" defaultRowHeight="12.5"/>
  <cols>
    <col min="1" max="1" width="29.26953125" style="142" customWidth="1"/>
    <col min="2" max="2" width="22.54296875" style="142" bestFit="1" customWidth="1"/>
    <col min="3" max="3" width="49.7265625" style="142" customWidth="1"/>
    <col min="4" max="4" width="11.26953125" style="142" customWidth="1"/>
    <col min="5" max="5" width="57" style="142" customWidth="1"/>
    <col min="6" max="13" width="9.26953125" style="142"/>
    <col min="14" max="14" width="23.7265625" style="142" bestFit="1" customWidth="1"/>
    <col min="15" max="16384" width="9.26953125" style="142"/>
  </cols>
  <sheetData>
    <row r="1" spans="1:5" ht="13">
      <c r="C1" s="148" t="s">
        <v>39</v>
      </c>
    </row>
    <row r="2" spans="1:5" ht="13">
      <c r="C2" s="148" t="s">
        <v>174</v>
      </c>
    </row>
    <row r="3" spans="1:5" ht="13">
      <c r="C3" s="198" t="s">
        <v>289</v>
      </c>
    </row>
    <row r="4" spans="1:5">
      <c r="C4" s="17"/>
    </row>
    <row r="5" spans="1:5">
      <c r="C5" s="17"/>
      <c r="D5" s="196"/>
    </row>
    <row r="6" spans="1:5" s="17" customFormat="1" ht="13">
      <c r="A6" s="268"/>
      <c r="B6" s="268"/>
    </row>
    <row r="7" spans="1:5" s="17" customFormat="1"/>
    <row r="8" spans="1:5" s="19" customFormat="1" ht="13">
      <c r="A8" s="18" t="s">
        <v>175</v>
      </c>
      <c r="B8" s="18" t="s">
        <v>176</v>
      </c>
      <c r="C8" s="18" t="s">
        <v>177</v>
      </c>
      <c r="D8" s="18" t="s">
        <v>178</v>
      </c>
      <c r="E8" s="18" t="s">
        <v>179</v>
      </c>
    </row>
    <row r="9" spans="1:5" s="19" customFormat="1" ht="50">
      <c r="A9" s="338" t="s">
        <v>149</v>
      </c>
      <c r="B9" s="339">
        <v>-234498</v>
      </c>
      <c r="C9" s="346" t="s">
        <v>207</v>
      </c>
      <c r="D9" s="341">
        <v>43302</v>
      </c>
      <c r="E9" s="340" t="s">
        <v>279</v>
      </c>
    </row>
    <row r="10" spans="1:5" s="19" customFormat="1" ht="50">
      <c r="A10" s="338" t="s">
        <v>287</v>
      </c>
      <c r="B10" s="339">
        <v>-700000</v>
      </c>
      <c r="C10" s="346" t="s">
        <v>280</v>
      </c>
      <c r="D10" s="341">
        <v>43302</v>
      </c>
      <c r="E10" s="340" t="s">
        <v>281</v>
      </c>
    </row>
    <row r="11" spans="1:5" s="19" customFormat="1" ht="62.5">
      <c r="A11" s="338" t="s">
        <v>288</v>
      </c>
      <c r="B11" s="339">
        <v>-194400</v>
      </c>
      <c r="C11" s="346" t="s">
        <v>282</v>
      </c>
      <c r="D11" s="341">
        <v>43304</v>
      </c>
      <c r="E11" s="340" t="s">
        <v>283</v>
      </c>
    </row>
    <row r="12" spans="1:5" s="19" customFormat="1" ht="137.5">
      <c r="A12" s="338" t="s">
        <v>286</v>
      </c>
      <c r="B12" s="339">
        <v>1128898</v>
      </c>
      <c r="C12" s="346" t="s">
        <v>284</v>
      </c>
      <c r="D12" s="341">
        <v>43302</v>
      </c>
      <c r="E12" s="340" t="s">
        <v>285</v>
      </c>
    </row>
    <row r="13" spans="1:5" s="342" customFormat="1" ht="50">
      <c r="A13" s="338" t="s">
        <v>169</v>
      </c>
      <c r="B13" s="339">
        <v>-166000</v>
      </c>
      <c r="C13" s="346" t="s">
        <v>170</v>
      </c>
      <c r="D13" s="341">
        <v>44061</v>
      </c>
      <c r="E13" s="340" t="s">
        <v>240</v>
      </c>
    </row>
    <row r="14" spans="1:5" s="345" customFormat="1" ht="50">
      <c r="A14" s="338" t="s">
        <v>169</v>
      </c>
      <c r="B14" s="344">
        <v>-400000</v>
      </c>
      <c r="C14" s="346" t="s">
        <v>239</v>
      </c>
      <c r="D14" s="341">
        <v>44061</v>
      </c>
      <c r="E14" s="340" t="s">
        <v>240</v>
      </c>
    </row>
    <row r="15" spans="1:5" s="345" customFormat="1" ht="50">
      <c r="A15" s="338" t="s">
        <v>169</v>
      </c>
      <c r="B15" s="344">
        <v>566000</v>
      </c>
      <c r="C15" s="347" t="s">
        <v>238</v>
      </c>
      <c r="D15" s="341">
        <v>44061</v>
      </c>
      <c r="E15" s="340" t="s">
        <v>240</v>
      </c>
    </row>
    <row r="16" spans="1:5" s="345" customFormat="1">
      <c r="A16" s="343" t="s">
        <v>56</v>
      </c>
      <c r="B16" s="344" t="s">
        <v>56</v>
      </c>
      <c r="C16" s="347" t="s">
        <v>56</v>
      </c>
      <c r="D16" s="341"/>
      <c r="E16" s="340"/>
    </row>
    <row r="17" spans="1:5" ht="13">
      <c r="A17" s="144" t="s">
        <v>91</v>
      </c>
      <c r="B17" s="228">
        <f>SUM(B9:B16)</f>
        <v>0</v>
      </c>
      <c r="C17" s="143"/>
      <c r="D17" s="143"/>
      <c r="E17" s="143"/>
    </row>
    <row r="18" spans="1:5">
      <c r="A18" s="143"/>
      <c r="B18" s="143"/>
      <c r="C18" s="143"/>
      <c r="D18" s="143"/>
      <c r="E18" s="143"/>
    </row>
    <row r="20" spans="1:5" ht="14">
      <c r="A20" s="435" t="s">
        <v>63</v>
      </c>
    </row>
    <row r="21" spans="1:5" ht="14">
      <c r="A21" s="436" t="s">
        <v>180</v>
      </c>
    </row>
    <row r="22" spans="1:5" ht="14">
      <c r="A22" s="435"/>
    </row>
    <row r="23" spans="1:5" ht="14.5">
      <c r="A23" s="437" t="s">
        <v>64</v>
      </c>
      <c r="E23" s="145"/>
    </row>
  </sheetData>
  <phoneticPr fontId="45"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7"/>
  <sheetViews>
    <sheetView showGridLines="0" tabSelected="1" zoomScale="140" zoomScaleNormal="140" zoomScaleSheetLayoutView="75" workbookViewId="0">
      <pane xSplit="1" ySplit="8" topLeftCell="B9" activePane="bottomRight" state="frozen"/>
      <selection activeCell="B55" sqref="B55"/>
      <selection pane="topRight" activeCell="B55" sqref="B55"/>
      <selection pane="bottomLeft" activeCell="B55" sqref="B55"/>
      <selection pane="bottomRight" activeCell="G22" sqref="G22"/>
    </sheetView>
  </sheetViews>
  <sheetFormatPr defaultColWidth="17" defaultRowHeight="11.5"/>
  <cols>
    <col min="1" max="1" width="46.26953125" style="211" customWidth="1"/>
    <col min="2" max="9" width="11.54296875" style="211" customWidth="1"/>
    <col min="10" max="10" width="11.54296875" style="212" customWidth="1"/>
    <col min="11" max="14" width="11.54296875" style="211" customWidth="1"/>
    <col min="15" max="16" width="0" style="211" hidden="1" customWidth="1"/>
    <col min="17" max="16384" width="17" style="211"/>
  </cols>
  <sheetData>
    <row r="1" spans="1:16">
      <c r="A1" s="211" t="s">
        <v>56</v>
      </c>
      <c r="E1" s="209" t="s">
        <v>39</v>
      </c>
    </row>
    <row r="2" spans="1:16">
      <c r="E2" s="209" t="s">
        <v>188</v>
      </c>
    </row>
    <row r="3" spans="1:16">
      <c r="D3" s="213"/>
      <c r="E3" s="214" t="str">
        <f>'Program MW '!H3</f>
        <v>July 2021</v>
      </c>
      <c r="F3" s="213"/>
      <c r="N3" s="651"/>
    </row>
    <row r="4" spans="1:16" ht="12" thickBot="1"/>
    <row r="5" spans="1:16">
      <c r="A5" s="215"/>
      <c r="B5" s="216"/>
      <c r="C5" s="216"/>
      <c r="D5" s="216"/>
      <c r="E5" s="216"/>
      <c r="F5" s="216"/>
      <c r="G5" s="216"/>
      <c r="H5" s="216"/>
      <c r="I5" s="216"/>
      <c r="J5" s="217"/>
      <c r="K5" s="216"/>
      <c r="L5" s="216"/>
      <c r="M5" s="216"/>
      <c r="N5" s="454"/>
    </row>
    <row r="6" spans="1:16" ht="23">
      <c r="A6" s="218" t="s">
        <v>189</v>
      </c>
      <c r="B6" s="443" t="s">
        <v>41</v>
      </c>
      <c r="C6" s="443" t="s">
        <v>42</v>
      </c>
      <c r="D6" s="443" t="s">
        <v>43</v>
      </c>
      <c r="E6" s="443" t="s">
        <v>44</v>
      </c>
      <c r="F6" s="443" t="s">
        <v>31</v>
      </c>
      <c r="G6" s="443" t="s">
        <v>45</v>
      </c>
      <c r="H6" s="443" t="s">
        <v>59</v>
      </c>
      <c r="I6" s="443" t="s">
        <v>66</v>
      </c>
      <c r="J6" s="444" t="s">
        <v>67</v>
      </c>
      <c r="K6" s="443" t="s">
        <v>61</v>
      </c>
      <c r="L6" s="443" t="s">
        <v>68</v>
      </c>
      <c r="M6" s="532" t="s">
        <v>62</v>
      </c>
      <c r="N6" s="533" t="s">
        <v>190</v>
      </c>
    </row>
    <row r="7" spans="1:16">
      <c r="A7" s="219"/>
      <c r="B7" s="220"/>
      <c r="C7" s="220"/>
      <c r="D7" s="220"/>
      <c r="E7" s="220"/>
      <c r="F7" s="659"/>
      <c r="G7" s="659"/>
      <c r="H7" s="660"/>
      <c r="I7" s="659"/>
      <c r="J7" s="661"/>
      <c r="K7" s="659"/>
      <c r="L7" s="659"/>
      <c r="M7" s="662"/>
      <c r="N7" s="663"/>
    </row>
    <row r="8" spans="1:16">
      <c r="A8" s="221" t="s">
        <v>191</v>
      </c>
      <c r="B8" s="220"/>
      <c r="C8" s="220"/>
      <c r="D8" s="220"/>
      <c r="E8" s="220"/>
      <c r="F8" s="659"/>
      <c r="G8" s="659"/>
      <c r="H8" s="660"/>
      <c r="I8" s="659"/>
      <c r="J8" s="661"/>
      <c r="K8" s="659"/>
      <c r="L8" s="659"/>
      <c r="M8" s="662"/>
      <c r="N8" s="663"/>
    </row>
    <row r="9" spans="1:16">
      <c r="A9" s="308" t="s">
        <v>192</v>
      </c>
      <c r="B9" s="754">
        <v>5.4340000000000002</v>
      </c>
      <c r="C9" s="753">
        <v>8.3640000000000008</v>
      </c>
      <c r="D9" s="753">
        <f>24.646-C9-B9</f>
        <v>10.847999999999999</v>
      </c>
      <c r="E9" s="753">
        <v>10.628</v>
      </c>
      <c r="F9" s="753">
        <v>12.351000000000001</v>
      </c>
      <c r="G9" s="753">
        <v>13.272</v>
      </c>
      <c r="H9" s="753">
        <v>11.590999999999999</v>
      </c>
      <c r="I9" s="753">
        <v>0</v>
      </c>
      <c r="J9" s="753">
        <v>0</v>
      </c>
      <c r="K9" s="753">
        <v>0</v>
      </c>
      <c r="L9" s="753">
        <v>0</v>
      </c>
      <c r="M9" s="753">
        <v>0</v>
      </c>
      <c r="N9" s="572">
        <f t="shared" ref="N9:N33" si="0">SUM(B9:M9)</f>
        <v>72.488</v>
      </c>
      <c r="O9" s="365">
        <v>0</v>
      </c>
      <c r="P9" s="365">
        <v>0</v>
      </c>
    </row>
    <row r="10" spans="1:16" ht="13.5">
      <c r="A10" s="308" t="s">
        <v>193</v>
      </c>
      <c r="B10" s="566">
        <v>44.155000000000001</v>
      </c>
      <c r="C10" s="567">
        <v>11.638999999999999</v>
      </c>
      <c r="D10" s="567">
        <f>131.908-C10-B10</f>
        <v>76.11399999999999</v>
      </c>
      <c r="E10" s="567">
        <v>45.377000000000002</v>
      </c>
      <c r="F10" s="664">
        <v>41.933999999999997</v>
      </c>
      <c r="G10" s="664">
        <v>48.670999999999999</v>
      </c>
      <c r="H10" s="664">
        <v>50.156999999999996</v>
      </c>
      <c r="I10" s="664">
        <v>0</v>
      </c>
      <c r="J10" s="664">
        <v>0</v>
      </c>
      <c r="K10" s="664">
        <v>0</v>
      </c>
      <c r="L10" s="664">
        <v>0</v>
      </c>
      <c r="M10" s="664">
        <v>0</v>
      </c>
      <c r="N10" s="572">
        <f t="shared" si="0"/>
        <v>318.04699999999997</v>
      </c>
    </row>
    <row r="11" spans="1:16" ht="14.25" customHeight="1">
      <c r="A11" s="308" t="s">
        <v>194</v>
      </c>
      <c r="B11" s="566">
        <v>5.3719999999999999</v>
      </c>
      <c r="C11" s="567">
        <v>5.4429999999999996</v>
      </c>
      <c r="D11" s="567">
        <f>16.812-C11-B11</f>
        <v>5.9970000000000017</v>
      </c>
      <c r="E11" s="567">
        <v>6.6950000000000003</v>
      </c>
      <c r="F11" s="664">
        <v>5.6539999999999999</v>
      </c>
      <c r="G11" s="664">
        <v>6.0540000000000003</v>
      </c>
      <c r="H11" s="664">
        <v>4.8209999999999997</v>
      </c>
      <c r="I11" s="664">
        <v>0</v>
      </c>
      <c r="J11" s="664">
        <v>0</v>
      </c>
      <c r="K11" s="664">
        <v>0</v>
      </c>
      <c r="L11" s="664">
        <v>0</v>
      </c>
      <c r="M11" s="664">
        <v>0</v>
      </c>
      <c r="N11" s="572">
        <f t="shared" si="0"/>
        <v>40.036000000000001</v>
      </c>
    </row>
    <row r="12" spans="1:16">
      <c r="A12" s="308" t="s">
        <v>195</v>
      </c>
      <c r="B12" s="566">
        <v>0</v>
      </c>
      <c r="C12" s="567">
        <v>0</v>
      </c>
      <c r="D12" s="567">
        <v>0</v>
      </c>
      <c r="E12" s="567">
        <v>0</v>
      </c>
      <c r="F12" s="664">
        <v>0</v>
      </c>
      <c r="G12" s="664">
        <v>0</v>
      </c>
      <c r="H12" s="664">
        <v>0</v>
      </c>
      <c r="I12" s="664">
        <v>0</v>
      </c>
      <c r="J12" s="664">
        <v>0</v>
      </c>
      <c r="K12" s="664">
        <v>0</v>
      </c>
      <c r="L12" s="664">
        <v>0</v>
      </c>
      <c r="M12" s="664">
        <v>0</v>
      </c>
      <c r="N12" s="572">
        <f t="shared" si="0"/>
        <v>0</v>
      </c>
    </row>
    <row r="13" spans="1:16">
      <c r="A13" s="308" t="s">
        <v>196</v>
      </c>
      <c r="B13" s="566">
        <v>6.5279999999999996</v>
      </c>
      <c r="C13" s="567">
        <v>9.1560000000000006</v>
      </c>
      <c r="D13" s="567">
        <f>25.223-C13-B13</f>
        <v>9.5390000000000015</v>
      </c>
      <c r="E13" s="567">
        <v>17.847000000000001</v>
      </c>
      <c r="F13" s="664">
        <v>16.437000000000001</v>
      </c>
      <c r="G13" s="664">
        <v>18.690999999999999</v>
      </c>
      <c r="H13" s="664">
        <v>15.734999999999999</v>
      </c>
      <c r="I13" s="664">
        <v>0</v>
      </c>
      <c r="J13" s="664">
        <v>0</v>
      </c>
      <c r="K13" s="664">
        <v>0</v>
      </c>
      <c r="L13" s="664">
        <v>0</v>
      </c>
      <c r="M13" s="664">
        <v>0</v>
      </c>
      <c r="N13" s="572">
        <f t="shared" si="0"/>
        <v>93.933000000000007</v>
      </c>
    </row>
    <row r="14" spans="1:16">
      <c r="A14" s="308" t="s">
        <v>197</v>
      </c>
      <c r="B14" s="593">
        <v>10.265000000000001</v>
      </c>
      <c r="C14" s="594">
        <v>9.8539999999999992</v>
      </c>
      <c r="D14" s="594">
        <v>13.487</v>
      </c>
      <c r="E14" s="594">
        <v>12.321999999999999</v>
      </c>
      <c r="F14" s="665">
        <v>28.375</v>
      </c>
      <c r="G14" s="665">
        <v>11.579000000000001</v>
      </c>
      <c r="H14" s="665">
        <v>25.823</v>
      </c>
      <c r="I14" s="665">
        <v>0</v>
      </c>
      <c r="J14" s="665">
        <v>0</v>
      </c>
      <c r="K14" s="665">
        <v>0</v>
      </c>
      <c r="L14" s="665">
        <v>0</v>
      </c>
      <c r="M14" s="665">
        <v>0</v>
      </c>
      <c r="N14" s="598">
        <f t="shared" si="0"/>
        <v>111.70500000000001</v>
      </c>
    </row>
    <row r="15" spans="1:16">
      <c r="A15" s="308" t="s">
        <v>198</v>
      </c>
      <c r="B15" s="593">
        <v>22.998999999999999</v>
      </c>
      <c r="C15" s="594">
        <v>17.649999999999999</v>
      </c>
      <c r="D15" s="594">
        <f>90.729-C15-B15</f>
        <v>50.080000000000013</v>
      </c>
      <c r="E15" s="594">
        <v>21.035</v>
      </c>
      <c r="F15" s="665">
        <v>41.122999999999998</v>
      </c>
      <c r="G15" s="665">
        <v>14.077</v>
      </c>
      <c r="H15" s="665">
        <v>15.606</v>
      </c>
      <c r="I15" s="665">
        <v>0</v>
      </c>
      <c r="J15" s="665">
        <v>0</v>
      </c>
      <c r="K15" s="665">
        <v>0</v>
      </c>
      <c r="L15" s="665">
        <v>0</v>
      </c>
      <c r="M15" s="665">
        <v>0</v>
      </c>
      <c r="N15" s="598">
        <f t="shared" si="0"/>
        <v>182.57</v>
      </c>
    </row>
    <row r="16" spans="1:16">
      <c r="A16" s="308" t="s">
        <v>160</v>
      </c>
      <c r="B16" s="593">
        <v>11.461</v>
      </c>
      <c r="C16" s="594">
        <v>10.833</v>
      </c>
      <c r="D16" s="594">
        <f>35.334-C16-B16</f>
        <v>13.040000000000004</v>
      </c>
      <c r="E16" s="594">
        <v>20.324000000000002</v>
      </c>
      <c r="F16" s="665">
        <v>12.916</v>
      </c>
      <c r="G16" s="665">
        <v>14.782999999999999</v>
      </c>
      <c r="H16" s="665">
        <v>13.433</v>
      </c>
      <c r="I16" s="665">
        <v>0</v>
      </c>
      <c r="J16" s="665">
        <v>0</v>
      </c>
      <c r="K16" s="665">
        <v>0</v>
      </c>
      <c r="L16" s="665">
        <v>0</v>
      </c>
      <c r="M16" s="665">
        <v>0</v>
      </c>
      <c r="N16" s="598">
        <f t="shared" si="0"/>
        <v>96.789999999999992</v>
      </c>
    </row>
    <row r="17" spans="1:15">
      <c r="A17" s="308" t="s">
        <v>161</v>
      </c>
      <c r="B17" s="593">
        <v>7.4180000000000001</v>
      </c>
      <c r="C17" s="594">
        <v>9.0180000000000007</v>
      </c>
      <c r="D17" s="594">
        <f>26.365-C17-B17</f>
        <v>9.9289999999999985</v>
      </c>
      <c r="E17" s="594">
        <v>25.263000000000002</v>
      </c>
      <c r="F17" s="665">
        <v>7.6420000000000003</v>
      </c>
      <c r="G17" s="665">
        <v>10.083</v>
      </c>
      <c r="H17" s="665">
        <v>8.7910000000000004</v>
      </c>
      <c r="I17" s="665">
        <v>0</v>
      </c>
      <c r="J17" s="665">
        <v>0</v>
      </c>
      <c r="K17" s="665">
        <v>0</v>
      </c>
      <c r="L17" s="665">
        <v>0</v>
      </c>
      <c r="M17" s="665">
        <v>0</v>
      </c>
      <c r="N17" s="598">
        <f t="shared" si="0"/>
        <v>78.144000000000005</v>
      </c>
    </row>
    <row r="18" spans="1:15">
      <c r="A18" s="308" t="s">
        <v>199</v>
      </c>
      <c r="B18" s="593">
        <v>0</v>
      </c>
      <c r="C18" s="594">
        <v>0</v>
      </c>
      <c r="D18" s="594">
        <v>0</v>
      </c>
      <c r="E18" s="594">
        <v>0</v>
      </c>
      <c r="F18" s="665">
        <v>0</v>
      </c>
      <c r="G18" s="665">
        <v>0</v>
      </c>
      <c r="H18" s="665">
        <v>0</v>
      </c>
      <c r="I18" s="665">
        <v>0</v>
      </c>
      <c r="J18" s="665">
        <v>0</v>
      </c>
      <c r="K18" s="665">
        <v>0</v>
      </c>
      <c r="L18" s="665">
        <v>0</v>
      </c>
      <c r="M18" s="665">
        <v>0</v>
      </c>
      <c r="N18" s="598">
        <f t="shared" si="0"/>
        <v>0</v>
      </c>
    </row>
    <row r="19" spans="1:15" ht="13.5">
      <c r="A19" s="308" t="s">
        <v>346</v>
      </c>
      <c r="B19" s="593">
        <v>1.681</v>
      </c>
      <c r="C19" s="594">
        <v>1.873</v>
      </c>
      <c r="D19" s="594">
        <f>6.233-C19-B19</f>
        <v>2.6789999999999994</v>
      </c>
      <c r="E19" s="594">
        <v>2.4420000000000002</v>
      </c>
      <c r="F19" s="665">
        <v>2.0979999999999999</v>
      </c>
      <c r="G19" s="665">
        <v>0.77700000000000002</v>
      </c>
      <c r="H19" s="665">
        <v>-1.9870000000000001</v>
      </c>
      <c r="I19" s="665">
        <v>0</v>
      </c>
      <c r="J19" s="665">
        <v>0</v>
      </c>
      <c r="K19" s="665">
        <v>0</v>
      </c>
      <c r="L19" s="665">
        <v>0</v>
      </c>
      <c r="M19" s="665">
        <v>0</v>
      </c>
      <c r="N19" s="598">
        <f t="shared" si="0"/>
        <v>9.5629999999999988</v>
      </c>
    </row>
    <row r="20" spans="1:15" s="213" customFormat="1">
      <c r="A20" s="407" t="s">
        <v>132</v>
      </c>
      <c r="B20" s="593">
        <v>0</v>
      </c>
      <c r="C20" s="594">
        <v>0</v>
      </c>
      <c r="D20" s="594">
        <v>0</v>
      </c>
      <c r="E20" s="594">
        <v>0</v>
      </c>
      <c r="F20" s="665">
        <v>0</v>
      </c>
      <c r="G20" s="665">
        <v>0</v>
      </c>
      <c r="H20" s="665">
        <v>0</v>
      </c>
      <c r="I20" s="665">
        <v>0</v>
      </c>
      <c r="J20" s="665">
        <v>0</v>
      </c>
      <c r="K20" s="665">
        <v>0</v>
      </c>
      <c r="L20" s="665">
        <v>0</v>
      </c>
      <c r="M20" s="665">
        <v>0</v>
      </c>
      <c r="N20" s="598">
        <f t="shared" si="0"/>
        <v>0</v>
      </c>
    </row>
    <row r="21" spans="1:15">
      <c r="A21" s="407" t="s">
        <v>200</v>
      </c>
      <c r="B21" s="593">
        <v>111.34399999999999</v>
      </c>
      <c r="C21" s="594">
        <v>1.498</v>
      </c>
      <c r="D21" s="594">
        <f>114.985-C21-B21</f>
        <v>2.1430000000000007</v>
      </c>
      <c r="E21" s="594">
        <v>1.9530000000000001</v>
      </c>
      <c r="F21" s="665">
        <v>1.6779999999999999</v>
      </c>
      <c r="G21" s="665">
        <v>0.622</v>
      </c>
      <c r="H21" s="665">
        <v>3.35</v>
      </c>
      <c r="I21" s="665">
        <v>0</v>
      </c>
      <c r="J21" s="665">
        <v>0</v>
      </c>
      <c r="K21" s="665">
        <v>0</v>
      </c>
      <c r="L21" s="665">
        <v>0</v>
      </c>
      <c r="M21" s="665">
        <v>0</v>
      </c>
      <c r="N21" s="598">
        <f t="shared" si="0"/>
        <v>122.58799999999999</v>
      </c>
    </row>
    <row r="22" spans="1:15" ht="14.5">
      <c r="A22" s="308" t="s">
        <v>263</v>
      </c>
      <c r="B22" s="593">
        <v>2.75</v>
      </c>
      <c r="C22" s="594">
        <v>0</v>
      </c>
      <c r="D22" s="594">
        <f>43.162-C22-B22</f>
        <v>40.411999999999999</v>
      </c>
      <c r="E22" s="594">
        <v>1.641</v>
      </c>
      <c r="F22" s="665">
        <v>43.448999999999998</v>
      </c>
      <c r="G22" s="665">
        <v>130.79300000000001</v>
      </c>
      <c r="H22" s="665">
        <v>27.632000000000001</v>
      </c>
      <c r="I22" s="665">
        <v>0</v>
      </c>
      <c r="J22" s="665">
        <v>0</v>
      </c>
      <c r="K22" s="665">
        <v>0</v>
      </c>
      <c r="L22" s="665">
        <v>0</v>
      </c>
      <c r="M22" s="665">
        <v>0</v>
      </c>
      <c r="N22" s="598">
        <f t="shared" si="0"/>
        <v>246.67700000000002</v>
      </c>
    </row>
    <row r="23" spans="1:15">
      <c r="A23" s="308" t="s">
        <v>201</v>
      </c>
      <c r="B23" s="593">
        <v>37.207999999999998</v>
      </c>
      <c r="C23" s="594">
        <v>42.548000000000002</v>
      </c>
      <c r="D23" s="594">
        <v>57.579000000000001</v>
      </c>
      <c r="E23" s="594">
        <v>51.548999999999999</v>
      </c>
      <c r="F23" s="665">
        <v>49.262999999999998</v>
      </c>
      <c r="G23" s="665">
        <v>43.06</v>
      </c>
      <c r="H23" s="665">
        <v>37.057000000000002</v>
      </c>
      <c r="I23" s="665">
        <v>0</v>
      </c>
      <c r="J23" s="665">
        <v>0</v>
      </c>
      <c r="K23" s="665">
        <v>0</v>
      </c>
      <c r="L23" s="665">
        <v>0</v>
      </c>
      <c r="M23" s="665">
        <v>0</v>
      </c>
      <c r="N23" s="598">
        <f t="shared" si="0"/>
        <v>318.26400000000001</v>
      </c>
    </row>
    <row r="24" spans="1:15">
      <c r="A24" s="308" t="s">
        <v>264</v>
      </c>
      <c r="B24" s="593">
        <v>120.524</v>
      </c>
      <c r="C24" s="594">
        <v>107.79600000000001</v>
      </c>
      <c r="D24" s="594">
        <f>380.534-C24-B24</f>
        <v>152.214</v>
      </c>
      <c r="E24" s="594">
        <v>150.024</v>
      </c>
      <c r="F24" s="665">
        <v>74.804000000000002</v>
      </c>
      <c r="G24" s="665">
        <v>506.28399999999999</v>
      </c>
      <c r="H24" s="665">
        <v>38.850999999999999</v>
      </c>
      <c r="I24" s="665">
        <v>0</v>
      </c>
      <c r="J24" s="665">
        <v>0</v>
      </c>
      <c r="K24" s="665">
        <v>0</v>
      </c>
      <c r="L24" s="665">
        <v>0</v>
      </c>
      <c r="M24" s="665">
        <v>0</v>
      </c>
      <c r="N24" s="598">
        <f t="shared" si="0"/>
        <v>1150.4969999999998</v>
      </c>
    </row>
    <row r="25" spans="1:15" ht="13.5">
      <c r="A25" s="308" t="s">
        <v>265</v>
      </c>
      <c r="B25" s="593">
        <v>23.262</v>
      </c>
      <c r="C25" s="594">
        <v>81.326999999999998</v>
      </c>
      <c r="D25" s="594">
        <f>174.323-C25-B25</f>
        <v>69.734000000000009</v>
      </c>
      <c r="E25" s="594">
        <v>49.412999999999997</v>
      </c>
      <c r="F25" s="665">
        <v>35.180999999999997</v>
      </c>
      <c r="G25" s="665">
        <v>33.500999999999998</v>
      </c>
      <c r="H25" s="665">
        <v>88.138999999999996</v>
      </c>
      <c r="I25" s="665">
        <v>0</v>
      </c>
      <c r="J25" s="665">
        <v>0</v>
      </c>
      <c r="K25" s="665">
        <v>0</v>
      </c>
      <c r="L25" s="665">
        <v>0</v>
      </c>
      <c r="M25" s="665">
        <v>0</v>
      </c>
      <c r="N25" s="598">
        <f t="shared" si="0"/>
        <v>380.55699999999996</v>
      </c>
    </row>
    <row r="26" spans="1:15" s="223" customFormat="1">
      <c r="A26" s="308" t="s">
        <v>171</v>
      </c>
      <c r="B26" s="593">
        <v>3.379</v>
      </c>
      <c r="C26" s="594">
        <v>24.798999999999999</v>
      </c>
      <c r="D26" s="594">
        <f>28.178-C26-B26</f>
        <v>0</v>
      </c>
      <c r="E26" s="594">
        <v>0</v>
      </c>
      <c r="F26" s="665">
        <v>0</v>
      </c>
      <c r="G26" s="665">
        <v>103.866</v>
      </c>
      <c r="H26" s="665">
        <v>0</v>
      </c>
      <c r="I26" s="665">
        <v>0</v>
      </c>
      <c r="J26" s="665">
        <v>0</v>
      </c>
      <c r="K26" s="665">
        <v>0</v>
      </c>
      <c r="L26" s="665">
        <v>0</v>
      </c>
      <c r="M26" s="665">
        <v>0</v>
      </c>
      <c r="N26" s="598">
        <f t="shared" si="0"/>
        <v>132.04400000000001</v>
      </c>
      <c r="O26" s="211"/>
    </row>
    <row r="27" spans="1:15" s="223" customFormat="1" ht="13.5">
      <c r="A27" s="408" t="s">
        <v>295</v>
      </c>
      <c r="B27" s="593">
        <v>55.295999999999999</v>
      </c>
      <c r="C27" s="594">
        <v>-33.177999999999997</v>
      </c>
      <c r="D27" s="594">
        <v>56.866</v>
      </c>
      <c r="E27" s="594">
        <v>0</v>
      </c>
      <c r="F27" s="665">
        <v>8.9420000000000002</v>
      </c>
      <c r="G27" s="665">
        <v>59.112000000000002</v>
      </c>
      <c r="H27" s="665">
        <v>0</v>
      </c>
      <c r="I27" s="665">
        <v>0</v>
      </c>
      <c r="J27" s="665">
        <v>0</v>
      </c>
      <c r="K27" s="665">
        <v>0</v>
      </c>
      <c r="L27" s="665">
        <v>0</v>
      </c>
      <c r="M27" s="665">
        <v>0</v>
      </c>
      <c r="N27" s="598">
        <f t="shared" si="0"/>
        <v>147.03800000000001</v>
      </c>
      <c r="O27" s="211"/>
    </row>
    <row r="28" spans="1:15" s="223" customFormat="1" ht="14.9" customHeight="1">
      <c r="A28" s="308" t="s">
        <v>347</v>
      </c>
      <c r="B28" s="593">
        <v>22.978999999999999</v>
      </c>
      <c r="C28" s="594">
        <v>1.4</v>
      </c>
      <c r="D28" s="594">
        <v>1.101</v>
      </c>
      <c r="E28" s="594">
        <v>1.042</v>
      </c>
      <c r="F28" s="665">
        <v>0.94699999999999995</v>
      </c>
      <c r="G28" s="665">
        <v>0.91600000000000004</v>
      </c>
      <c r="H28" s="665">
        <v>-0.193</v>
      </c>
      <c r="I28" s="665">
        <v>0</v>
      </c>
      <c r="J28" s="665">
        <v>0</v>
      </c>
      <c r="K28" s="665">
        <v>0</v>
      </c>
      <c r="L28" s="665">
        <v>0</v>
      </c>
      <c r="M28" s="665">
        <v>0</v>
      </c>
      <c r="N28" s="598">
        <f t="shared" si="0"/>
        <v>28.191999999999997</v>
      </c>
    </row>
    <row r="29" spans="1:15" s="223" customFormat="1" ht="13.5">
      <c r="A29" s="308" t="s">
        <v>266</v>
      </c>
      <c r="B29" s="593">
        <v>8.077</v>
      </c>
      <c r="C29" s="594">
        <v>40.624000000000002</v>
      </c>
      <c r="D29" s="594">
        <v>2.5049999999999999</v>
      </c>
      <c r="E29" s="594">
        <v>10.302</v>
      </c>
      <c r="F29" s="665">
        <v>0.998</v>
      </c>
      <c r="G29" s="665">
        <v>0.20699999999999999</v>
      </c>
      <c r="H29" s="665">
        <v>1.411</v>
      </c>
      <c r="I29" s="665">
        <v>0</v>
      </c>
      <c r="J29" s="665">
        <v>0</v>
      </c>
      <c r="K29" s="665">
        <v>0</v>
      </c>
      <c r="L29" s="665">
        <v>0</v>
      </c>
      <c r="M29" s="665">
        <v>0</v>
      </c>
      <c r="N29" s="598">
        <f t="shared" si="0"/>
        <v>64.123999999999995</v>
      </c>
    </row>
    <row r="30" spans="1:15" s="223" customFormat="1" ht="13.5">
      <c r="A30" s="308" t="s">
        <v>202</v>
      </c>
      <c r="B30" s="593">
        <v>7.1999999999999995E-2</v>
      </c>
      <c r="C30" s="594">
        <v>1.6519999999999999</v>
      </c>
      <c r="D30" s="594">
        <v>0.84399999999999997</v>
      </c>
      <c r="E30" s="594">
        <v>8.3000000000000004E-2</v>
      </c>
      <c r="F30" s="665">
        <v>0.85599999999999998</v>
      </c>
      <c r="G30" s="665">
        <v>1.637</v>
      </c>
      <c r="H30" s="665">
        <v>0.159</v>
      </c>
      <c r="I30" s="665">
        <v>0</v>
      </c>
      <c r="J30" s="665">
        <v>0</v>
      </c>
      <c r="K30" s="665">
        <v>0</v>
      </c>
      <c r="L30" s="665">
        <v>0</v>
      </c>
      <c r="M30" s="665">
        <v>0</v>
      </c>
      <c r="N30" s="598">
        <f t="shared" si="0"/>
        <v>5.3029999999999999</v>
      </c>
    </row>
    <row r="31" spans="1:15" s="223" customFormat="1">
      <c r="A31" s="308" t="s">
        <v>203</v>
      </c>
      <c r="B31" s="593">
        <v>11.85</v>
      </c>
      <c r="C31" s="594">
        <v>31.484999999999999</v>
      </c>
      <c r="D31" s="594">
        <v>36.584000000000003</v>
      </c>
      <c r="E31" s="594">
        <v>25.762</v>
      </c>
      <c r="F31" s="665">
        <v>10.907</v>
      </c>
      <c r="G31" s="665">
        <v>9.8930000000000007</v>
      </c>
      <c r="H31" s="665">
        <v>8.8230000000000004</v>
      </c>
      <c r="I31" s="665">
        <v>0</v>
      </c>
      <c r="J31" s="665">
        <v>0</v>
      </c>
      <c r="K31" s="665">
        <v>0</v>
      </c>
      <c r="L31" s="665">
        <v>0</v>
      </c>
      <c r="M31" s="665">
        <v>0</v>
      </c>
      <c r="N31" s="598">
        <f t="shared" si="0"/>
        <v>135.304</v>
      </c>
    </row>
    <row r="32" spans="1:15" s="223" customFormat="1" ht="13.5">
      <c r="A32" s="308" t="s">
        <v>294</v>
      </c>
      <c r="B32" s="593">
        <v>3.2120000000000002</v>
      </c>
      <c r="C32" s="594">
        <v>-50.23</v>
      </c>
      <c r="D32" s="594">
        <v>-2.1789999999999998</v>
      </c>
      <c r="E32" s="594">
        <v>0</v>
      </c>
      <c r="F32" s="665">
        <v>58.034999999999997</v>
      </c>
      <c r="G32" s="665">
        <v>35.96</v>
      </c>
      <c r="H32" s="665">
        <v>163.94399999999999</v>
      </c>
      <c r="I32" s="665">
        <v>0</v>
      </c>
      <c r="J32" s="665">
        <v>0</v>
      </c>
      <c r="K32" s="665">
        <v>0</v>
      </c>
      <c r="L32" s="665">
        <v>0</v>
      </c>
      <c r="M32" s="665">
        <v>0</v>
      </c>
      <c r="N32" s="598">
        <f t="shared" si="0"/>
        <v>208.74199999999999</v>
      </c>
    </row>
    <row r="33" spans="1:15" s="223" customFormat="1">
      <c r="A33" s="308" t="s">
        <v>267</v>
      </c>
      <c r="B33" s="595">
        <v>0</v>
      </c>
      <c r="C33" s="596">
        <v>544.17999999999995</v>
      </c>
      <c r="D33" s="596">
        <v>285.53699999999998</v>
      </c>
      <c r="E33" s="596">
        <v>285.32600000000002</v>
      </c>
      <c r="F33" s="666">
        <v>185.32599999999999</v>
      </c>
      <c r="G33" s="666">
        <v>235.32599999999999</v>
      </c>
      <c r="H33" s="666">
        <v>248.40199999999999</v>
      </c>
      <c r="I33" s="666">
        <v>0</v>
      </c>
      <c r="J33" s="666">
        <v>0</v>
      </c>
      <c r="K33" s="666">
        <v>0</v>
      </c>
      <c r="L33" s="666">
        <v>0</v>
      </c>
      <c r="M33" s="666">
        <v>0</v>
      </c>
      <c r="N33" s="598">
        <f t="shared" si="0"/>
        <v>1784.097</v>
      </c>
    </row>
    <row r="34" spans="1:15" ht="12" thickBot="1">
      <c r="A34" s="315" t="s">
        <v>204</v>
      </c>
      <c r="B34" s="597">
        <f t="shared" ref="B34:M34" si="1">SUM(B9:B33)</f>
        <v>515.26599999999996</v>
      </c>
      <c r="C34" s="568">
        <f t="shared" si="1"/>
        <v>877.73099999999999</v>
      </c>
      <c r="D34" s="568">
        <f t="shared" si="1"/>
        <v>895.05299999999988</v>
      </c>
      <c r="E34" s="568">
        <f t="shared" si="1"/>
        <v>739.02800000000002</v>
      </c>
      <c r="F34" s="667">
        <f t="shared" si="1"/>
        <v>638.91599999999994</v>
      </c>
      <c r="G34" s="667">
        <f t="shared" si="1"/>
        <v>1299.164</v>
      </c>
      <c r="H34" s="667">
        <f t="shared" si="1"/>
        <v>761.54500000000007</v>
      </c>
      <c r="I34" s="667">
        <f t="shared" si="1"/>
        <v>0</v>
      </c>
      <c r="J34" s="667">
        <f t="shared" si="1"/>
        <v>0</v>
      </c>
      <c r="K34" s="667">
        <f t="shared" si="1"/>
        <v>0</v>
      </c>
      <c r="L34" s="667">
        <f t="shared" si="1"/>
        <v>0</v>
      </c>
      <c r="M34" s="667">
        <f t="shared" si="1"/>
        <v>0</v>
      </c>
      <c r="N34" s="668">
        <f>SUM(N9:N33)</f>
        <v>5726.7029999999995</v>
      </c>
    </row>
    <row r="35" spans="1:15">
      <c r="A35" s="308"/>
      <c r="B35" s="593"/>
      <c r="C35" s="569"/>
      <c r="D35" s="569"/>
      <c r="E35" s="569"/>
      <c r="F35" s="669"/>
      <c r="G35" s="669"/>
      <c r="H35" s="669"/>
      <c r="I35" s="669"/>
      <c r="J35" s="669"/>
      <c r="K35" s="669"/>
      <c r="L35" s="669"/>
      <c r="M35" s="669"/>
      <c r="N35" s="598"/>
    </row>
    <row r="36" spans="1:15" s="223" customFormat="1">
      <c r="A36" s="307" t="s">
        <v>205</v>
      </c>
      <c r="B36" s="593"/>
      <c r="C36" s="569"/>
      <c r="D36" s="569"/>
      <c r="E36" s="569"/>
      <c r="F36" s="669"/>
      <c r="G36" s="669"/>
      <c r="H36" s="669"/>
      <c r="I36" s="669"/>
      <c r="J36" s="669"/>
      <c r="K36" s="669"/>
      <c r="L36" s="669"/>
      <c r="M36" s="669"/>
      <c r="N36" s="598"/>
      <c r="O36" s="211"/>
    </row>
    <row r="37" spans="1:15">
      <c r="A37" s="308" t="s">
        <v>192</v>
      </c>
      <c r="B37" s="594">
        <v>124.98</v>
      </c>
      <c r="C37" s="594">
        <v>0</v>
      </c>
      <c r="D37" s="594">
        <f>124.98-C37-B37</f>
        <v>0</v>
      </c>
      <c r="E37" s="594">
        <v>0</v>
      </c>
      <c r="F37" s="665">
        <v>0</v>
      </c>
      <c r="G37" s="665">
        <v>0</v>
      </c>
      <c r="H37" s="665">
        <v>0.08</v>
      </c>
      <c r="I37" s="665">
        <v>0</v>
      </c>
      <c r="J37" s="665">
        <v>0</v>
      </c>
      <c r="K37" s="665">
        <v>0</v>
      </c>
      <c r="L37" s="665">
        <v>0</v>
      </c>
      <c r="M37" s="665">
        <v>0</v>
      </c>
      <c r="N37" s="598">
        <f t="shared" ref="N37:N48" si="2">SUM(B37:M37)</f>
        <v>125.06</v>
      </c>
    </row>
    <row r="38" spans="1:15" s="213" customFormat="1" ht="14.5">
      <c r="A38" s="309" t="s">
        <v>206</v>
      </c>
      <c r="B38" s="594">
        <v>0.24199999999999999</v>
      </c>
      <c r="C38" s="594">
        <v>0.216</v>
      </c>
      <c r="D38" s="594">
        <f>0.782-C38-B38</f>
        <v>0.32400000000000007</v>
      </c>
      <c r="E38" s="594">
        <v>0</v>
      </c>
      <c r="F38" s="665">
        <v>0.2</v>
      </c>
      <c r="G38" s="665">
        <v>0</v>
      </c>
      <c r="H38" s="665">
        <v>0</v>
      </c>
      <c r="I38" s="665">
        <v>0</v>
      </c>
      <c r="J38" s="665">
        <v>0</v>
      </c>
      <c r="K38" s="665">
        <v>0</v>
      </c>
      <c r="L38" s="665">
        <v>0</v>
      </c>
      <c r="M38" s="665">
        <v>0</v>
      </c>
      <c r="N38" s="598">
        <f t="shared" si="2"/>
        <v>0.98199999999999998</v>
      </c>
    </row>
    <row r="39" spans="1:15" ht="13.5">
      <c r="A39" s="308" t="s">
        <v>310</v>
      </c>
      <c r="B39" s="594">
        <v>18.131</v>
      </c>
      <c r="C39" s="594">
        <v>0</v>
      </c>
      <c r="D39" s="594">
        <f>37.401-C39-B39</f>
        <v>19.270000000000003</v>
      </c>
      <c r="E39" s="594">
        <v>0</v>
      </c>
      <c r="F39" s="665">
        <v>1.9</v>
      </c>
      <c r="G39" s="665">
        <f>2.85-0.783</f>
        <v>2.0670000000000002</v>
      </c>
      <c r="H39" s="665">
        <v>2.75</v>
      </c>
      <c r="I39" s="665">
        <v>0</v>
      </c>
      <c r="J39" s="665">
        <v>0</v>
      </c>
      <c r="K39" s="665">
        <v>0</v>
      </c>
      <c r="L39" s="665">
        <v>0</v>
      </c>
      <c r="M39" s="665">
        <v>0</v>
      </c>
      <c r="N39" s="598">
        <f t="shared" si="2"/>
        <v>44.118000000000002</v>
      </c>
    </row>
    <row r="40" spans="1:15">
      <c r="A40" s="308" t="s">
        <v>207</v>
      </c>
      <c r="B40" s="594">
        <v>0</v>
      </c>
      <c r="C40" s="594">
        <v>0</v>
      </c>
      <c r="D40" s="594">
        <v>0</v>
      </c>
      <c r="E40" s="594">
        <v>3.0630000000000002</v>
      </c>
      <c r="F40" s="665">
        <v>0</v>
      </c>
      <c r="G40" s="665">
        <v>0</v>
      </c>
      <c r="H40" s="665">
        <v>15.327999999999999</v>
      </c>
      <c r="I40" s="665">
        <v>0</v>
      </c>
      <c r="J40" s="665">
        <v>0</v>
      </c>
      <c r="K40" s="665">
        <v>0</v>
      </c>
      <c r="L40" s="665">
        <v>0</v>
      </c>
      <c r="M40" s="665">
        <v>0</v>
      </c>
      <c r="N40" s="598">
        <f t="shared" si="2"/>
        <v>18.390999999999998</v>
      </c>
    </row>
    <row r="41" spans="1:15" ht="13.5">
      <c r="A41" s="308" t="s">
        <v>348</v>
      </c>
      <c r="B41" s="594">
        <v>86.581000000000003</v>
      </c>
      <c r="C41" s="594">
        <v>95.628</v>
      </c>
      <c r="D41" s="594">
        <v>254.01</v>
      </c>
      <c r="E41" s="594">
        <v>11.034000000000001</v>
      </c>
      <c r="F41" s="665">
        <v>-47.726999999999997</v>
      </c>
      <c r="G41" s="665">
        <v>308.97899999999998</v>
      </c>
      <c r="H41" s="665">
        <v>-10.928000000000001</v>
      </c>
      <c r="I41" s="665">
        <v>0</v>
      </c>
      <c r="J41" s="665">
        <v>0</v>
      </c>
      <c r="K41" s="665">
        <v>0</v>
      </c>
      <c r="L41" s="665">
        <v>0</v>
      </c>
      <c r="M41" s="665">
        <v>0</v>
      </c>
      <c r="N41" s="598">
        <f t="shared" si="2"/>
        <v>697.577</v>
      </c>
    </row>
    <row r="42" spans="1:15">
      <c r="A42" s="309" t="s">
        <v>208</v>
      </c>
      <c r="B42" s="594">
        <v>18.05</v>
      </c>
      <c r="C42" s="594">
        <v>15.7</v>
      </c>
      <c r="D42" s="594">
        <f>49.05-C42-B42</f>
        <v>15.299999999999994</v>
      </c>
      <c r="E42" s="594">
        <v>20.05</v>
      </c>
      <c r="F42" s="665">
        <v>5.5</v>
      </c>
      <c r="G42" s="665">
        <v>13.75</v>
      </c>
      <c r="H42" s="665">
        <v>15.45</v>
      </c>
      <c r="I42" s="665">
        <v>0</v>
      </c>
      <c r="J42" s="665">
        <v>0</v>
      </c>
      <c r="K42" s="665">
        <v>0</v>
      </c>
      <c r="L42" s="665">
        <v>0</v>
      </c>
      <c r="M42" s="665">
        <v>0</v>
      </c>
      <c r="N42" s="598">
        <f t="shared" si="2"/>
        <v>103.8</v>
      </c>
    </row>
    <row r="43" spans="1:15">
      <c r="A43" s="308" t="s">
        <v>161</v>
      </c>
      <c r="B43" s="594">
        <v>0</v>
      </c>
      <c r="C43" s="594">
        <v>0</v>
      </c>
      <c r="D43" s="594">
        <f>0.276-C43-B43</f>
        <v>0.27600000000000002</v>
      </c>
      <c r="E43" s="594">
        <v>0</v>
      </c>
      <c r="F43" s="665">
        <v>0</v>
      </c>
      <c r="G43" s="665">
        <v>0</v>
      </c>
      <c r="H43" s="665">
        <v>0</v>
      </c>
      <c r="I43" s="665">
        <v>0</v>
      </c>
      <c r="J43" s="665">
        <v>0</v>
      </c>
      <c r="K43" s="665">
        <v>0</v>
      </c>
      <c r="L43" s="665">
        <v>0</v>
      </c>
      <c r="M43" s="665">
        <v>0</v>
      </c>
      <c r="N43" s="598">
        <f t="shared" si="2"/>
        <v>0.27600000000000002</v>
      </c>
    </row>
    <row r="44" spans="1:15">
      <c r="A44" s="308" t="s">
        <v>199</v>
      </c>
      <c r="B44" s="594">
        <v>0</v>
      </c>
      <c r="C44" s="594">
        <v>0</v>
      </c>
      <c r="D44" s="594">
        <v>0</v>
      </c>
      <c r="E44" s="594">
        <v>0</v>
      </c>
      <c r="F44" s="665">
        <v>0</v>
      </c>
      <c r="G44" s="665">
        <v>0</v>
      </c>
      <c r="H44" s="665">
        <v>0</v>
      </c>
      <c r="I44" s="665">
        <v>0</v>
      </c>
      <c r="J44" s="665">
        <v>0</v>
      </c>
      <c r="K44" s="665">
        <v>0</v>
      </c>
      <c r="L44" s="665">
        <v>0</v>
      </c>
      <c r="M44" s="665">
        <v>0</v>
      </c>
      <c r="N44" s="598">
        <f t="shared" si="2"/>
        <v>0</v>
      </c>
    </row>
    <row r="45" spans="1:15">
      <c r="A45" s="407" t="s">
        <v>209</v>
      </c>
      <c r="B45" s="594">
        <v>0</v>
      </c>
      <c r="C45" s="594">
        <v>0</v>
      </c>
      <c r="D45" s="594">
        <v>0</v>
      </c>
      <c r="E45" s="594">
        <v>0</v>
      </c>
      <c r="F45" s="665">
        <v>0</v>
      </c>
      <c r="G45" s="665">
        <v>0</v>
      </c>
      <c r="H45" s="665">
        <v>0</v>
      </c>
      <c r="I45" s="665">
        <v>0</v>
      </c>
      <c r="J45" s="665">
        <v>0</v>
      </c>
      <c r="K45" s="665">
        <v>0</v>
      </c>
      <c r="L45" s="665">
        <v>0</v>
      </c>
      <c r="M45" s="665">
        <v>0</v>
      </c>
      <c r="N45" s="598">
        <f t="shared" si="2"/>
        <v>0</v>
      </c>
    </row>
    <row r="46" spans="1:15" ht="13.5">
      <c r="A46" s="407" t="s">
        <v>309</v>
      </c>
      <c r="B46" s="594">
        <v>0</v>
      </c>
      <c r="C46" s="594">
        <v>0</v>
      </c>
      <c r="D46" s="594">
        <v>0</v>
      </c>
      <c r="E46" s="594">
        <v>0</v>
      </c>
      <c r="F46" s="665">
        <v>0.54</v>
      </c>
      <c r="G46" s="665">
        <v>0</v>
      </c>
      <c r="H46" s="665">
        <v>-0.54</v>
      </c>
      <c r="I46" s="665">
        <v>0</v>
      </c>
      <c r="J46" s="665">
        <v>0</v>
      </c>
      <c r="K46" s="665">
        <v>0</v>
      </c>
      <c r="L46" s="665">
        <v>0</v>
      </c>
      <c r="M46" s="665">
        <v>0</v>
      </c>
      <c r="N46" s="598">
        <f t="shared" si="2"/>
        <v>0</v>
      </c>
    </row>
    <row r="47" spans="1:15" s="645" customFormat="1" ht="13.5">
      <c r="A47" s="646" t="s">
        <v>333</v>
      </c>
      <c r="B47" s="648">
        <v>0</v>
      </c>
      <c r="C47" s="648">
        <v>0</v>
      </c>
      <c r="D47" s="648">
        <v>0</v>
      </c>
      <c r="E47" s="648">
        <v>0</v>
      </c>
      <c r="F47" s="665">
        <v>0</v>
      </c>
      <c r="G47" s="665">
        <v>-0.54</v>
      </c>
      <c r="H47" s="665">
        <v>0.54</v>
      </c>
      <c r="I47" s="665">
        <v>0</v>
      </c>
      <c r="J47" s="665">
        <v>0</v>
      </c>
      <c r="K47" s="665">
        <v>0</v>
      </c>
      <c r="L47" s="665">
        <v>0</v>
      </c>
      <c r="M47" s="665">
        <v>0</v>
      </c>
      <c r="N47" s="598">
        <f t="shared" si="2"/>
        <v>0</v>
      </c>
    </row>
    <row r="48" spans="1:15">
      <c r="A48" s="308" t="s">
        <v>210</v>
      </c>
      <c r="B48" s="596">
        <v>0</v>
      </c>
      <c r="C48" s="596">
        <v>0</v>
      </c>
      <c r="D48" s="596">
        <v>0</v>
      </c>
      <c r="E48" s="596">
        <v>0</v>
      </c>
      <c r="F48" s="666">
        <v>0</v>
      </c>
      <c r="G48" s="666">
        <v>0</v>
      </c>
      <c r="H48" s="666">
        <v>0</v>
      </c>
      <c r="I48" s="666">
        <v>0</v>
      </c>
      <c r="J48" s="666">
        <v>0</v>
      </c>
      <c r="K48" s="666">
        <v>0</v>
      </c>
      <c r="L48" s="666">
        <v>0</v>
      </c>
      <c r="M48" s="666">
        <v>0</v>
      </c>
      <c r="N48" s="598">
        <f t="shared" si="2"/>
        <v>0</v>
      </c>
    </row>
    <row r="49" spans="1:14">
      <c r="A49" s="409" t="s">
        <v>211</v>
      </c>
      <c r="B49" s="570">
        <f t="shared" ref="B49:M49" si="3">SUM(B37:B48)</f>
        <v>247.98400000000004</v>
      </c>
      <c r="C49" s="570">
        <f t="shared" si="3"/>
        <v>111.544</v>
      </c>
      <c r="D49" s="570">
        <f t="shared" si="3"/>
        <v>289.18</v>
      </c>
      <c r="E49" s="570">
        <f t="shared" si="3"/>
        <v>34.147000000000006</v>
      </c>
      <c r="F49" s="670">
        <f t="shared" si="3"/>
        <v>-39.586999999999996</v>
      </c>
      <c r="G49" s="670">
        <f t="shared" si="3"/>
        <v>324.25599999999997</v>
      </c>
      <c r="H49" s="670">
        <f t="shared" si="3"/>
        <v>22.68</v>
      </c>
      <c r="I49" s="670">
        <f t="shared" si="3"/>
        <v>0</v>
      </c>
      <c r="J49" s="670">
        <f t="shared" si="3"/>
        <v>0</v>
      </c>
      <c r="K49" s="670">
        <f t="shared" si="3"/>
        <v>0</v>
      </c>
      <c r="L49" s="670">
        <f t="shared" si="3"/>
        <v>0</v>
      </c>
      <c r="M49" s="670">
        <f t="shared" si="3"/>
        <v>0</v>
      </c>
      <c r="N49" s="668">
        <f>SUM(N37:N48)</f>
        <v>990.20399999999984</v>
      </c>
    </row>
    <row r="50" spans="1:14" ht="20.25" customHeight="1" thickBot="1">
      <c r="A50" s="224" t="s">
        <v>212</v>
      </c>
      <c r="B50" s="599">
        <f t="shared" ref="B50:M50" si="4">B49+B34</f>
        <v>763.25</v>
      </c>
      <c r="C50" s="571">
        <f t="shared" si="4"/>
        <v>989.27499999999998</v>
      </c>
      <c r="D50" s="571">
        <f t="shared" si="4"/>
        <v>1184.2329999999999</v>
      </c>
      <c r="E50" s="571">
        <f t="shared" si="4"/>
        <v>773.17500000000007</v>
      </c>
      <c r="F50" s="671">
        <f t="shared" si="4"/>
        <v>599.32899999999995</v>
      </c>
      <c r="G50" s="671">
        <f t="shared" si="4"/>
        <v>1623.42</v>
      </c>
      <c r="H50" s="671">
        <f t="shared" si="4"/>
        <v>784.22500000000002</v>
      </c>
      <c r="I50" s="671">
        <f t="shared" si="4"/>
        <v>0</v>
      </c>
      <c r="J50" s="671">
        <f t="shared" si="4"/>
        <v>0</v>
      </c>
      <c r="K50" s="671">
        <f t="shared" si="4"/>
        <v>0</v>
      </c>
      <c r="L50" s="671">
        <f t="shared" si="4"/>
        <v>0</v>
      </c>
      <c r="M50" s="671">
        <f t="shared" si="4"/>
        <v>0</v>
      </c>
      <c r="N50" s="672">
        <f>N49+N34</f>
        <v>6716.9069999999992</v>
      </c>
    </row>
    <row r="51" spans="1:14" ht="16.5" customHeight="1">
      <c r="A51" s="225"/>
      <c r="B51" s="568"/>
      <c r="C51" s="568"/>
      <c r="D51" s="568"/>
      <c r="E51" s="568"/>
      <c r="F51" s="667"/>
      <c r="G51" s="667"/>
      <c r="H51" s="667"/>
      <c r="I51" s="667"/>
      <c r="J51" s="673"/>
      <c r="K51" s="667"/>
      <c r="L51" s="667"/>
      <c r="M51" s="667"/>
      <c r="N51" s="674"/>
    </row>
    <row r="52" spans="1:14" s="213" customFormat="1" ht="30.75" customHeight="1" thickBot="1">
      <c r="A52" s="529" t="s">
        <v>213</v>
      </c>
      <c r="B52" s="600">
        <f>B50+0.041</f>
        <v>763.29100000000005</v>
      </c>
      <c r="C52" s="600">
        <f>C50+0.105</f>
        <v>989.38</v>
      </c>
      <c r="D52" s="600">
        <f>D50+0.156</f>
        <v>1184.3889999999999</v>
      </c>
      <c r="E52" s="600">
        <f>E50+0.222</f>
        <v>773.39700000000005</v>
      </c>
      <c r="F52" s="675">
        <f>F50+0.201</f>
        <v>599.53</v>
      </c>
      <c r="G52" s="675">
        <f>G50+0.213</f>
        <v>1623.633</v>
      </c>
      <c r="H52" s="675">
        <f>H50+0.264</f>
        <v>784.48900000000003</v>
      </c>
      <c r="I52" s="675">
        <v>0</v>
      </c>
      <c r="J52" s="675">
        <v>0</v>
      </c>
      <c r="K52" s="675">
        <v>0</v>
      </c>
      <c r="L52" s="675">
        <v>0</v>
      </c>
      <c r="M52" s="675">
        <v>0</v>
      </c>
      <c r="N52" s="676">
        <f>SUM(B52:M52)</f>
        <v>6718.1090000000004</v>
      </c>
    </row>
    <row r="53" spans="1:14" ht="12.75" customHeight="1">
      <c r="A53" s="250"/>
      <c r="B53" s="251"/>
      <c r="C53" s="251"/>
      <c r="D53" s="251"/>
      <c r="E53" s="251"/>
      <c r="F53" s="251"/>
      <c r="G53" s="251"/>
      <c r="H53" s="251"/>
      <c r="I53" s="251"/>
      <c r="J53" s="251"/>
      <c r="K53" s="251"/>
      <c r="L53" s="251"/>
      <c r="M53" s="251"/>
      <c r="N53" s="252"/>
    </row>
    <row r="54" spans="1:14" ht="12.75" customHeight="1">
      <c r="A54" s="416" t="s">
        <v>81</v>
      </c>
      <c r="B54" s="251"/>
      <c r="C54" s="251"/>
      <c r="D54" s="251"/>
      <c r="E54" s="251"/>
      <c r="F54" s="251"/>
      <c r="G54" s="251"/>
      <c r="H54" s="251"/>
      <c r="I54" s="251"/>
      <c r="J54" s="251"/>
      <c r="K54" s="251"/>
      <c r="L54" s="251"/>
      <c r="M54" s="251"/>
      <c r="N54" s="252"/>
    </row>
    <row r="55" spans="1:14" s="223" customFormat="1" ht="14.5">
      <c r="A55" s="561" t="s">
        <v>296</v>
      </c>
      <c r="G55" s="222"/>
      <c r="H55" s="222"/>
      <c r="J55" s="276"/>
    </row>
    <row r="56" spans="1:14" s="223" customFormat="1" ht="16.5" customHeight="1">
      <c r="A56" s="562" t="s">
        <v>297</v>
      </c>
      <c r="G56" s="222"/>
      <c r="H56" s="222"/>
      <c r="J56" s="276"/>
    </row>
    <row r="57" spans="1:14" s="223" customFormat="1" ht="16.5" customHeight="1">
      <c r="A57" s="562" t="s">
        <v>301</v>
      </c>
      <c r="G57" s="222"/>
      <c r="H57" s="222"/>
      <c r="J57" s="276"/>
    </row>
    <row r="58" spans="1:14" s="449" customFormat="1" ht="15">
      <c r="A58" s="562" t="s">
        <v>365</v>
      </c>
      <c r="B58" s="562"/>
      <c r="C58" s="562"/>
      <c r="D58" s="562"/>
      <c r="J58" s="450"/>
    </row>
    <row r="59" spans="1:14" ht="14.5">
      <c r="A59" s="562" t="s">
        <v>311</v>
      </c>
      <c r="B59" s="130"/>
      <c r="C59" s="130"/>
      <c r="D59" s="130"/>
      <c r="E59" s="130"/>
      <c r="F59" s="130"/>
    </row>
    <row r="60" spans="1:14" s="213" customFormat="1" ht="14.5">
      <c r="A60" s="631" t="s">
        <v>312</v>
      </c>
      <c r="B60" s="197"/>
      <c r="C60" s="197"/>
      <c r="D60" s="197"/>
      <c r="E60" s="197"/>
      <c r="F60" s="197"/>
      <c r="J60" s="451"/>
    </row>
    <row r="61" spans="1:14" ht="14.5">
      <c r="A61" s="649" t="s">
        <v>334</v>
      </c>
    </row>
    <row r="62" spans="1:14" ht="14.5">
      <c r="A62" s="649" t="s">
        <v>356</v>
      </c>
    </row>
    <row r="63" spans="1:14" ht="14.5">
      <c r="A63" s="649" t="s">
        <v>357</v>
      </c>
    </row>
    <row r="67" spans="1:1" ht="14">
      <c r="A67" s="235" t="s">
        <v>64</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130" zoomScaleNormal="130" zoomScaleSheetLayoutView="75" workbookViewId="0">
      <selection activeCell="K48" sqref="K48"/>
    </sheetView>
  </sheetViews>
  <sheetFormatPr defaultColWidth="9.26953125" defaultRowHeight="12.5"/>
  <cols>
    <col min="1" max="1" width="39.453125" style="16" customWidth="1"/>
    <col min="2" max="13" width="11" style="16" customWidth="1"/>
    <col min="14" max="14" width="15.7265625" style="16" bestFit="1" customWidth="1"/>
    <col min="15" max="15" width="9.7265625" style="16" bestFit="1" customWidth="1"/>
    <col min="16" max="16" width="9.26953125" style="16"/>
    <col min="17" max="17" width="22.26953125" style="16" customWidth="1"/>
    <col min="18" max="16384" width="9.26953125" style="16"/>
  </cols>
  <sheetData>
    <row r="2" spans="1:14" ht="13">
      <c r="E2" s="148" t="s">
        <v>39</v>
      </c>
    </row>
    <row r="3" spans="1:14" ht="13">
      <c r="C3" s="160"/>
      <c r="D3" s="160"/>
      <c r="E3" s="161" t="s">
        <v>214</v>
      </c>
      <c r="F3" s="160"/>
      <c r="G3" s="160"/>
    </row>
    <row r="4" spans="1:14" ht="13">
      <c r="A4" s="22"/>
      <c r="D4" s="160"/>
      <c r="E4" s="151" t="str">
        <f>'Program MW '!H3</f>
        <v>July 2021</v>
      </c>
      <c r="F4" s="160"/>
    </row>
    <row r="5" spans="1:14" ht="13">
      <c r="A5" s="410"/>
      <c r="E5" s="151"/>
    </row>
    <row r="6" spans="1:14" ht="13.5" thickBot="1">
      <c r="A6" s="22"/>
      <c r="E6" s="151"/>
    </row>
    <row r="7" spans="1:14" ht="32.25" customHeight="1">
      <c r="A7" s="23" t="s">
        <v>189</v>
      </c>
      <c r="B7" s="24" t="s">
        <v>41</v>
      </c>
      <c r="C7" s="24" t="s">
        <v>42</v>
      </c>
      <c r="D7" s="24" t="s">
        <v>43</v>
      </c>
      <c r="E7" s="24" t="s">
        <v>44</v>
      </c>
      <c r="F7" s="24" t="s">
        <v>31</v>
      </c>
      <c r="G7" s="24" t="s">
        <v>45</v>
      </c>
      <c r="H7" s="24" t="s">
        <v>59</v>
      </c>
      <c r="I7" s="24" t="s">
        <v>66</v>
      </c>
      <c r="J7" s="24" t="s">
        <v>67</v>
      </c>
      <c r="K7" s="24" t="s">
        <v>61</v>
      </c>
      <c r="L7" s="24" t="s">
        <v>68</v>
      </c>
      <c r="M7" s="24" t="s">
        <v>62</v>
      </c>
      <c r="N7" s="452" t="s">
        <v>215</v>
      </c>
    </row>
    <row r="8" spans="1:14" ht="16.5">
      <c r="A8" s="25" t="s">
        <v>216</v>
      </c>
      <c r="N8" s="318"/>
    </row>
    <row r="9" spans="1:14" ht="6" customHeight="1">
      <c r="A9" s="26"/>
      <c r="N9" s="318"/>
    </row>
    <row r="10" spans="1:14" ht="13">
      <c r="A10" s="26" t="s">
        <v>191</v>
      </c>
      <c r="N10" s="318"/>
    </row>
    <row r="11" spans="1:14" ht="14.25" customHeight="1">
      <c r="A11" s="27" t="s">
        <v>349</v>
      </c>
      <c r="B11" s="578">
        <v>2.012</v>
      </c>
      <c r="C11" s="578">
        <v>2.2959999999999998</v>
      </c>
      <c r="D11" s="578">
        <v>3.0379999999999998</v>
      </c>
      <c r="E11" s="578">
        <v>4.9740000000000002</v>
      </c>
      <c r="F11" s="578">
        <v>4.1189999999999998</v>
      </c>
      <c r="G11" s="578">
        <v>6.4640000000000004</v>
      </c>
      <c r="H11" s="578">
        <v>-1.4610000000000001</v>
      </c>
      <c r="I11" s="578">
        <v>0</v>
      </c>
      <c r="J11" s="578">
        <v>0</v>
      </c>
      <c r="K11" s="578">
        <v>0</v>
      </c>
      <c r="L11" s="578">
        <v>0</v>
      </c>
      <c r="M11" s="578">
        <v>0</v>
      </c>
      <c r="N11" s="574">
        <f>SUM(B11:M11)</f>
        <v>21.442</v>
      </c>
    </row>
    <row r="12" spans="1:14">
      <c r="A12" s="27" t="s">
        <v>93</v>
      </c>
      <c r="B12" s="578">
        <v>0</v>
      </c>
      <c r="C12" s="578">
        <v>0</v>
      </c>
      <c r="D12" s="578">
        <v>0</v>
      </c>
      <c r="E12" s="578">
        <v>0</v>
      </c>
      <c r="F12" s="578">
        <v>0</v>
      </c>
      <c r="G12" s="578">
        <v>0</v>
      </c>
      <c r="H12" s="578">
        <v>0</v>
      </c>
      <c r="I12" s="578">
        <v>0</v>
      </c>
      <c r="J12" s="578">
        <v>0</v>
      </c>
      <c r="K12" s="578">
        <v>0</v>
      </c>
      <c r="L12" s="578">
        <v>0</v>
      </c>
      <c r="M12" s="578">
        <v>0</v>
      </c>
      <c r="N12" s="574">
        <f>SUM(B12:M12)</f>
        <v>0</v>
      </c>
    </row>
    <row r="13" spans="1:14">
      <c r="A13" s="27" t="s">
        <v>217</v>
      </c>
      <c r="B13" s="578">
        <v>0</v>
      </c>
      <c r="C13" s="578">
        <v>0</v>
      </c>
      <c r="D13" s="578">
        <v>0</v>
      </c>
      <c r="E13" s="578">
        <v>0</v>
      </c>
      <c r="F13" s="578">
        <v>0</v>
      </c>
      <c r="G13" s="578">
        <v>0</v>
      </c>
      <c r="H13" s="578">
        <v>0</v>
      </c>
      <c r="I13" s="578">
        <v>0</v>
      </c>
      <c r="J13" s="578">
        <v>0</v>
      </c>
      <c r="K13" s="578">
        <v>0</v>
      </c>
      <c r="L13" s="578">
        <v>0</v>
      </c>
      <c r="M13" s="578">
        <v>0</v>
      </c>
      <c r="N13" s="574">
        <f>SUM(B13:M13)</f>
        <v>0</v>
      </c>
    </row>
    <row r="14" spans="1:14" ht="13">
      <c r="A14" s="20" t="s">
        <v>218</v>
      </c>
      <c r="B14" s="576">
        <f t="shared" ref="B14:M14" si="0">SUM(B11:B13)</f>
        <v>2.012</v>
      </c>
      <c r="C14" s="576">
        <f t="shared" si="0"/>
        <v>2.2959999999999998</v>
      </c>
      <c r="D14" s="576">
        <f t="shared" si="0"/>
        <v>3.0379999999999998</v>
      </c>
      <c r="E14" s="576">
        <f t="shared" si="0"/>
        <v>4.9740000000000002</v>
      </c>
      <c r="F14" s="576">
        <f t="shared" si="0"/>
        <v>4.1189999999999998</v>
      </c>
      <c r="G14" s="576">
        <f t="shared" si="0"/>
        <v>6.4640000000000004</v>
      </c>
      <c r="H14" s="576">
        <f t="shared" si="0"/>
        <v>-1.4610000000000001</v>
      </c>
      <c r="I14" s="576">
        <f t="shared" si="0"/>
        <v>0</v>
      </c>
      <c r="J14" s="576">
        <f t="shared" si="0"/>
        <v>0</v>
      </c>
      <c r="K14" s="576">
        <f t="shared" si="0"/>
        <v>0</v>
      </c>
      <c r="L14" s="576">
        <f t="shared" si="0"/>
        <v>0</v>
      </c>
      <c r="M14" s="576">
        <f t="shared" si="0"/>
        <v>0</v>
      </c>
      <c r="N14" s="577">
        <f>SUM(B14:M14)</f>
        <v>21.442</v>
      </c>
    </row>
    <row r="15" spans="1:14">
      <c r="A15" s="27"/>
      <c r="B15" s="578"/>
      <c r="C15" s="578"/>
      <c r="D15" s="578"/>
      <c r="E15" s="578"/>
      <c r="F15" s="578"/>
      <c r="G15" s="578"/>
      <c r="H15" s="578"/>
      <c r="I15" s="578"/>
      <c r="J15" s="578"/>
      <c r="K15" s="578"/>
      <c r="L15" s="578"/>
      <c r="M15" s="578"/>
      <c r="N15" s="574"/>
    </row>
    <row r="16" spans="1:14" ht="13">
      <c r="A16" s="26" t="s">
        <v>219</v>
      </c>
      <c r="B16" s="578"/>
      <c r="C16" s="578"/>
      <c r="D16" s="578"/>
      <c r="E16" s="578"/>
      <c r="F16" s="578"/>
      <c r="G16" s="578"/>
      <c r="H16" s="578"/>
      <c r="I16" s="578"/>
      <c r="J16" s="578"/>
      <c r="K16" s="578"/>
      <c r="L16" s="578"/>
      <c r="M16" s="578"/>
      <c r="N16" s="574"/>
    </row>
    <row r="17" spans="1:19" ht="15">
      <c r="A17" s="27" t="s">
        <v>220</v>
      </c>
      <c r="B17" s="578">
        <v>0</v>
      </c>
      <c r="C17" s="578">
        <v>0</v>
      </c>
      <c r="D17" s="578">
        <v>0</v>
      </c>
      <c r="E17" s="578">
        <v>0</v>
      </c>
      <c r="F17" s="578">
        <v>0</v>
      </c>
      <c r="G17" s="578">
        <v>0</v>
      </c>
      <c r="H17" s="579">
        <v>0</v>
      </c>
      <c r="I17" s="579">
        <v>0</v>
      </c>
      <c r="J17" s="579">
        <v>0</v>
      </c>
      <c r="K17" s="579">
        <v>0</v>
      </c>
      <c r="L17" s="579">
        <v>0</v>
      </c>
      <c r="M17" s="579">
        <v>0</v>
      </c>
      <c r="N17" s="574">
        <f>SUM(B17:M17)</f>
        <v>0</v>
      </c>
    </row>
    <row r="18" spans="1:19" ht="13">
      <c r="A18" s="20" t="s">
        <v>221</v>
      </c>
      <c r="B18" s="576">
        <f t="shared" ref="B18:M18" si="1">SUM(B17:B17)</f>
        <v>0</v>
      </c>
      <c r="C18" s="576">
        <f t="shared" si="1"/>
        <v>0</v>
      </c>
      <c r="D18" s="576">
        <f t="shared" si="1"/>
        <v>0</v>
      </c>
      <c r="E18" s="576">
        <f t="shared" si="1"/>
        <v>0</v>
      </c>
      <c r="F18" s="576">
        <f t="shared" si="1"/>
        <v>0</v>
      </c>
      <c r="G18" s="576">
        <f t="shared" si="1"/>
        <v>0</v>
      </c>
      <c r="H18" s="576">
        <f t="shared" si="1"/>
        <v>0</v>
      </c>
      <c r="I18" s="576">
        <f t="shared" si="1"/>
        <v>0</v>
      </c>
      <c r="J18" s="576">
        <f t="shared" si="1"/>
        <v>0</v>
      </c>
      <c r="K18" s="576">
        <f t="shared" si="1"/>
        <v>0</v>
      </c>
      <c r="L18" s="576">
        <f t="shared" si="1"/>
        <v>0</v>
      </c>
      <c r="M18" s="576">
        <f t="shared" si="1"/>
        <v>0</v>
      </c>
      <c r="N18" s="577">
        <f>SUM(B18:M18)</f>
        <v>0</v>
      </c>
    </row>
    <row r="19" spans="1:19" ht="13">
      <c r="A19" s="29"/>
      <c r="B19" s="578"/>
      <c r="C19" s="578"/>
      <c r="D19" s="578"/>
      <c r="E19" s="578"/>
      <c r="F19" s="578"/>
      <c r="G19" s="578"/>
      <c r="H19" s="578"/>
      <c r="I19" s="578"/>
      <c r="J19" s="578"/>
      <c r="K19" s="578"/>
      <c r="L19" s="578"/>
      <c r="M19" s="578"/>
      <c r="N19" s="574"/>
    </row>
    <row r="20" spans="1:19" ht="13">
      <c r="A20" s="26" t="s">
        <v>222</v>
      </c>
      <c r="B20" s="578" t="s">
        <v>56</v>
      </c>
      <c r="C20" s="578" t="s">
        <v>56</v>
      </c>
      <c r="D20" s="578" t="s">
        <v>56</v>
      </c>
      <c r="E20" s="578"/>
      <c r="F20" s="578" t="s">
        <v>56</v>
      </c>
      <c r="G20" s="578"/>
      <c r="H20" s="578" t="s">
        <v>56</v>
      </c>
      <c r="I20" s="578" t="s">
        <v>56</v>
      </c>
      <c r="J20" s="578" t="s">
        <v>56</v>
      </c>
      <c r="K20" s="578" t="s">
        <v>56</v>
      </c>
      <c r="L20" s="578" t="s">
        <v>56</v>
      </c>
      <c r="M20" s="578" t="s">
        <v>56</v>
      </c>
      <c r="N20" s="574" t="s">
        <v>56</v>
      </c>
    </row>
    <row r="21" spans="1:19">
      <c r="A21" s="27" t="s">
        <v>223</v>
      </c>
      <c r="B21" s="578">
        <v>0</v>
      </c>
      <c r="C21" s="578">
        <v>0</v>
      </c>
      <c r="D21" s="578">
        <v>0</v>
      </c>
      <c r="E21" s="578">
        <v>0</v>
      </c>
      <c r="F21" s="578">
        <v>0</v>
      </c>
      <c r="G21" s="578">
        <v>0</v>
      </c>
      <c r="H21" s="579">
        <v>0</v>
      </c>
      <c r="I21" s="579">
        <v>0</v>
      </c>
      <c r="J21" s="579">
        <v>0</v>
      </c>
      <c r="K21" s="579">
        <v>0</v>
      </c>
      <c r="L21" s="579">
        <v>0</v>
      </c>
      <c r="M21" s="579">
        <v>0</v>
      </c>
      <c r="N21" s="574">
        <f>SUM(B21:M21)</f>
        <v>0</v>
      </c>
    </row>
    <row r="22" spans="1:19" ht="13">
      <c r="A22" s="207" t="s">
        <v>224</v>
      </c>
      <c r="B22" s="576">
        <f t="shared" ref="B22:M22" si="2">SUM(B21:B21)</f>
        <v>0</v>
      </c>
      <c r="C22" s="576">
        <f t="shared" si="2"/>
        <v>0</v>
      </c>
      <c r="D22" s="576">
        <f t="shared" si="2"/>
        <v>0</v>
      </c>
      <c r="E22" s="576">
        <f t="shared" si="2"/>
        <v>0</v>
      </c>
      <c r="F22" s="576">
        <f t="shared" si="2"/>
        <v>0</v>
      </c>
      <c r="G22" s="576">
        <f t="shared" si="2"/>
        <v>0</v>
      </c>
      <c r="H22" s="576">
        <f t="shared" si="2"/>
        <v>0</v>
      </c>
      <c r="I22" s="576">
        <f t="shared" si="2"/>
        <v>0</v>
      </c>
      <c r="J22" s="576">
        <f t="shared" si="2"/>
        <v>0</v>
      </c>
      <c r="K22" s="576">
        <f t="shared" si="2"/>
        <v>0</v>
      </c>
      <c r="L22" s="576">
        <f t="shared" si="2"/>
        <v>0</v>
      </c>
      <c r="M22" s="576">
        <f t="shared" si="2"/>
        <v>0</v>
      </c>
      <c r="N22" s="577">
        <f>SUM(B22:M22)</f>
        <v>0</v>
      </c>
    </row>
    <row r="23" spans="1:19" ht="13">
      <c r="A23" s="31"/>
      <c r="B23" s="578"/>
      <c r="C23" s="578"/>
      <c r="D23" s="578"/>
      <c r="E23" s="578"/>
      <c r="F23" s="578"/>
      <c r="G23" s="581"/>
      <c r="H23" s="578"/>
      <c r="I23" s="581"/>
      <c r="J23" s="578"/>
      <c r="K23" s="578"/>
      <c r="L23" s="581"/>
      <c r="M23" s="578"/>
      <c r="N23" s="574"/>
    </row>
    <row r="24" spans="1:19" ht="13">
      <c r="A24" s="32" t="s">
        <v>205</v>
      </c>
      <c r="B24" s="578"/>
      <c r="C24" s="578"/>
      <c r="D24" s="578"/>
      <c r="E24" s="578"/>
      <c r="F24" s="578"/>
      <c r="G24" s="578"/>
      <c r="H24" s="578"/>
      <c r="I24" s="578"/>
      <c r="J24" s="578"/>
      <c r="K24" s="578"/>
      <c r="L24" s="578"/>
      <c r="M24" s="578"/>
      <c r="N24" s="574"/>
    </row>
    <row r="25" spans="1:19">
      <c r="A25" s="27" t="s">
        <v>92</v>
      </c>
      <c r="B25" s="578">
        <v>0</v>
      </c>
      <c r="C25" s="578">
        <v>0</v>
      </c>
      <c r="D25" s="578">
        <v>0</v>
      </c>
      <c r="E25" s="578">
        <v>0</v>
      </c>
      <c r="F25" s="578">
        <v>0</v>
      </c>
      <c r="G25" s="578">
        <v>0</v>
      </c>
      <c r="H25" s="579">
        <v>0</v>
      </c>
      <c r="I25" s="579">
        <v>0</v>
      </c>
      <c r="J25" s="579">
        <v>0</v>
      </c>
      <c r="K25" s="579">
        <v>0</v>
      </c>
      <c r="L25" s="579">
        <v>0</v>
      </c>
      <c r="M25" s="579">
        <v>0</v>
      </c>
      <c r="N25" s="574">
        <f>SUM(B25:M25)</f>
        <v>0</v>
      </c>
    </row>
    <row r="26" spans="1:19">
      <c r="A26" s="27" t="s">
        <v>93</v>
      </c>
      <c r="B26" s="578">
        <v>0</v>
      </c>
      <c r="C26" s="578">
        <v>0</v>
      </c>
      <c r="D26" s="578">
        <v>0</v>
      </c>
      <c r="E26" s="578">
        <v>0</v>
      </c>
      <c r="F26" s="578">
        <v>0</v>
      </c>
      <c r="G26" s="578">
        <v>0</v>
      </c>
      <c r="H26" s="579">
        <v>0</v>
      </c>
      <c r="I26" s="579">
        <v>0</v>
      </c>
      <c r="J26" s="579">
        <v>0</v>
      </c>
      <c r="K26" s="579">
        <v>0</v>
      </c>
      <c r="L26" s="579">
        <v>0</v>
      </c>
      <c r="M26" s="579">
        <v>0</v>
      </c>
      <c r="N26" s="574">
        <f>SUM(B26:M26)</f>
        <v>0</v>
      </c>
    </row>
    <row r="27" spans="1:19">
      <c r="A27" s="27" t="s">
        <v>217</v>
      </c>
      <c r="B27" s="578">
        <v>0</v>
      </c>
      <c r="C27" s="578">
        <v>0</v>
      </c>
      <c r="D27" s="578">
        <v>0</v>
      </c>
      <c r="E27" s="578">
        <v>0</v>
      </c>
      <c r="F27" s="578">
        <v>0</v>
      </c>
      <c r="G27" s="578">
        <v>0</v>
      </c>
      <c r="H27" s="579">
        <v>0</v>
      </c>
      <c r="I27" s="579">
        <v>0</v>
      </c>
      <c r="J27" s="579">
        <v>0</v>
      </c>
      <c r="K27" s="579">
        <v>0</v>
      </c>
      <c r="L27" s="579">
        <v>0</v>
      </c>
      <c r="M27" s="582">
        <v>0</v>
      </c>
      <c r="N27" s="574">
        <f>SUM(B27:M27)</f>
        <v>0</v>
      </c>
    </row>
    <row r="28" spans="1:19" ht="13">
      <c r="A28" s="33" t="s">
        <v>211</v>
      </c>
      <c r="B28" s="576">
        <f t="shared" ref="B28:H28" si="3">SUM(B25:B27)</f>
        <v>0</v>
      </c>
      <c r="C28" s="576">
        <f t="shared" si="3"/>
        <v>0</v>
      </c>
      <c r="D28" s="576">
        <f t="shared" si="3"/>
        <v>0</v>
      </c>
      <c r="E28" s="576">
        <f t="shared" si="3"/>
        <v>0</v>
      </c>
      <c r="F28" s="576">
        <f t="shared" si="3"/>
        <v>0</v>
      </c>
      <c r="G28" s="576">
        <f t="shared" si="3"/>
        <v>0</v>
      </c>
      <c r="H28" s="576">
        <f t="shared" si="3"/>
        <v>0</v>
      </c>
      <c r="I28" s="576">
        <f>SUM(I24:I27)</f>
        <v>0</v>
      </c>
      <c r="J28" s="576">
        <f>SUM(J25:J27)</f>
        <v>0</v>
      </c>
      <c r="K28" s="576">
        <f>SUM(K25:K27)</f>
        <v>0</v>
      </c>
      <c r="L28" s="576">
        <f>SUM(L25:L27)</f>
        <v>0</v>
      </c>
      <c r="M28" s="576">
        <f>SUM(M25:M27)</f>
        <v>0</v>
      </c>
      <c r="N28" s="577">
        <f>SUM(B28:M28)</f>
        <v>0</v>
      </c>
      <c r="O28" s="28"/>
    </row>
    <row r="29" spans="1:19" ht="10.5" customHeight="1">
      <c r="A29" s="34"/>
      <c r="B29" s="581"/>
      <c r="C29" s="581"/>
      <c r="D29" s="581"/>
      <c r="E29" s="581"/>
      <c r="F29" s="581"/>
      <c r="G29" s="581"/>
      <c r="H29" s="581"/>
      <c r="I29" s="581"/>
      <c r="J29" s="581"/>
      <c r="K29" s="581"/>
      <c r="L29" s="581"/>
      <c r="M29" s="581"/>
      <c r="N29" s="584"/>
    </row>
    <row r="30" spans="1:19" ht="15" customHeight="1">
      <c r="A30" s="20" t="s">
        <v>225</v>
      </c>
      <c r="B30" s="586">
        <v>0</v>
      </c>
      <c r="C30" s="586">
        <v>0</v>
      </c>
      <c r="D30" s="586">
        <v>0</v>
      </c>
      <c r="E30" s="586">
        <v>0</v>
      </c>
      <c r="F30" s="586">
        <v>0</v>
      </c>
      <c r="G30" s="586">
        <v>0</v>
      </c>
      <c r="H30" s="586">
        <v>0</v>
      </c>
      <c r="I30" s="586">
        <v>0</v>
      </c>
      <c r="J30" s="576">
        <v>0</v>
      </c>
      <c r="K30" s="576">
        <v>0</v>
      </c>
      <c r="L30" s="586">
        <v>0</v>
      </c>
      <c r="M30" s="586">
        <v>0</v>
      </c>
      <c r="N30" s="587">
        <f>SUM(B30:M30)</f>
        <v>0</v>
      </c>
      <c r="O30" s="30"/>
      <c r="P30" s="30"/>
      <c r="Q30" s="30"/>
      <c r="R30" s="30"/>
      <c r="S30" s="35"/>
    </row>
    <row r="31" spans="1:19" ht="28.5" customHeight="1" thickBot="1">
      <c r="A31" s="21" t="s">
        <v>226</v>
      </c>
      <c r="B31" s="588">
        <f t="shared" ref="B31:M31" si="4">B14+B18+B22+B28+B30</f>
        <v>2.012</v>
      </c>
      <c r="C31" s="588">
        <f t="shared" si="4"/>
        <v>2.2959999999999998</v>
      </c>
      <c r="D31" s="588">
        <f t="shared" si="4"/>
        <v>3.0379999999999998</v>
      </c>
      <c r="E31" s="588">
        <f t="shared" si="4"/>
        <v>4.9740000000000002</v>
      </c>
      <c r="F31" s="588">
        <f t="shared" si="4"/>
        <v>4.1189999999999998</v>
      </c>
      <c r="G31" s="588">
        <f t="shared" si="4"/>
        <v>6.4640000000000004</v>
      </c>
      <c r="H31" s="588">
        <f t="shared" si="4"/>
        <v>-1.4610000000000001</v>
      </c>
      <c r="I31" s="588">
        <f t="shared" si="4"/>
        <v>0</v>
      </c>
      <c r="J31" s="588">
        <f t="shared" si="4"/>
        <v>0</v>
      </c>
      <c r="K31" s="588">
        <f t="shared" si="4"/>
        <v>0</v>
      </c>
      <c r="L31" s="588">
        <f t="shared" si="4"/>
        <v>0</v>
      </c>
      <c r="M31" s="588">
        <f t="shared" si="4"/>
        <v>0</v>
      </c>
      <c r="N31" s="589">
        <f>SUM(B31:M31)</f>
        <v>21.442</v>
      </c>
      <c r="O31" s="28"/>
    </row>
    <row r="32" spans="1:19" ht="12" customHeight="1">
      <c r="A32" s="36"/>
      <c r="B32" s="37"/>
      <c r="C32" s="37"/>
      <c r="D32" s="236"/>
      <c r="E32" s="37"/>
      <c r="F32" s="37"/>
      <c r="G32" s="37"/>
      <c r="H32" s="37"/>
      <c r="I32" s="236"/>
      <c r="J32" s="236"/>
      <c r="K32" s="236"/>
      <c r="L32" s="236"/>
      <c r="M32" s="236"/>
      <c r="N32" s="37"/>
    </row>
    <row r="33" spans="1:14" ht="16.5">
      <c r="A33" s="439" t="s">
        <v>360</v>
      </c>
    </row>
    <row r="34" spans="1:14" ht="12" customHeight="1">
      <c r="A34" s="235" t="s">
        <v>64</v>
      </c>
      <c r="B34" s="28"/>
      <c r="C34" s="28"/>
      <c r="D34" s="28"/>
      <c r="E34" s="28"/>
      <c r="F34" s="28"/>
      <c r="G34" s="28"/>
      <c r="H34" s="28"/>
      <c r="I34" s="28"/>
      <c r="J34" s="28"/>
      <c r="K34" s="28"/>
      <c r="L34" s="28"/>
      <c r="M34" s="28"/>
      <c r="N34" s="28"/>
    </row>
    <row r="35" spans="1:14" ht="14.25" customHeight="1">
      <c r="A35" s="751"/>
      <c r="B35" s="751"/>
      <c r="C35" s="751"/>
      <c r="D35" s="751"/>
      <c r="E35" s="751"/>
      <c r="F35" s="751"/>
      <c r="G35" s="751"/>
      <c r="H35" s="751"/>
      <c r="I35" s="751"/>
      <c r="J35" s="751"/>
      <c r="K35" s="751"/>
      <c r="L35" s="751"/>
      <c r="M35" s="751"/>
      <c r="N35" s="751"/>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B20" sqref="B20:H23"/>
    </sheetView>
  </sheetViews>
  <sheetFormatPr defaultColWidth="9.26953125" defaultRowHeight="12.5"/>
  <cols>
    <col min="1" max="1" width="55.26953125" style="16" customWidth="1"/>
    <col min="2" max="13" width="11.54296875" style="16" customWidth="1"/>
    <col min="14" max="14" width="15.7265625" style="16" bestFit="1" customWidth="1"/>
    <col min="15" max="15" width="9.7265625" style="16" bestFit="1" customWidth="1"/>
    <col min="16" max="16" width="22.7265625" style="16" bestFit="1" customWidth="1"/>
    <col min="17" max="17" width="22.26953125" style="16" customWidth="1"/>
    <col min="18" max="16384" width="9.26953125" style="16"/>
  </cols>
  <sheetData>
    <row r="1" spans="1:16" ht="14.5">
      <c r="A1" s="493"/>
    </row>
    <row r="3" spans="1:16" ht="13">
      <c r="E3" s="148" t="s">
        <v>39</v>
      </c>
    </row>
    <row r="4" spans="1:16" ht="13">
      <c r="C4" s="160"/>
      <c r="D4" s="160"/>
      <c r="E4" s="161" t="s">
        <v>227</v>
      </c>
      <c r="F4" s="160"/>
      <c r="G4" s="160"/>
    </row>
    <row r="5" spans="1:16" ht="13">
      <c r="D5" s="160"/>
      <c r="E5" s="151" t="str">
        <f>'Program MW '!H3</f>
        <v>July 2021</v>
      </c>
      <c r="F5" s="160"/>
    </row>
    <row r="6" spans="1:16" ht="13">
      <c r="E6" s="151"/>
    </row>
    <row r="7" spans="1:16" ht="13.5" thickBot="1">
      <c r="A7" s="22"/>
    </row>
    <row r="8" spans="1:16" ht="32.25" customHeight="1" thickBot="1">
      <c r="A8" s="358" t="s">
        <v>189</v>
      </c>
      <c r="B8" s="24" t="s">
        <v>41</v>
      </c>
      <c r="C8" s="24" t="s">
        <v>42</v>
      </c>
      <c r="D8" s="24" t="s">
        <v>43</v>
      </c>
      <c r="E8" s="24" t="s">
        <v>44</v>
      </c>
      <c r="F8" s="24" t="s">
        <v>31</v>
      </c>
      <c r="G8" s="24" t="s">
        <v>45</v>
      </c>
      <c r="H8" s="24" t="s">
        <v>59</v>
      </c>
      <c r="I8" s="24" t="s">
        <v>66</v>
      </c>
      <c r="J8" s="24" t="s">
        <v>67</v>
      </c>
      <c r="K8" s="24" t="s">
        <v>61</v>
      </c>
      <c r="L8" s="24" t="s">
        <v>68</v>
      </c>
      <c r="M8" s="24" t="s">
        <v>62</v>
      </c>
      <c r="N8" s="452" t="s">
        <v>215</v>
      </c>
    </row>
    <row r="9" spans="1:16" ht="26">
      <c r="A9" s="359" t="s">
        <v>228</v>
      </c>
      <c r="B9" s="442"/>
      <c r="C9" s="237"/>
      <c r="M9" s="357"/>
      <c r="N9" s="453"/>
      <c r="P9" s="357"/>
    </row>
    <row r="10" spans="1:16" ht="6" customHeight="1">
      <c r="A10" s="316"/>
      <c r="B10" s="442"/>
      <c r="C10" s="237"/>
      <c r="M10" s="357"/>
      <c r="N10" s="318"/>
    </row>
    <row r="11" spans="1:16" ht="13">
      <c r="A11" s="316" t="s">
        <v>191</v>
      </c>
      <c r="B11" s="442"/>
      <c r="C11" s="237"/>
      <c r="M11" s="357"/>
      <c r="N11" s="318"/>
    </row>
    <row r="12" spans="1:16" ht="13">
      <c r="A12" s="317" t="s">
        <v>268</v>
      </c>
      <c r="B12" s="573">
        <v>0</v>
      </c>
      <c r="C12" s="573">
        <v>0</v>
      </c>
      <c r="D12" s="573">
        <v>0</v>
      </c>
      <c r="E12" s="573">
        <v>0</v>
      </c>
      <c r="F12" s="573">
        <v>0</v>
      </c>
      <c r="G12" s="573">
        <v>210</v>
      </c>
      <c r="H12" s="573">
        <v>0</v>
      </c>
      <c r="I12" s="573">
        <v>0</v>
      </c>
      <c r="J12" s="573">
        <v>0</v>
      </c>
      <c r="K12" s="573">
        <v>0</v>
      </c>
      <c r="L12" s="573">
        <v>0</v>
      </c>
      <c r="M12" s="573">
        <v>0</v>
      </c>
      <c r="N12" s="574">
        <f t="shared" ref="N12:N17" si="0">SUM(B12:M12)</f>
        <v>210</v>
      </c>
    </row>
    <row r="13" spans="1:16" ht="15">
      <c r="A13" s="317" t="s">
        <v>229</v>
      </c>
      <c r="B13" s="573">
        <v>32.534999999999997</v>
      </c>
      <c r="C13" s="573">
        <v>51.664999999999999</v>
      </c>
      <c r="D13" s="573">
        <f>121.347-C13-B13</f>
        <v>37.146999999999991</v>
      </c>
      <c r="E13" s="573">
        <v>27.42</v>
      </c>
      <c r="F13" s="573">
        <v>29.666</v>
      </c>
      <c r="G13" s="573">
        <v>29.318999999999999</v>
      </c>
      <c r="H13" s="573">
        <v>29.231000000000002</v>
      </c>
      <c r="I13" s="573">
        <v>0</v>
      </c>
      <c r="J13" s="573">
        <v>0</v>
      </c>
      <c r="K13" s="573">
        <v>0</v>
      </c>
      <c r="L13" s="573">
        <v>0</v>
      </c>
      <c r="M13" s="573">
        <v>0</v>
      </c>
      <c r="N13" s="574">
        <f t="shared" si="0"/>
        <v>236.98299999999998</v>
      </c>
    </row>
    <row r="14" spans="1:16" ht="15">
      <c r="A14" s="317" t="s">
        <v>276</v>
      </c>
      <c r="B14" s="573">
        <v>-9.125</v>
      </c>
      <c r="C14" s="573">
        <v>3.0419999999999998</v>
      </c>
      <c r="D14" s="573">
        <v>0</v>
      </c>
      <c r="E14" s="573">
        <v>0</v>
      </c>
      <c r="F14" s="573">
        <v>0</v>
      </c>
      <c r="G14" s="573">
        <v>0</v>
      </c>
      <c r="H14" s="573">
        <v>0</v>
      </c>
      <c r="I14" s="573">
        <v>0</v>
      </c>
      <c r="J14" s="573">
        <v>0</v>
      </c>
      <c r="K14" s="573">
        <v>0</v>
      </c>
      <c r="L14" s="573">
        <v>0</v>
      </c>
      <c r="M14" s="573">
        <v>0</v>
      </c>
      <c r="N14" s="574">
        <f t="shared" si="0"/>
        <v>-6.0830000000000002</v>
      </c>
    </row>
    <row r="15" spans="1:16" ht="15">
      <c r="A15" s="317" t="s">
        <v>230</v>
      </c>
      <c r="B15" s="573">
        <v>0</v>
      </c>
      <c r="C15" s="573">
        <v>0</v>
      </c>
      <c r="D15" s="573">
        <v>0</v>
      </c>
      <c r="E15" s="573">
        <v>0</v>
      </c>
      <c r="F15" s="573">
        <v>0</v>
      </c>
      <c r="G15" s="573">
        <v>0</v>
      </c>
      <c r="H15" s="573">
        <v>0</v>
      </c>
      <c r="I15" s="573">
        <v>0</v>
      </c>
      <c r="J15" s="573">
        <v>0</v>
      </c>
      <c r="K15" s="573">
        <v>0</v>
      </c>
      <c r="L15" s="573">
        <v>0</v>
      </c>
      <c r="M15" s="573">
        <v>0</v>
      </c>
      <c r="N15" s="574">
        <f t="shared" si="0"/>
        <v>0</v>
      </c>
    </row>
    <row r="16" spans="1:16" ht="15">
      <c r="A16" s="360" t="s">
        <v>350</v>
      </c>
      <c r="B16" s="573">
        <v>1.7729999999999999</v>
      </c>
      <c r="C16" s="573">
        <v>0.46500000000000002</v>
      </c>
      <c r="D16" s="573">
        <f>3.243-C16-B16</f>
        <v>1.0050000000000001</v>
      </c>
      <c r="E16" s="573">
        <v>22.388000000000002</v>
      </c>
      <c r="F16" s="573">
        <v>13.225</v>
      </c>
      <c r="G16" s="573">
        <v>12.673999999999999</v>
      </c>
      <c r="H16" s="573">
        <v>-1.9390000000000001</v>
      </c>
      <c r="I16" s="573">
        <v>0</v>
      </c>
      <c r="J16" s="573">
        <v>0</v>
      </c>
      <c r="K16" s="573">
        <v>0</v>
      </c>
      <c r="L16" s="573">
        <v>0</v>
      </c>
      <c r="M16" s="573">
        <v>0</v>
      </c>
      <c r="N16" s="574">
        <f t="shared" si="0"/>
        <v>49.591000000000001</v>
      </c>
      <c r="O16" s="28"/>
    </row>
    <row r="17" spans="1:16" ht="13">
      <c r="A17" s="553" t="s">
        <v>218</v>
      </c>
      <c r="B17" s="575">
        <f t="shared" ref="B17:M17" si="1">SUM(B12:B16)</f>
        <v>25.182999999999996</v>
      </c>
      <c r="C17" s="576">
        <f t="shared" si="1"/>
        <v>55.172000000000004</v>
      </c>
      <c r="D17" s="576">
        <f t="shared" si="1"/>
        <v>38.151999999999994</v>
      </c>
      <c r="E17" s="576">
        <f t="shared" si="1"/>
        <v>49.808000000000007</v>
      </c>
      <c r="F17" s="576">
        <f t="shared" si="1"/>
        <v>42.890999999999998</v>
      </c>
      <c r="G17" s="576">
        <f t="shared" si="1"/>
        <v>251.99299999999999</v>
      </c>
      <c r="H17" s="576">
        <f t="shared" si="1"/>
        <v>27.292000000000002</v>
      </c>
      <c r="I17" s="576">
        <f t="shared" si="1"/>
        <v>0</v>
      </c>
      <c r="J17" s="576">
        <f t="shared" si="1"/>
        <v>0</v>
      </c>
      <c r="K17" s="576">
        <f t="shared" si="1"/>
        <v>0</v>
      </c>
      <c r="L17" s="576">
        <f t="shared" si="1"/>
        <v>0</v>
      </c>
      <c r="M17" s="576">
        <f t="shared" si="1"/>
        <v>0</v>
      </c>
      <c r="N17" s="577">
        <f t="shared" si="0"/>
        <v>490.49099999999999</v>
      </c>
    </row>
    <row r="18" spans="1:16">
      <c r="A18" s="318"/>
      <c r="B18" s="573"/>
      <c r="C18" s="578"/>
      <c r="D18" s="578"/>
      <c r="E18" s="578"/>
      <c r="F18" s="578"/>
      <c r="G18" s="578"/>
      <c r="H18" s="578"/>
      <c r="I18" s="578"/>
      <c r="J18" s="578" t="s">
        <v>56</v>
      </c>
      <c r="K18" s="578"/>
      <c r="L18" s="578"/>
      <c r="M18" s="573"/>
      <c r="N18" s="574"/>
      <c r="P18" s="353"/>
    </row>
    <row r="19" spans="1:16" ht="13">
      <c r="A19" s="316" t="s">
        <v>231</v>
      </c>
      <c r="B19" s="573"/>
      <c r="C19" s="578"/>
      <c r="D19" s="578"/>
      <c r="E19" s="578"/>
      <c r="F19" s="578"/>
      <c r="G19" s="578"/>
      <c r="H19" s="578"/>
      <c r="I19" s="578"/>
      <c r="J19" s="578"/>
      <c r="K19" s="578"/>
      <c r="L19" s="578"/>
      <c r="M19" s="573"/>
      <c r="N19" s="574"/>
      <c r="P19" s="353"/>
    </row>
    <row r="20" spans="1:16" ht="13">
      <c r="A20" s="317" t="s">
        <v>232</v>
      </c>
      <c r="B20" s="573">
        <v>43.359000000000002</v>
      </c>
      <c r="C20" s="578">
        <v>43.359000000000002</v>
      </c>
      <c r="D20" s="578">
        <v>43.359000000000002</v>
      </c>
      <c r="E20" s="578">
        <v>43.359000000000002</v>
      </c>
      <c r="F20" s="578">
        <v>43.347000000000001</v>
      </c>
      <c r="G20" s="578">
        <v>43.3</v>
      </c>
      <c r="H20" s="578">
        <v>43.347000000000001</v>
      </c>
      <c r="I20" s="578">
        <v>0</v>
      </c>
      <c r="J20" s="578">
        <v>0</v>
      </c>
      <c r="K20" s="578">
        <v>0</v>
      </c>
      <c r="L20" s="578">
        <v>0</v>
      </c>
      <c r="M20" s="573">
        <v>0</v>
      </c>
      <c r="N20" s="574">
        <f>SUM(B20:M20)</f>
        <v>303.43</v>
      </c>
      <c r="P20" s="353"/>
    </row>
    <row r="21" spans="1:16" ht="13">
      <c r="A21" s="317" t="s">
        <v>233</v>
      </c>
      <c r="B21" s="573">
        <v>18.228999999999999</v>
      </c>
      <c r="C21" s="578">
        <v>11.869</v>
      </c>
      <c r="D21" s="578">
        <v>21.67</v>
      </c>
      <c r="E21" s="578">
        <v>18.100000000000001</v>
      </c>
      <c r="F21" s="578">
        <v>18.010999999999999</v>
      </c>
      <c r="G21" s="578">
        <v>17.899999999999999</v>
      </c>
      <c r="H21" s="578">
        <v>17.843</v>
      </c>
      <c r="I21" s="578">
        <v>0</v>
      </c>
      <c r="J21" s="578">
        <v>0</v>
      </c>
      <c r="K21" s="578">
        <v>0</v>
      </c>
      <c r="L21" s="578">
        <v>0</v>
      </c>
      <c r="M21" s="573">
        <v>0</v>
      </c>
      <c r="N21" s="574">
        <f t="shared" ref="N21:N22" si="2">SUM(B21:M21)</f>
        <v>123.622</v>
      </c>
      <c r="P21" s="353"/>
    </row>
    <row r="22" spans="1:16" ht="13">
      <c r="A22" s="317" t="s">
        <v>234</v>
      </c>
      <c r="B22" s="573">
        <v>1.7729999999999999</v>
      </c>
      <c r="C22" s="578">
        <v>1.7729999999999999</v>
      </c>
      <c r="D22" s="578">
        <v>1.7729999999999999</v>
      </c>
      <c r="E22" s="578">
        <v>1.7729999999999999</v>
      </c>
      <c r="F22" s="578">
        <v>1.7729999999999999</v>
      </c>
      <c r="G22" s="578">
        <v>1.8</v>
      </c>
      <c r="H22" s="578">
        <v>1.1639999999999999</v>
      </c>
      <c r="I22" s="578">
        <v>0</v>
      </c>
      <c r="J22" s="578">
        <v>0</v>
      </c>
      <c r="K22" s="578">
        <v>0</v>
      </c>
      <c r="L22" s="578">
        <v>0</v>
      </c>
      <c r="M22" s="573">
        <v>0</v>
      </c>
      <c r="N22" s="574">
        <f t="shared" si="2"/>
        <v>11.829000000000001</v>
      </c>
      <c r="P22" s="353"/>
    </row>
    <row r="23" spans="1:16" ht="13">
      <c r="A23" s="319" t="s">
        <v>235</v>
      </c>
      <c r="B23" s="573">
        <v>5.0369999999999999</v>
      </c>
      <c r="C23" s="578">
        <v>4.7649999999999997</v>
      </c>
      <c r="D23" s="578">
        <v>4.492</v>
      </c>
      <c r="E23" s="578">
        <v>4.2190000000000003</v>
      </c>
      <c r="F23" s="578">
        <v>3.9460000000000002</v>
      </c>
      <c r="G23" s="578">
        <v>3.7</v>
      </c>
      <c r="H23" s="578">
        <v>3.4009999999999998</v>
      </c>
      <c r="I23" s="578">
        <v>0</v>
      </c>
      <c r="J23" s="578">
        <v>0</v>
      </c>
      <c r="K23" s="578">
        <v>0</v>
      </c>
      <c r="L23" s="578">
        <v>0</v>
      </c>
      <c r="M23" s="573">
        <v>0</v>
      </c>
      <c r="N23" s="574">
        <f>SUM(B23:M23)</f>
        <v>29.560000000000002</v>
      </c>
      <c r="P23" s="353"/>
    </row>
    <row r="24" spans="1:16" ht="13">
      <c r="A24" s="554" t="s">
        <v>221</v>
      </c>
      <c r="B24" s="575">
        <f>SUM(B20:B23)</f>
        <v>68.39800000000001</v>
      </c>
      <c r="C24" s="576">
        <f t="shared" ref="C24:M24" si="3">SUM(C20:C23)</f>
        <v>61.766000000000005</v>
      </c>
      <c r="D24" s="576">
        <f t="shared" si="3"/>
        <v>71.293999999999997</v>
      </c>
      <c r="E24" s="576">
        <f t="shared" si="3"/>
        <v>67.451000000000008</v>
      </c>
      <c r="F24" s="576">
        <f t="shared" si="3"/>
        <v>67.077000000000012</v>
      </c>
      <c r="G24" s="576">
        <f t="shared" si="3"/>
        <v>66.699999999999989</v>
      </c>
      <c r="H24" s="576">
        <f t="shared" si="3"/>
        <v>65.754999999999995</v>
      </c>
      <c r="I24" s="576">
        <f t="shared" si="3"/>
        <v>0</v>
      </c>
      <c r="J24" s="576">
        <f t="shared" si="3"/>
        <v>0</v>
      </c>
      <c r="K24" s="576">
        <f t="shared" si="3"/>
        <v>0</v>
      </c>
      <c r="L24" s="576">
        <f t="shared" si="3"/>
        <v>0</v>
      </c>
      <c r="M24" s="576">
        <f t="shared" si="3"/>
        <v>0</v>
      </c>
      <c r="N24" s="577">
        <f>SUM(B24:M24)</f>
        <v>468.44100000000003</v>
      </c>
      <c r="P24" s="353"/>
    </row>
    <row r="25" spans="1:16" ht="13">
      <c r="A25" s="319"/>
      <c r="B25" s="573"/>
      <c r="C25" s="578"/>
      <c r="D25" s="578"/>
      <c r="E25" s="578"/>
      <c r="F25" s="578"/>
      <c r="G25" s="578"/>
      <c r="H25" s="578"/>
      <c r="I25" s="578"/>
      <c r="J25" s="578"/>
      <c r="K25" s="578"/>
      <c r="L25" s="578"/>
      <c r="M25" s="573"/>
      <c r="N25" s="574"/>
      <c r="P25" s="353"/>
    </row>
    <row r="26" spans="1:16" ht="13">
      <c r="A26" s="316"/>
      <c r="B26" s="573" t="s">
        <v>56</v>
      </c>
      <c r="C26" s="578" t="s">
        <v>56</v>
      </c>
      <c r="D26" s="578" t="s">
        <v>56</v>
      </c>
      <c r="E26" s="578"/>
      <c r="F26" s="578" t="s">
        <v>56</v>
      </c>
      <c r="G26" s="578"/>
      <c r="H26" s="579" t="s">
        <v>56</v>
      </c>
      <c r="I26" s="579" t="s">
        <v>56</v>
      </c>
      <c r="J26" s="579" t="s">
        <v>56</v>
      </c>
      <c r="K26" s="579" t="s">
        <v>56</v>
      </c>
      <c r="L26" s="579" t="s">
        <v>56</v>
      </c>
      <c r="M26" s="580" t="s">
        <v>56</v>
      </c>
      <c r="N26" s="574" t="s">
        <v>56</v>
      </c>
      <c r="P26" s="353"/>
    </row>
    <row r="27" spans="1:16" ht="13">
      <c r="A27" s="316" t="s">
        <v>222</v>
      </c>
      <c r="B27" s="573">
        <v>0</v>
      </c>
      <c r="C27" s="578">
        <v>0</v>
      </c>
      <c r="D27" s="578">
        <v>0</v>
      </c>
      <c r="E27" s="578">
        <v>0</v>
      </c>
      <c r="F27" s="578">
        <v>0</v>
      </c>
      <c r="G27" s="578">
        <v>0</v>
      </c>
      <c r="H27" s="579">
        <v>0</v>
      </c>
      <c r="I27" s="579">
        <v>0</v>
      </c>
      <c r="J27" s="579">
        <v>0</v>
      </c>
      <c r="K27" s="579">
        <v>0</v>
      </c>
      <c r="L27" s="579">
        <v>0</v>
      </c>
      <c r="M27" s="580">
        <v>0</v>
      </c>
      <c r="N27" s="574">
        <f>SUM(B27:M27)</f>
        <v>0</v>
      </c>
      <c r="P27" s="353"/>
    </row>
    <row r="28" spans="1:16" ht="13">
      <c r="A28" s="555" t="s">
        <v>224</v>
      </c>
      <c r="B28" s="575">
        <f t="shared" ref="B28:H28" si="4">SUM(B27:B27)</f>
        <v>0</v>
      </c>
      <c r="C28" s="576">
        <f t="shared" si="4"/>
        <v>0</v>
      </c>
      <c r="D28" s="576">
        <f t="shared" si="4"/>
        <v>0</v>
      </c>
      <c r="E28" s="576">
        <f>SUM(E27:E27)</f>
        <v>0</v>
      </c>
      <c r="F28" s="576">
        <f t="shared" si="4"/>
        <v>0</v>
      </c>
      <c r="G28" s="576">
        <f t="shared" si="4"/>
        <v>0</v>
      </c>
      <c r="H28" s="576">
        <f t="shared" si="4"/>
        <v>0</v>
      </c>
      <c r="I28" s="576">
        <f>SUM(I27:I27)</f>
        <v>0</v>
      </c>
      <c r="J28" s="576">
        <f>SUM(J27:J27)</f>
        <v>0</v>
      </c>
      <c r="K28" s="576">
        <f>SUM(K27:K27)</f>
        <v>0</v>
      </c>
      <c r="L28" s="576">
        <f>SUM(L27:L27)</f>
        <v>0</v>
      </c>
      <c r="M28" s="576">
        <f>SUM(M27:M27)</f>
        <v>0</v>
      </c>
      <c r="N28" s="577">
        <f>SUM(B28:M28)</f>
        <v>0</v>
      </c>
      <c r="P28" s="353"/>
    </row>
    <row r="29" spans="1:16" ht="13">
      <c r="A29" s="320"/>
      <c r="B29" s="573"/>
      <c r="C29" s="578"/>
      <c r="D29" s="578"/>
      <c r="E29" s="578"/>
      <c r="F29" s="578"/>
      <c r="G29" s="581"/>
      <c r="H29" s="578"/>
      <c r="I29" s="581"/>
      <c r="J29" s="578"/>
      <c r="K29" s="578"/>
      <c r="L29" s="581"/>
      <c r="M29" s="573"/>
      <c r="N29" s="574"/>
    </row>
    <row r="30" spans="1:16" ht="13">
      <c r="A30" s="321"/>
      <c r="B30" s="573"/>
      <c r="C30" s="578"/>
      <c r="D30" s="578"/>
      <c r="E30" s="578"/>
      <c r="F30" s="578"/>
      <c r="G30" s="578"/>
      <c r="H30" s="578"/>
      <c r="I30" s="578"/>
      <c r="J30" s="578"/>
      <c r="K30" s="578"/>
      <c r="L30" s="578"/>
      <c r="M30" s="573"/>
      <c r="N30" s="574"/>
    </row>
    <row r="31" spans="1:16" ht="13">
      <c r="A31" s="321" t="s">
        <v>205</v>
      </c>
      <c r="B31" s="573">
        <v>0</v>
      </c>
      <c r="C31" s="578">
        <v>0</v>
      </c>
      <c r="D31" s="578">
        <v>0</v>
      </c>
      <c r="E31" s="578">
        <v>0</v>
      </c>
      <c r="F31" s="578">
        <v>0</v>
      </c>
      <c r="G31" s="578">
        <v>0</v>
      </c>
      <c r="H31" s="579">
        <v>0</v>
      </c>
      <c r="I31" s="579">
        <v>0</v>
      </c>
      <c r="J31" s="579">
        <v>0</v>
      </c>
      <c r="K31" s="579">
        <v>0</v>
      </c>
      <c r="L31" s="579">
        <v>0</v>
      </c>
      <c r="M31" s="580">
        <v>0</v>
      </c>
      <c r="N31" s="574">
        <f>SUM(B31:M31)</f>
        <v>0</v>
      </c>
    </row>
    <row r="32" spans="1:16">
      <c r="A32" s="318"/>
      <c r="B32" s="573"/>
      <c r="C32" s="578"/>
      <c r="D32" s="578"/>
      <c r="E32" s="578"/>
      <c r="F32" s="578"/>
      <c r="G32" s="578"/>
      <c r="H32" s="579"/>
      <c r="I32" s="579"/>
      <c r="J32" s="579"/>
      <c r="K32" s="579"/>
      <c r="L32" s="579"/>
      <c r="M32" s="582"/>
      <c r="N32" s="574" t="s">
        <v>56</v>
      </c>
    </row>
    <row r="33" spans="1:19" ht="13">
      <c r="A33" s="556" t="s">
        <v>211</v>
      </c>
      <c r="B33" s="575">
        <f t="shared" ref="B33:G33" si="5">SUM(B31:B32)</f>
        <v>0</v>
      </c>
      <c r="C33" s="576">
        <f t="shared" si="5"/>
        <v>0</v>
      </c>
      <c r="D33" s="576">
        <f t="shared" si="5"/>
        <v>0</v>
      </c>
      <c r="E33" s="576">
        <f t="shared" si="5"/>
        <v>0</v>
      </c>
      <c r="F33" s="576">
        <f t="shared" si="5"/>
        <v>0</v>
      </c>
      <c r="G33" s="576">
        <f t="shared" si="5"/>
        <v>0</v>
      </c>
      <c r="H33" s="576">
        <f>SUM(H30:H32)</f>
        <v>0</v>
      </c>
      <c r="I33" s="576">
        <f>SUM(I30:I32)</f>
        <v>0</v>
      </c>
      <c r="J33" s="576">
        <f>SUM(J31:J32)</f>
        <v>0</v>
      </c>
      <c r="K33" s="576">
        <f>SUM(K31:K32)</f>
        <v>0</v>
      </c>
      <c r="L33" s="576">
        <f>SUM(L31:L32)</f>
        <v>0</v>
      </c>
      <c r="M33" s="576">
        <f>SUM(M31:M32)</f>
        <v>0</v>
      </c>
      <c r="N33" s="577">
        <f>SUM(B33:M33)</f>
        <v>0</v>
      </c>
      <c r="O33" s="28"/>
    </row>
    <row r="34" spans="1:19" ht="10.5" customHeight="1">
      <c r="A34" s="557"/>
      <c r="B34" s="583"/>
      <c r="C34" s="581"/>
      <c r="D34" s="581"/>
      <c r="E34" s="581"/>
      <c r="F34" s="581"/>
      <c r="G34" s="581"/>
      <c r="H34" s="581"/>
      <c r="I34" s="581"/>
      <c r="J34" s="581"/>
      <c r="K34" s="581"/>
      <c r="L34" s="581"/>
      <c r="M34" s="581"/>
      <c r="N34" s="584"/>
    </row>
    <row r="35" spans="1:19" ht="15" customHeight="1">
      <c r="A35" s="554" t="s">
        <v>225</v>
      </c>
      <c r="B35" s="585">
        <v>0</v>
      </c>
      <c r="C35" s="586">
        <v>0</v>
      </c>
      <c r="D35" s="586">
        <v>0</v>
      </c>
      <c r="E35" s="586">
        <v>0</v>
      </c>
      <c r="F35" s="586">
        <v>0</v>
      </c>
      <c r="G35" s="586">
        <v>0</v>
      </c>
      <c r="H35" s="586">
        <v>0</v>
      </c>
      <c r="I35" s="586">
        <v>0</v>
      </c>
      <c r="J35" s="576">
        <v>0</v>
      </c>
      <c r="K35" s="576">
        <v>0</v>
      </c>
      <c r="L35" s="586">
        <v>0</v>
      </c>
      <c r="M35" s="586">
        <v>0</v>
      </c>
      <c r="N35" s="587">
        <f>SUM(B35:M35)</f>
        <v>0</v>
      </c>
      <c r="O35" s="30"/>
      <c r="P35" s="30"/>
      <c r="Q35" s="30"/>
      <c r="R35" s="30"/>
      <c r="S35" s="35"/>
    </row>
    <row r="36" spans="1:19" ht="15" customHeight="1" thickBot="1">
      <c r="A36" s="322" t="s">
        <v>236</v>
      </c>
      <c r="B36" s="588">
        <f t="shared" ref="B36:L36" si="6">B17+B24+B28+B33+B35</f>
        <v>93.581000000000003</v>
      </c>
      <c r="C36" s="588">
        <f t="shared" si="6"/>
        <v>116.93800000000002</v>
      </c>
      <c r="D36" s="588">
        <f t="shared" si="6"/>
        <v>109.446</v>
      </c>
      <c r="E36" s="588">
        <f t="shared" si="6"/>
        <v>117.25900000000001</v>
      </c>
      <c r="F36" s="588">
        <f t="shared" si="6"/>
        <v>109.96800000000002</v>
      </c>
      <c r="G36" s="588">
        <f t="shared" si="6"/>
        <v>318.69299999999998</v>
      </c>
      <c r="H36" s="588">
        <f>H17+H24+H28+H33+H35</f>
        <v>93.046999999999997</v>
      </c>
      <c r="I36" s="588">
        <f t="shared" si="6"/>
        <v>0</v>
      </c>
      <c r="J36" s="588">
        <f t="shared" si="6"/>
        <v>0</v>
      </c>
      <c r="K36" s="588">
        <f t="shared" si="6"/>
        <v>0</v>
      </c>
      <c r="L36" s="588">
        <f t="shared" si="6"/>
        <v>0</v>
      </c>
      <c r="M36" s="588">
        <f>M17+M24+M28+M33+M35</f>
        <v>0</v>
      </c>
      <c r="N36" s="589">
        <f>SUM(B36:M36)</f>
        <v>958.93200000000002</v>
      </c>
      <c r="O36" s="30"/>
      <c r="P36" s="30"/>
      <c r="Q36" s="30"/>
      <c r="R36" s="30"/>
      <c r="S36" s="35"/>
    </row>
    <row r="37" spans="1:19" s="160" customFormat="1" ht="26.25" customHeight="1" thickBot="1">
      <c r="A37" s="530" t="s">
        <v>237</v>
      </c>
      <c r="B37" s="590">
        <f>B36+0.05</f>
        <v>93.631</v>
      </c>
      <c r="C37" s="591">
        <f>C36+0.013</f>
        <v>116.95100000000002</v>
      </c>
      <c r="D37" s="591">
        <f>D36+0.018</f>
        <v>109.464</v>
      </c>
      <c r="E37" s="591">
        <f>E36+0.025</f>
        <v>117.28400000000002</v>
      </c>
      <c r="F37" s="591">
        <f>F36+0.025</f>
        <v>109.99300000000002</v>
      </c>
      <c r="G37" s="591">
        <f>G36+0.029</f>
        <v>318.72199999999998</v>
      </c>
      <c r="H37" s="591">
        <f>H36+0.038</f>
        <v>93.084999999999994</v>
      </c>
      <c r="I37" s="591">
        <v>0</v>
      </c>
      <c r="J37" s="591">
        <v>0</v>
      </c>
      <c r="K37" s="591">
        <v>0</v>
      </c>
      <c r="L37" s="591">
        <v>0</v>
      </c>
      <c r="M37" s="591">
        <v>0</v>
      </c>
      <c r="N37" s="592">
        <f>SUM(B37:M37)</f>
        <v>959.13000000000011</v>
      </c>
      <c r="O37" s="531"/>
    </row>
    <row r="38" spans="1:19" ht="13">
      <c r="A38" s="36"/>
      <c r="B38" s="37"/>
      <c r="C38" s="37"/>
      <c r="D38" s="37"/>
      <c r="E38" s="37"/>
      <c r="F38" s="37"/>
      <c r="G38" s="37"/>
      <c r="H38" s="37"/>
      <c r="I38" s="37"/>
      <c r="J38" s="37"/>
      <c r="K38" s="37"/>
      <c r="L38" s="37"/>
      <c r="M38" s="37"/>
      <c r="N38" s="37"/>
    </row>
    <row r="39" spans="1:19" ht="14">
      <c r="A39" s="418" t="s">
        <v>63</v>
      </c>
      <c r="B39" s="417"/>
      <c r="C39" s="417"/>
      <c r="D39" s="417"/>
      <c r="E39" s="417"/>
      <c r="F39" s="417"/>
      <c r="G39" s="417"/>
      <c r="H39" s="417"/>
      <c r="I39" s="417"/>
      <c r="J39" s="417"/>
      <c r="K39" s="417"/>
      <c r="L39" s="417"/>
      <c r="M39" s="417"/>
      <c r="N39" s="417"/>
    </row>
    <row r="40" spans="1:19" ht="16.5">
      <c r="A40" s="524" t="s">
        <v>269</v>
      </c>
      <c r="B40" s="525"/>
      <c r="C40" s="525"/>
      <c r="D40" s="525"/>
      <c r="E40" s="525"/>
      <c r="F40" s="525"/>
      <c r="G40" s="525"/>
      <c r="H40" s="525"/>
      <c r="I40" s="525"/>
      <c r="J40" s="525"/>
      <c r="K40" s="525"/>
      <c r="L40" s="525"/>
      <c r="M40" s="525"/>
      <c r="N40" s="525"/>
    </row>
    <row r="41" spans="1:19" ht="15" customHeight="1">
      <c r="A41" s="752" t="s">
        <v>270</v>
      </c>
      <c r="B41" s="752"/>
      <c r="C41" s="752"/>
      <c r="D41" s="752"/>
      <c r="E41" s="752"/>
      <c r="F41" s="752"/>
      <c r="G41" s="752"/>
      <c r="H41" s="752"/>
      <c r="I41" s="752"/>
      <c r="J41" s="752"/>
      <c r="K41" s="752"/>
      <c r="L41" s="752"/>
      <c r="M41" s="752"/>
      <c r="N41" s="752"/>
    </row>
    <row r="42" spans="1:19" ht="15" customHeight="1">
      <c r="A42" s="526" t="s">
        <v>271</v>
      </c>
      <c r="B42" s="527"/>
      <c r="C42" s="527"/>
      <c r="D42" s="527"/>
      <c r="E42" s="527"/>
      <c r="F42" s="527"/>
      <c r="G42" s="527"/>
      <c r="H42" s="527"/>
      <c r="I42" s="527"/>
      <c r="J42" s="527"/>
      <c r="K42" s="527"/>
      <c r="L42" s="527"/>
      <c r="M42" s="527"/>
      <c r="N42" s="527"/>
    </row>
    <row r="43" spans="1:19" ht="15" customHeight="1">
      <c r="A43" s="528" t="s">
        <v>277</v>
      </c>
      <c r="B43" s="527"/>
      <c r="C43" s="527"/>
      <c r="D43" s="527"/>
      <c r="E43" s="527"/>
      <c r="F43" s="527"/>
      <c r="G43" s="527"/>
      <c r="H43" s="527"/>
      <c r="I43" s="527"/>
      <c r="J43" s="527"/>
      <c r="K43" s="527"/>
      <c r="L43" s="527"/>
      <c r="M43" s="527"/>
      <c r="N43" s="527"/>
    </row>
    <row r="44" spans="1:19" ht="15" customHeight="1">
      <c r="A44" s="528" t="s">
        <v>361</v>
      </c>
      <c r="B44" s="495"/>
      <c r="C44" s="495"/>
      <c r="D44" s="495"/>
      <c r="E44" s="495"/>
      <c r="F44" s="495"/>
      <c r="G44" s="495"/>
      <c r="H44" s="495"/>
      <c r="I44" s="495"/>
      <c r="J44" s="495"/>
      <c r="K44" s="495"/>
      <c r="L44" s="495"/>
      <c r="M44" s="495"/>
      <c r="N44" s="495"/>
    </row>
    <row r="45" spans="1:19" ht="14.5">
      <c r="A45" s="235" t="s">
        <v>64</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80C-74B1-49BA-BCE4-67DCB4CEA444}">
  <sheetPr>
    <pageSetUpPr fitToPage="1"/>
  </sheetPr>
  <dimension ref="A1:S42"/>
  <sheetViews>
    <sheetView showGridLines="0" zoomScaleNormal="100" zoomScaleSheetLayoutView="75" workbookViewId="0">
      <selection activeCell="H12" sqref="H12"/>
    </sheetView>
  </sheetViews>
  <sheetFormatPr defaultColWidth="9.26953125" defaultRowHeight="12.5"/>
  <cols>
    <col min="1" max="1" width="55.26953125" style="680" customWidth="1"/>
    <col min="2" max="13" width="11.54296875" style="680" customWidth="1"/>
    <col min="14" max="14" width="15.7265625" style="680" bestFit="1" customWidth="1"/>
    <col min="15" max="15" width="9.7265625" style="680" bestFit="1" customWidth="1"/>
    <col min="16" max="16" width="22.7265625" style="680" bestFit="1" customWidth="1"/>
    <col min="17" max="17" width="22.26953125" style="680" customWidth="1"/>
    <col min="18" max="16384" width="9.26953125" style="680"/>
  </cols>
  <sheetData>
    <row r="1" spans="1:16" ht="14.5">
      <c r="A1" s="682"/>
    </row>
    <row r="3" spans="1:16" ht="13">
      <c r="E3" s="148" t="s">
        <v>338</v>
      </c>
    </row>
    <row r="4" spans="1:16" ht="13">
      <c r="C4" s="681"/>
      <c r="D4" s="681"/>
      <c r="E4" s="161" t="s">
        <v>363</v>
      </c>
      <c r="F4" s="681"/>
      <c r="G4" s="681"/>
    </row>
    <row r="5" spans="1:16" ht="13">
      <c r="D5" s="681"/>
      <c r="E5" s="198" t="str">
        <f>'Program MW '!H3</f>
        <v>July 2021</v>
      </c>
      <c r="F5" s="681"/>
    </row>
    <row r="6" spans="1:16" ht="13">
      <c r="E6" s="198"/>
    </row>
    <row r="7" spans="1:16" ht="13.5" thickBot="1">
      <c r="A7" s="22"/>
    </row>
    <row r="8" spans="1:16" ht="32.25" customHeight="1" thickBot="1">
      <c r="A8" s="358" t="s">
        <v>189</v>
      </c>
      <c r="B8" s="24" t="s">
        <v>41</v>
      </c>
      <c r="C8" s="24" t="s">
        <v>42</v>
      </c>
      <c r="D8" s="24" t="s">
        <v>43</v>
      </c>
      <c r="E8" s="24" t="s">
        <v>44</v>
      </c>
      <c r="F8" s="24" t="s">
        <v>31</v>
      </c>
      <c r="G8" s="24" t="s">
        <v>45</v>
      </c>
      <c r="H8" s="24" t="s">
        <v>59</v>
      </c>
      <c r="I8" s="24" t="s">
        <v>66</v>
      </c>
      <c r="J8" s="24" t="s">
        <v>67</v>
      </c>
      <c r="K8" s="24" t="s">
        <v>61</v>
      </c>
      <c r="L8" s="24" t="s">
        <v>68</v>
      </c>
      <c r="M8" s="24" t="s">
        <v>62</v>
      </c>
      <c r="N8" s="452" t="s">
        <v>215</v>
      </c>
    </row>
    <row r="9" spans="1:16" ht="26">
      <c r="A9" s="359" t="s">
        <v>339</v>
      </c>
      <c r="B9" s="683"/>
      <c r="C9" s="683"/>
      <c r="N9" s="684"/>
    </row>
    <row r="10" spans="1:16" ht="6" customHeight="1">
      <c r="A10" s="316"/>
      <c r="B10" s="683"/>
      <c r="C10" s="683"/>
      <c r="N10" s="685"/>
    </row>
    <row r="11" spans="1:16" ht="13">
      <c r="A11" s="316" t="s">
        <v>191</v>
      </c>
      <c r="B11" s="683"/>
      <c r="C11" s="683"/>
      <c r="N11" s="685"/>
    </row>
    <row r="12" spans="1:16" ht="13">
      <c r="A12" s="317" t="s">
        <v>340</v>
      </c>
      <c r="B12" s="686">
        <v>0</v>
      </c>
      <c r="C12" s="686">
        <v>0</v>
      </c>
      <c r="D12" s="686">
        <v>0</v>
      </c>
      <c r="E12" s="686">
        <v>0</v>
      </c>
      <c r="F12" s="686">
        <v>0</v>
      </c>
      <c r="G12" s="686">
        <v>0</v>
      </c>
      <c r="H12" s="686">
        <v>10.292</v>
      </c>
      <c r="I12" s="686">
        <v>0</v>
      </c>
      <c r="J12" s="686">
        <v>0</v>
      </c>
      <c r="K12" s="686">
        <v>0</v>
      </c>
      <c r="L12" s="686">
        <v>0</v>
      </c>
      <c r="M12" s="686">
        <v>0</v>
      </c>
      <c r="N12" s="687">
        <f>SUM(B12:M12)</f>
        <v>10.292</v>
      </c>
    </row>
    <row r="13" spans="1:16" ht="13">
      <c r="A13" s="553" t="s">
        <v>218</v>
      </c>
      <c r="B13" s="689">
        <f t="shared" ref="B13:M13" si="0">SUM(B12:B12)</f>
        <v>0</v>
      </c>
      <c r="C13" s="689">
        <f t="shared" si="0"/>
        <v>0</v>
      </c>
      <c r="D13" s="689">
        <f t="shared" si="0"/>
        <v>0</v>
      </c>
      <c r="E13" s="689">
        <f t="shared" si="0"/>
        <v>0</v>
      </c>
      <c r="F13" s="689">
        <f t="shared" si="0"/>
        <v>0</v>
      </c>
      <c r="G13" s="689">
        <f t="shared" si="0"/>
        <v>0</v>
      </c>
      <c r="H13" s="689">
        <f t="shared" si="0"/>
        <v>10.292</v>
      </c>
      <c r="I13" s="689">
        <f t="shared" si="0"/>
        <v>0</v>
      </c>
      <c r="J13" s="689">
        <f t="shared" si="0"/>
        <v>0</v>
      </c>
      <c r="K13" s="689">
        <f t="shared" si="0"/>
        <v>0</v>
      </c>
      <c r="L13" s="689">
        <f t="shared" si="0"/>
        <v>0</v>
      </c>
      <c r="M13" s="689">
        <f t="shared" si="0"/>
        <v>0</v>
      </c>
      <c r="N13" s="690">
        <f>SUM(B13:M13)</f>
        <v>10.292</v>
      </c>
    </row>
    <row r="14" spans="1:16">
      <c r="A14" s="685"/>
      <c r="B14" s="686"/>
      <c r="C14" s="686"/>
      <c r="D14" s="686"/>
      <c r="E14" s="686"/>
      <c r="F14" s="686"/>
      <c r="G14" s="686"/>
      <c r="H14" s="686"/>
      <c r="I14" s="686"/>
      <c r="J14" s="686" t="s">
        <v>56</v>
      </c>
      <c r="K14" s="686"/>
      <c r="L14" s="686"/>
      <c r="M14" s="686"/>
      <c r="N14" s="687"/>
      <c r="P14" s="691"/>
    </row>
    <row r="15" spans="1:16" ht="13">
      <c r="A15" s="316" t="s">
        <v>231</v>
      </c>
      <c r="B15" s="686"/>
      <c r="C15" s="686"/>
      <c r="D15" s="686"/>
      <c r="E15" s="686"/>
      <c r="F15" s="686"/>
      <c r="G15" s="686"/>
      <c r="H15" s="686"/>
      <c r="I15" s="686"/>
      <c r="J15" s="686"/>
      <c r="K15" s="686"/>
      <c r="L15" s="686"/>
      <c r="M15" s="686"/>
      <c r="N15" s="687"/>
      <c r="P15" s="691"/>
    </row>
    <row r="16" spans="1:16" ht="13">
      <c r="A16" s="317" t="s">
        <v>232</v>
      </c>
      <c r="B16" s="686">
        <v>0</v>
      </c>
      <c r="C16" s="686">
        <v>0</v>
      </c>
      <c r="D16" s="686">
        <v>0</v>
      </c>
      <c r="E16" s="686">
        <v>0</v>
      </c>
      <c r="F16" s="686">
        <v>0</v>
      </c>
      <c r="G16" s="686">
        <v>0</v>
      </c>
      <c r="H16" s="686">
        <v>0</v>
      </c>
      <c r="I16" s="686">
        <v>0</v>
      </c>
      <c r="J16" s="686">
        <v>0</v>
      </c>
      <c r="K16" s="686">
        <v>0</v>
      </c>
      <c r="L16" s="686">
        <v>0</v>
      </c>
      <c r="M16" s="686">
        <v>0</v>
      </c>
      <c r="N16" s="687">
        <f>SUM(B16:M16)</f>
        <v>0</v>
      </c>
      <c r="P16" s="691"/>
    </row>
    <row r="17" spans="1:19" ht="13">
      <c r="A17" s="317" t="s">
        <v>341</v>
      </c>
      <c r="B17" s="686">
        <v>0</v>
      </c>
      <c r="C17" s="686">
        <v>0</v>
      </c>
      <c r="D17" s="686">
        <v>0</v>
      </c>
      <c r="E17" s="686">
        <v>0</v>
      </c>
      <c r="F17" s="686">
        <v>0</v>
      </c>
      <c r="G17" s="686">
        <v>0</v>
      </c>
      <c r="H17" s="686">
        <v>0</v>
      </c>
      <c r="I17" s="686">
        <v>0</v>
      </c>
      <c r="J17" s="686">
        <v>0</v>
      </c>
      <c r="K17" s="686">
        <v>0</v>
      </c>
      <c r="L17" s="686">
        <v>0</v>
      </c>
      <c r="M17" s="686">
        <v>0</v>
      </c>
      <c r="N17" s="687">
        <f>SUM(B17:M17)</f>
        <v>0</v>
      </c>
      <c r="P17" s="691"/>
    </row>
    <row r="18" spans="1:19" ht="13">
      <c r="A18" s="317" t="s">
        <v>342</v>
      </c>
      <c r="B18" s="686">
        <v>0</v>
      </c>
      <c r="C18" s="686">
        <v>0</v>
      </c>
      <c r="D18" s="686">
        <v>0</v>
      </c>
      <c r="E18" s="686">
        <v>0</v>
      </c>
      <c r="F18" s="686">
        <v>0</v>
      </c>
      <c r="G18" s="686">
        <v>0</v>
      </c>
      <c r="H18" s="686">
        <v>0</v>
      </c>
      <c r="I18" s="686">
        <v>0</v>
      </c>
      <c r="J18" s="686">
        <v>0</v>
      </c>
      <c r="K18" s="686">
        <v>0</v>
      </c>
      <c r="L18" s="686">
        <v>0</v>
      </c>
      <c r="M18" s="686">
        <v>0</v>
      </c>
      <c r="N18" s="687">
        <f>SUM(B18:M18)</f>
        <v>0</v>
      </c>
      <c r="P18" s="691"/>
    </row>
    <row r="19" spans="1:19" ht="13">
      <c r="A19" s="319" t="s">
        <v>235</v>
      </c>
      <c r="B19" s="686">
        <v>0</v>
      </c>
      <c r="C19" s="686">
        <v>0</v>
      </c>
      <c r="D19" s="686">
        <v>0</v>
      </c>
      <c r="E19" s="686">
        <v>0</v>
      </c>
      <c r="F19" s="686">
        <v>0</v>
      </c>
      <c r="G19" s="686">
        <v>0</v>
      </c>
      <c r="H19" s="686">
        <v>0</v>
      </c>
      <c r="I19" s="686">
        <v>0</v>
      </c>
      <c r="J19" s="686">
        <v>0</v>
      </c>
      <c r="K19" s="686">
        <v>0</v>
      </c>
      <c r="L19" s="686">
        <v>0</v>
      </c>
      <c r="M19" s="686">
        <v>0</v>
      </c>
      <c r="N19" s="687">
        <f>SUM(B19:M19)</f>
        <v>0</v>
      </c>
      <c r="P19" s="691"/>
    </row>
    <row r="20" spans="1:19" ht="13">
      <c r="A20" s="554" t="s">
        <v>221</v>
      </c>
      <c r="B20" s="689">
        <f t="shared" ref="B20:M20" si="1">SUM(B16:B19)</f>
        <v>0</v>
      </c>
      <c r="C20" s="689">
        <f t="shared" si="1"/>
        <v>0</v>
      </c>
      <c r="D20" s="689">
        <f t="shared" si="1"/>
        <v>0</v>
      </c>
      <c r="E20" s="689">
        <f t="shared" si="1"/>
        <v>0</v>
      </c>
      <c r="F20" s="689">
        <f t="shared" si="1"/>
        <v>0</v>
      </c>
      <c r="G20" s="689">
        <f t="shared" si="1"/>
        <v>0</v>
      </c>
      <c r="H20" s="689">
        <f t="shared" si="1"/>
        <v>0</v>
      </c>
      <c r="I20" s="689">
        <f t="shared" si="1"/>
        <v>0</v>
      </c>
      <c r="J20" s="689">
        <f t="shared" si="1"/>
        <v>0</v>
      </c>
      <c r="K20" s="689">
        <f t="shared" si="1"/>
        <v>0</v>
      </c>
      <c r="L20" s="689">
        <f t="shared" si="1"/>
        <v>0</v>
      </c>
      <c r="M20" s="689">
        <f t="shared" si="1"/>
        <v>0</v>
      </c>
      <c r="N20" s="690">
        <f>SUM(B20:M20)</f>
        <v>0</v>
      </c>
      <c r="P20" s="691"/>
    </row>
    <row r="21" spans="1:19" ht="13">
      <c r="A21" s="319"/>
      <c r="B21" s="686"/>
      <c r="C21" s="686"/>
      <c r="D21" s="686"/>
      <c r="E21" s="686"/>
      <c r="F21" s="686"/>
      <c r="G21" s="686"/>
      <c r="H21" s="686"/>
      <c r="I21" s="686"/>
      <c r="J21" s="686"/>
      <c r="K21" s="686"/>
      <c r="L21" s="686"/>
      <c r="M21" s="686"/>
      <c r="N21" s="687"/>
      <c r="P21" s="691"/>
    </row>
    <row r="22" spans="1:19" ht="13">
      <c r="A22" s="316"/>
      <c r="B22" s="686" t="s">
        <v>56</v>
      </c>
      <c r="C22" s="686" t="s">
        <v>56</v>
      </c>
      <c r="D22" s="686" t="s">
        <v>56</v>
      </c>
      <c r="E22" s="686"/>
      <c r="F22" s="686" t="s">
        <v>56</v>
      </c>
      <c r="G22" s="686"/>
      <c r="H22" s="692" t="s">
        <v>56</v>
      </c>
      <c r="I22" s="692" t="s">
        <v>56</v>
      </c>
      <c r="J22" s="692" t="s">
        <v>56</v>
      </c>
      <c r="K22" s="692" t="s">
        <v>56</v>
      </c>
      <c r="L22" s="692" t="s">
        <v>56</v>
      </c>
      <c r="M22" s="692" t="s">
        <v>56</v>
      </c>
      <c r="N22" s="687" t="s">
        <v>56</v>
      </c>
      <c r="P22" s="691"/>
    </row>
    <row r="23" spans="1:19" ht="13">
      <c r="A23" s="316" t="s">
        <v>222</v>
      </c>
      <c r="B23" s="686">
        <v>0</v>
      </c>
      <c r="C23" s="686">
        <v>0</v>
      </c>
      <c r="D23" s="686">
        <v>0</v>
      </c>
      <c r="E23" s="686">
        <v>0</v>
      </c>
      <c r="F23" s="686">
        <v>0</v>
      </c>
      <c r="G23" s="686">
        <v>0</v>
      </c>
      <c r="H23" s="692">
        <v>0</v>
      </c>
      <c r="I23" s="692">
        <v>0</v>
      </c>
      <c r="J23" s="692">
        <v>0</v>
      </c>
      <c r="K23" s="692">
        <v>0</v>
      </c>
      <c r="L23" s="692">
        <v>0</v>
      </c>
      <c r="M23" s="692">
        <v>0</v>
      </c>
      <c r="N23" s="687">
        <f>SUM(B23:M23)</f>
        <v>0</v>
      </c>
      <c r="P23" s="691"/>
    </row>
    <row r="24" spans="1:19" ht="13">
      <c r="A24" s="555" t="s">
        <v>224</v>
      </c>
      <c r="B24" s="689">
        <f t="shared" ref="B24:M24" si="2">SUM(B23:B23)</f>
        <v>0</v>
      </c>
      <c r="C24" s="689">
        <f t="shared" si="2"/>
        <v>0</v>
      </c>
      <c r="D24" s="689">
        <f t="shared" si="2"/>
        <v>0</v>
      </c>
      <c r="E24" s="689">
        <f t="shared" si="2"/>
        <v>0</v>
      </c>
      <c r="F24" s="689">
        <f t="shared" si="2"/>
        <v>0</v>
      </c>
      <c r="G24" s="689">
        <f t="shared" si="2"/>
        <v>0</v>
      </c>
      <c r="H24" s="689">
        <f t="shared" si="2"/>
        <v>0</v>
      </c>
      <c r="I24" s="689">
        <f t="shared" si="2"/>
        <v>0</v>
      </c>
      <c r="J24" s="689">
        <f t="shared" si="2"/>
        <v>0</v>
      </c>
      <c r="K24" s="689">
        <f t="shared" si="2"/>
        <v>0</v>
      </c>
      <c r="L24" s="689">
        <f t="shared" si="2"/>
        <v>0</v>
      </c>
      <c r="M24" s="689">
        <f t="shared" si="2"/>
        <v>0</v>
      </c>
      <c r="N24" s="690">
        <f>SUM(B24:M24)</f>
        <v>0</v>
      </c>
      <c r="P24" s="691"/>
    </row>
    <row r="25" spans="1:19" ht="13">
      <c r="A25" s="320"/>
      <c r="B25" s="686"/>
      <c r="C25" s="686"/>
      <c r="D25" s="686"/>
      <c r="E25" s="686"/>
      <c r="F25" s="686"/>
      <c r="G25" s="693"/>
      <c r="H25" s="686"/>
      <c r="I25" s="693"/>
      <c r="J25" s="686"/>
      <c r="K25" s="686"/>
      <c r="L25" s="693"/>
      <c r="M25" s="686"/>
      <c r="N25" s="687"/>
    </row>
    <row r="26" spans="1:19" ht="13">
      <c r="A26" s="321"/>
      <c r="B26" s="686"/>
      <c r="C26" s="686"/>
      <c r="D26" s="686"/>
      <c r="E26" s="686"/>
      <c r="F26" s="686"/>
      <c r="G26" s="686"/>
      <c r="H26" s="686"/>
      <c r="I26" s="686"/>
      <c r="J26" s="686"/>
      <c r="K26" s="686"/>
      <c r="L26" s="686"/>
      <c r="M26" s="686"/>
      <c r="N26" s="687"/>
    </row>
    <row r="27" spans="1:19" ht="13">
      <c r="A27" s="321" t="s">
        <v>205</v>
      </c>
      <c r="B27" s="686">
        <v>0</v>
      </c>
      <c r="C27" s="686">
        <v>0</v>
      </c>
      <c r="D27" s="686">
        <v>0</v>
      </c>
      <c r="E27" s="686">
        <v>0</v>
      </c>
      <c r="F27" s="686">
        <v>0</v>
      </c>
      <c r="G27" s="686">
        <v>0</v>
      </c>
      <c r="H27" s="692">
        <v>0</v>
      </c>
      <c r="I27" s="692">
        <v>0</v>
      </c>
      <c r="J27" s="692">
        <v>0</v>
      </c>
      <c r="K27" s="692">
        <v>0</v>
      </c>
      <c r="L27" s="692">
        <v>0</v>
      </c>
      <c r="M27" s="692">
        <v>0</v>
      </c>
      <c r="N27" s="687">
        <f>SUM(B27:M27)</f>
        <v>0</v>
      </c>
    </row>
    <row r="28" spans="1:19">
      <c r="A28" s="685"/>
      <c r="B28" s="686"/>
      <c r="C28" s="686"/>
      <c r="D28" s="686"/>
      <c r="E28" s="686"/>
      <c r="F28" s="686"/>
      <c r="G28" s="686"/>
      <c r="H28" s="692"/>
      <c r="I28" s="692"/>
      <c r="J28" s="692"/>
      <c r="K28" s="692"/>
      <c r="L28" s="692"/>
      <c r="M28" s="694"/>
      <c r="N28" s="687" t="s">
        <v>56</v>
      </c>
    </row>
    <row r="29" spans="1:19" ht="13">
      <c r="A29" s="556" t="s">
        <v>211</v>
      </c>
      <c r="B29" s="689">
        <f t="shared" ref="B29:G29" si="3">SUM(B27:B28)</f>
        <v>0</v>
      </c>
      <c r="C29" s="689">
        <f t="shared" si="3"/>
        <v>0</v>
      </c>
      <c r="D29" s="689">
        <f t="shared" si="3"/>
        <v>0</v>
      </c>
      <c r="E29" s="689">
        <f t="shared" si="3"/>
        <v>0</v>
      </c>
      <c r="F29" s="689">
        <f t="shared" si="3"/>
        <v>0</v>
      </c>
      <c r="G29" s="689">
        <f t="shared" si="3"/>
        <v>0</v>
      </c>
      <c r="H29" s="689">
        <f>SUM(H26:H28)</f>
        <v>0</v>
      </c>
      <c r="I29" s="689">
        <f>SUM(I26:I28)</f>
        <v>0</v>
      </c>
      <c r="J29" s="689">
        <f>SUM(J27:J28)</f>
        <v>0</v>
      </c>
      <c r="K29" s="689">
        <f>SUM(K27:K28)</f>
        <v>0</v>
      </c>
      <c r="L29" s="689">
        <f>SUM(L27:L28)</f>
        <v>0</v>
      </c>
      <c r="M29" s="689">
        <f>SUM(M27:M28)</f>
        <v>0</v>
      </c>
      <c r="N29" s="690">
        <f>SUM(B29:M29)</f>
        <v>0</v>
      </c>
      <c r="O29" s="688"/>
    </row>
    <row r="30" spans="1:19" ht="10.5" customHeight="1">
      <c r="A30" s="695"/>
      <c r="B30" s="693"/>
      <c r="C30" s="693"/>
      <c r="D30" s="693"/>
      <c r="E30" s="693"/>
      <c r="F30" s="693"/>
      <c r="G30" s="693"/>
      <c r="H30" s="693"/>
      <c r="I30" s="693"/>
      <c r="J30" s="693"/>
      <c r="K30" s="693"/>
      <c r="L30" s="693"/>
      <c r="M30" s="693"/>
      <c r="N30" s="696"/>
    </row>
    <row r="31" spans="1:19" ht="15" customHeight="1">
      <c r="A31" s="554" t="s">
        <v>225</v>
      </c>
      <c r="B31" s="697">
        <v>0</v>
      </c>
      <c r="C31" s="697">
        <v>0</v>
      </c>
      <c r="D31" s="697">
        <v>0</v>
      </c>
      <c r="E31" s="697">
        <v>0</v>
      </c>
      <c r="F31" s="697">
        <v>0</v>
      </c>
      <c r="G31" s="697">
        <v>0</v>
      </c>
      <c r="H31" s="697">
        <v>0</v>
      </c>
      <c r="I31" s="697">
        <v>0</v>
      </c>
      <c r="J31" s="689">
        <v>0</v>
      </c>
      <c r="K31" s="689">
        <v>0</v>
      </c>
      <c r="L31" s="697">
        <v>0</v>
      </c>
      <c r="M31" s="697">
        <v>0</v>
      </c>
      <c r="N31" s="698">
        <f>SUM(B31:M31)</f>
        <v>0</v>
      </c>
      <c r="O31" s="699"/>
      <c r="P31" s="699"/>
      <c r="Q31" s="699"/>
      <c r="R31" s="699"/>
      <c r="S31" s="700"/>
    </row>
    <row r="32" spans="1:19" ht="15" customHeight="1" thickBot="1">
      <c r="A32" s="322" t="s">
        <v>343</v>
      </c>
      <c r="B32" s="701">
        <f t="shared" ref="B32:M32" si="4">B13+B20+B24+B29+B31</f>
        <v>0</v>
      </c>
      <c r="C32" s="701">
        <f t="shared" si="4"/>
        <v>0</v>
      </c>
      <c r="D32" s="701">
        <f t="shared" si="4"/>
        <v>0</v>
      </c>
      <c r="E32" s="701">
        <f t="shared" si="4"/>
        <v>0</v>
      </c>
      <c r="F32" s="701">
        <f t="shared" si="4"/>
        <v>0</v>
      </c>
      <c r="G32" s="701">
        <f t="shared" si="4"/>
        <v>0</v>
      </c>
      <c r="H32" s="701">
        <f t="shared" si="4"/>
        <v>10.292</v>
      </c>
      <c r="I32" s="701">
        <f t="shared" si="4"/>
        <v>0</v>
      </c>
      <c r="J32" s="701">
        <f t="shared" si="4"/>
        <v>0</v>
      </c>
      <c r="K32" s="701">
        <f t="shared" si="4"/>
        <v>0</v>
      </c>
      <c r="L32" s="701">
        <f t="shared" si="4"/>
        <v>0</v>
      </c>
      <c r="M32" s="701">
        <f t="shared" si="4"/>
        <v>0</v>
      </c>
      <c r="N32" s="702">
        <f>SUM(B32:M32)</f>
        <v>10.292</v>
      </c>
      <c r="O32" s="699"/>
      <c r="P32" s="699"/>
      <c r="Q32" s="699"/>
      <c r="R32" s="699"/>
      <c r="S32" s="700"/>
    </row>
    <row r="33" spans="1:15" s="681" customFormat="1" ht="26.25" customHeight="1" thickBot="1">
      <c r="A33" s="530" t="s">
        <v>344</v>
      </c>
      <c r="B33" s="703">
        <f>B32</f>
        <v>0</v>
      </c>
      <c r="C33" s="704">
        <f>C32</f>
        <v>0</v>
      </c>
      <c r="D33" s="704">
        <f>D32+0.018</f>
        <v>1.7999999999999999E-2</v>
      </c>
      <c r="E33" s="704">
        <f>E32+0.025</f>
        <v>2.5000000000000001E-2</v>
      </c>
      <c r="F33" s="704">
        <f>F32+0.025</f>
        <v>2.5000000000000001E-2</v>
      </c>
      <c r="G33" s="704">
        <f>G32+0.029</f>
        <v>2.9000000000000001E-2</v>
      </c>
      <c r="H33" s="704">
        <f>H32+0.038</f>
        <v>10.33</v>
      </c>
      <c r="I33" s="704">
        <v>0</v>
      </c>
      <c r="J33" s="704">
        <v>0</v>
      </c>
      <c r="K33" s="704">
        <v>0</v>
      </c>
      <c r="L33" s="704">
        <v>0</v>
      </c>
      <c r="M33" s="704">
        <v>0</v>
      </c>
      <c r="N33" s="705">
        <f>SUM(B33:M33)</f>
        <v>10.427</v>
      </c>
      <c r="O33" s="706"/>
    </row>
    <row r="34" spans="1:15" ht="13">
      <c r="A34" s="36"/>
      <c r="B34" s="37"/>
      <c r="C34" s="37"/>
      <c r="D34" s="37"/>
      <c r="E34" s="37"/>
      <c r="F34" s="37"/>
      <c r="G34" s="37"/>
      <c r="H34" s="37"/>
      <c r="I34" s="37"/>
      <c r="J34" s="37"/>
      <c r="K34" s="37"/>
      <c r="L34" s="37"/>
      <c r="M34" s="37"/>
      <c r="N34" s="37"/>
    </row>
    <row r="35" spans="1:15" ht="14">
      <c r="A35" s="416" t="s">
        <v>63</v>
      </c>
      <c r="B35" s="707"/>
      <c r="C35" s="707"/>
      <c r="D35" s="707"/>
      <c r="E35" s="707"/>
      <c r="F35" s="707"/>
      <c r="G35" s="707"/>
      <c r="H35" s="707"/>
      <c r="I35" s="707"/>
      <c r="J35" s="707"/>
      <c r="K35" s="707"/>
      <c r="L35" s="707"/>
      <c r="M35" s="707"/>
      <c r="N35" s="707"/>
    </row>
    <row r="36" spans="1:15" ht="14">
      <c r="A36" s="524" t="s">
        <v>362</v>
      </c>
      <c r="B36" s="525"/>
      <c r="C36" s="525"/>
      <c r="D36" s="525"/>
      <c r="E36" s="525"/>
      <c r="F36" s="525"/>
      <c r="G36" s="525"/>
      <c r="H36" s="525"/>
      <c r="I36" s="525"/>
      <c r="J36" s="525"/>
      <c r="K36" s="525"/>
      <c r="L36" s="525"/>
      <c r="M36" s="525"/>
      <c r="N36" s="525"/>
    </row>
    <row r="37" spans="1:15" ht="15" customHeight="1">
      <c r="A37" s="752"/>
      <c r="B37" s="752"/>
      <c r="C37" s="752"/>
      <c r="D37" s="752"/>
      <c r="E37" s="752"/>
      <c r="F37" s="752"/>
      <c r="G37" s="752"/>
      <c r="H37" s="752"/>
      <c r="I37" s="752"/>
      <c r="J37" s="752"/>
      <c r="K37" s="752"/>
      <c r="L37" s="752"/>
      <c r="M37" s="752"/>
      <c r="N37" s="752"/>
    </row>
    <row r="38" spans="1:15" ht="15" customHeight="1">
      <c r="A38" s="526"/>
      <c r="B38" s="679"/>
      <c r="C38" s="679"/>
      <c r="D38" s="679"/>
      <c r="E38" s="679"/>
      <c r="F38" s="679"/>
      <c r="G38" s="679"/>
      <c r="H38" s="679"/>
      <c r="I38" s="679"/>
      <c r="J38" s="679"/>
      <c r="K38" s="679"/>
      <c r="L38" s="679"/>
      <c r="M38" s="679"/>
      <c r="N38" s="679"/>
    </row>
    <row r="39" spans="1:15" ht="15" customHeight="1">
      <c r="A39" s="708"/>
      <c r="B39" s="679"/>
      <c r="C39" s="679"/>
      <c r="D39" s="679"/>
      <c r="E39" s="679"/>
      <c r="F39" s="679"/>
      <c r="G39" s="679"/>
      <c r="H39" s="679"/>
      <c r="I39" s="679"/>
      <c r="J39" s="679"/>
      <c r="K39" s="679"/>
      <c r="L39" s="679"/>
      <c r="M39" s="679"/>
      <c r="N39" s="679"/>
    </row>
    <row r="40" spans="1:15" ht="15" customHeight="1">
      <c r="A40" s="709"/>
      <c r="B40" s="495"/>
      <c r="C40" s="495"/>
      <c r="D40" s="495"/>
      <c r="E40" s="495"/>
      <c r="F40" s="495"/>
      <c r="G40" s="495"/>
      <c r="H40" s="495"/>
      <c r="I40" s="495"/>
      <c r="J40" s="495"/>
      <c r="K40" s="495"/>
      <c r="L40" s="495"/>
      <c r="M40" s="495"/>
      <c r="N40" s="495"/>
    </row>
    <row r="41" spans="1:15" ht="14.5">
      <c r="A41" s="235" t="s">
        <v>64</v>
      </c>
      <c r="E41" s="123"/>
    </row>
    <row r="42" spans="1:15">
      <c r="H42" s="688"/>
    </row>
  </sheetData>
  <mergeCells count="1">
    <mergeCell ref="A37:N37"/>
  </mergeCells>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60"/>
  <sheetViews>
    <sheetView showGridLines="0" showRuler="0" zoomScaleNormal="100" zoomScaleSheetLayoutView="80" workbookViewId="0">
      <selection activeCell="A29" sqref="A28:A29"/>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48" t="s">
        <v>39</v>
      </c>
    </row>
    <row r="2" spans="1:31" ht="13">
      <c r="H2" s="148" t="s">
        <v>40</v>
      </c>
      <c r="Q2" s="12"/>
      <c r="R2" s="86"/>
    </row>
    <row r="3" spans="1:31" ht="13">
      <c r="C3" s="152"/>
      <c r="E3" s="152"/>
      <c r="G3" s="152"/>
      <c r="H3" s="151" t="s">
        <v>336</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87"/>
    </row>
    <row r="6" spans="1:31" ht="13">
      <c r="A6" s="88"/>
      <c r="B6" s="89"/>
      <c r="C6" s="422" t="s">
        <v>41</v>
      </c>
      <c r="D6" s="89"/>
      <c r="E6" s="89"/>
      <c r="F6" s="89" t="s">
        <v>42</v>
      </c>
      <c r="G6" s="89"/>
      <c r="H6" s="89"/>
      <c r="I6" s="89" t="s">
        <v>43</v>
      </c>
      <c r="J6" s="89"/>
      <c r="K6" s="89"/>
      <c r="L6" s="89" t="s">
        <v>44</v>
      </c>
      <c r="M6" s="89"/>
      <c r="N6" s="89"/>
      <c r="O6" s="89" t="s">
        <v>31</v>
      </c>
      <c r="P6" s="89"/>
      <c r="Q6" s="89"/>
      <c r="R6" s="89" t="s">
        <v>45</v>
      </c>
      <c r="S6" s="89"/>
      <c r="T6" s="175"/>
    </row>
    <row r="7" spans="1:31" ht="42.5">
      <c r="A7" s="176" t="s">
        <v>46</v>
      </c>
      <c r="B7" s="195" t="s">
        <v>47</v>
      </c>
      <c r="C7" s="178" t="s">
        <v>48</v>
      </c>
      <c r="D7" s="168" t="s">
        <v>49</v>
      </c>
      <c r="E7" s="177" t="s">
        <v>47</v>
      </c>
      <c r="F7" s="178" t="s">
        <v>48</v>
      </c>
      <c r="G7" s="168" t="s">
        <v>49</v>
      </c>
      <c r="H7" s="177" t="s">
        <v>47</v>
      </c>
      <c r="I7" s="178" t="s">
        <v>48</v>
      </c>
      <c r="J7" s="168" t="s">
        <v>49</v>
      </c>
      <c r="K7" s="177" t="s">
        <v>47</v>
      </c>
      <c r="L7" s="178" t="s">
        <v>48</v>
      </c>
      <c r="M7" s="168" t="s">
        <v>49</v>
      </c>
      <c r="N7" s="177" t="s">
        <v>47</v>
      </c>
      <c r="O7" s="178" t="s">
        <v>48</v>
      </c>
      <c r="P7" s="168" t="s">
        <v>49</v>
      </c>
      <c r="Q7" s="177" t="s">
        <v>47</v>
      </c>
      <c r="R7" s="178" t="s">
        <v>48</v>
      </c>
      <c r="S7" s="168" t="s">
        <v>49</v>
      </c>
      <c r="T7" s="168" t="s">
        <v>50</v>
      </c>
    </row>
    <row r="8" spans="1:31" ht="13">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0">
        <f>B9*(INDEX('Ex ante LI &amp; Eligibility Stats'!$A:$M,MATCH('Program MW '!$A9,'Ex ante LI &amp; Eligibility Stats'!$A:$A,0),MATCH('Program MW '!C$6,'Ex ante LI &amp; Eligibility Stats'!$A$8:$M$8,0))/1000)</f>
        <v>0.591757080078125</v>
      </c>
      <c r="D9" s="326">
        <f>B9*(INDEX('Ex post LI &amp; Eligibility Stats'!$A:$N,MATCH($A9,'Ex post LI &amp; Eligibility Stats'!$A:$A,0),MATCH('Program MW '!C$6,'Ex post LI &amp; Eligibility Stats'!$A$8:$N$8,0))/1000)</f>
        <v>0.42431999999999997</v>
      </c>
      <c r="E9" s="14">
        <v>4</v>
      </c>
      <c r="F9" s="326">
        <f>E9*(INDEX('Ex ante LI &amp; Eligibility Stats'!$A:$M,MATCH('Program MW '!$A9,'Ex ante LI &amp; Eligibility Stats'!$A:$A,0),MATCH('Program MW '!F$6,'Ex ante LI &amp; Eligibility Stats'!$A$8:$M$8,0))/1000)</f>
        <v>0.49343344116210935</v>
      </c>
      <c r="G9" s="326">
        <f>E9*(INDEX('Ex post LI &amp; Eligibility Stats'!$A:$N,MATCH($A9,'Ex post LI &amp; Eligibility Stats'!$A:$A,0),MATCH('Program MW '!F$6,'Ex post LI &amp; Eligibility Stats'!$A$8:$N$8,0))/1000)</f>
        <v>0.42431999999999997</v>
      </c>
      <c r="H9" s="14">
        <v>4</v>
      </c>
      <c r="I9" s="326">
        <f>H9*(INDEX('Ex ante LI &amp; Eligibility Stats'!$A:$M,MATCH('Program MW '!$A9,'Ex ante LI &amp; Eligibility Stats'!$A:$A,0),MATCH('Program MW '!I$6,'Ex ante LI &amp; Eligibility Stats'!$A$8:$M$8,0))/1000)</f>
        <v>0.61670471191406251</v>
      </c>
      <c r="J9" s="326">
        <f>H9*(INDEX('Ex post LI &amp; Eligibility Stats'!$A:$N,MATCH($A9,'Ex post LI &amp; Eligibility Stats'!$A:$A,0),MATCH('Program MW '!I$6,'Ex post LI &amp; Eligibility Stats'!$A$8:$N$8,0))/1000)</f>
        <v>0.42399999999999999</v>
      </c>
      <c r="K9" s="14">
        <v>2</v>
      </c>
      <c r="L9" s="326">
        <f>K9*(INDEX('Ex ante LI &amp; Eligibility Stats'!$A:$M,MATCH('Program MW '!$A9,'Ex ante LI &amp; Eligibility Stats'!$A:$A,0),MATCH('Program MW '!L$6,'Ex ante LI &amp; Eligibility Stats'!$A$8:$M$8,0))/1000)</f>
        <v>0.28272567749023436</v>
      </c>
      <c r="M9" s="326">
        <f>K9*(INDEX('Ex post LI &amp; Eligibility Stats'!$A:$N,MATCH($A9,'Ex post LI &amp; Eligibility Stats'!$A:$A,0),MATCH('Program MW '!L$6,'Ex post LI &amp; Eligibility Stats'!$A$8:$N$8,0))/1000)</f>
        <v>0.21199999999999999</v>
      </c>
      <c r="N9" s="14">
        <v>2</v>
      </c>
      <c r="O9" s="326">
        <f>N9*(INDEX('Ex ante LI &amp; Eligibility Stats'!$A:$M,MATCH('Program MW '!$A9,'Ex ante LI &amp; Eligibility Stats'!$A:$A,0),MATCH('Program MW '!O$6,'Ex ante LI &amp; Eligibility Stats'!$A$8:$M$8,0))/1000)</f>
        <v>0.27460052490234377</v>
      </c>
      <c r="P9" s="326">
        <f>N9*(INDEX('Ex post LI &amp; Eligibility Stats'!$A:$N,MATCH($A9,'Ex post LI &amp; Eligibility Stats'!$A:$A,0),MATCH('Program MW '!O$6,'Ex post LI &amp; Eligibility Stats'!$A$8:$N$8,0))/1000)</f>
        <v>0.21199999999999999</v>
      </c>
      <c r="Q9" s="124">
        <v>1</v>
      </c>
      <c r="R9" s="326">
        <f>Q9*(INDEX('Ex ante LI &amp; Eligibility Stats'!$A:$M,MATCH('Program MW '!$A9,'Ex ante LI &amp; Eligibility Stats'!$A:$A,0),MATCH('Program MW '!R$6,'Ex ante LI &amp; Eligibility Stats'!$A$8:$M$8,0))/1000)</f>
        <v>0.16708448791503908</v>
      </c>
      <c r="S9" s="326">
        <f>Q9*(INDEX('Ex post LI &amp; Eligibility Stats'!$A:$N,MATCH($A9,'Ex post LI &amp; Eligibility Stats'!$A:$A,0),MATCH('Program MW '!R$6,'Ex post LI &amp; Eligibility Stats'!$A$8:$N$8,0))/1000)</f>
        <v>0.106</v>
      </c>
      <c r="T9" s="4">
        <v>5276</v>
      </c>
    </row>
    <row r="10" spans="1:31" ht="13.5" thickBot="1">
      <c r="A10" s="184" t="s">
        <v>52</v>
      </c>
      <c r="B10" s="154">
        <f t="shared" ref="B10:Q10" si="0">SUM(B9:B9)</f>
        <v>4</v>
      </c>
      <c r="C10" s="170">
        <f t="shared" si="0"/>
        <v>0.591757080078125</v>
      </c>
      <c r="D10" s="170">
        <f t="shared" si="0"/>
        <v>0.42431999999999997</v>
      </c>
      <c r="E10" s="1">
        <f t="shared" si="0"/>
        <v>4</v>
      </c>
      <c r="F10" s="226">
        <f t="shared" si="0"/>
        <v>0.49343344116210935</v>
      </c>
      <c r="G10" s="226">
        <f t="shared" si="0"/>
        <v>0.42431999999999997</v>
      </c>
      <c r="H10" s="1">
        <f t="shared" si="0"/>
        <v>4</v>
      </c>
      <c r="I10" s="226">
        <f t="shared" si="0"/>
        <v>0.61670471191406251</v>
      </c>
      <c r="J10" s="226">
        <f t="shared" si="0"/>
        <v>0.42399999999999999</v>
      </c>
      <c r="K10" s="1">
        <f>SUM(K9)</f>
        <v>2</v>
      </c>
      <c r="L10" s="226">
        <f t="shared" ref="L10:M10" si="1">SUM(L9:L9)</f>
        <v>0.28272567749023436</v>
      </c>
      <c r="M10" s="226">
        <f t="shared" si="1"/>
        <v>0.21199999999999999</v>
      </c>
      <c r="N10" s="1">
        <f t="shared" si="0"/>
        <v>2</v>
      </c>
      <c r="O10" s="226">
        <f t="shared" si="0"/>
        <v>0.27460052490234377</v>
      </c>
      <c r="P10" s="226">
        <f t="shared" si="0"/>
        <v>0.21199999999999999</v>
      </c>
      <c r="Q10" s="125">
        <f t="shared" si="0"/>
        <v>1</v>
      </c>
      <c r="R10" s="226">
        <f t="shared" ref="R10:S10" si="2">SUM(R9:R9)</f>
        <v>0.16708448791503908</v>
      </c>
      <c r="S10" s="226">
        <f t="shared" si="2"/>
        <v>0.106</v>
      </c>
      <c r="T10" s="5"/>
    </row>
    <row r="11" spans="1:31" ht="13.5" thickTop="1">
      <c r="A11" s="162" t="s">
        <v>53</v>
      </c>
      <c r="B11" s="171"/>
      <c r="C11" s="169"/>
      <c r="D11" s="172"/>
      <c r="E11" s="185"/>
      <c r="F11" s="186"/>
      <c r="G11" s="187"/>
      <c r="H11" s="185"/>
      <c r="I11" s="188"/>
      <c r="J11" s="187"/>
      <c r="K11" s="185"/>
      <c r="L11" s="188"/>
      <c r="M11" s="187"/>
      <c r="N11" s="185"/>
      <c r="O11" s="331"/>
      <c r="P11" s="332"/>
      <c r="Q11" s="189"/>
      <c r="R11" s="188"/>
      <c r="S11" s="190"/>
      <c r="T11" s="183"/>
      <c r="Y11" s="6"/>
      <c r="Z11" s="6"/>
      <c r="AA11" s="6"/>
      <c r="AB11" s="6"/>
      <c r="AC11" s="6"/>
      <c r="AD11" s="6"/>
      <c r="AE11" s="6"/>
    </row>
    <row r="12" spans="1:31">
      <c r="A12" s="42" t="s">
        <v>11</v>
      </c>
      <c r="B12" s="158">
        <v>14093</v>
      </c>
      <c r="C12" s="326">
        <f>B12*(INDEX('Ex ante LI &amp; Eligibility Stats'!$A:$M,MATCH($A12,'Ex ante LI &amp; Eligibility Stats'!$A:$A,0),MATCH('Program MW '!C$6,'Ex ante LI &amp; Eligibility Stats'!$A$8:$M$8,0))/1000)</f>
        <v>1.9730200000000002</v>
      </c>
      <c r="D12" s="325">
        <f>B12*(INDEX('Ex post LI &amp; Eligibility Stats'!$A:$N,MATCH($A12,'Ex post LI &amp; Eligibility Stats'!$A:$A,0),MATCH('Program MW '!C$6,'Ex post LI &amp; Eligibility Stats'!$A$8:$N$8,0))/1000)</f>
        <v>5.6372</v>
      </c>
      <c r="E12" s="158">
        <v>14068</v>
      </c>
      <c r="F12" s="324">
        <f>E12*(INDEX('Ex ante LI &amp; Eligibility Stats'!$A:$M,MATCH($A12,'Ex ante LI &amp; Eligibility Stats'!$A:$A,0),MATCH('Program MW '!F$6,'Ex ante LI &amp; Eligibility Stats'!$A$8:$M$8,0))/1000)</f>
        <v>1.9695200000000002</v>
      </c>
      <c r="G12" s="325">
        <f>E12*(INDEX('Ex post LI &amp; Eligibility Stats'!$A:$N,MATCH($A12,'Ex post LI &amp; Eligibility Stats'!$A:$A,0),MATCH('Program MW '!F$6,'Ex post LI &amp; Eligibility Stats'!$A$8:$N$8,0))/1000)</f>
        <v>5.6272000000000002</v>
      </c>
      <c r="H12" s="158">
        <v>13616</v>
      </c>
      <c r="I12" s="326">
        <f>H12*(INDEX('Ex ante LI &amp; Eligibility Stats'!$A:$M,MATCH('Program MW '!$A12,'Ex ante LI &amp; Eligibility Stats'!$A:$A,0),MATCH('Program MW '!I$6,'Ex ante LI &amp; Eligibility Stats'!$A$8:$M$8,0))/1000)</f>
        <v>0</v>
      </c>
      <c r="J12" s="325">
        <f>H12*(INDEX('Ex post LI &amp; Eligibility Stats'!$A:$N,MATCH($A12,'Ex post LI &amp; Eligibility Stats'!$A:$A,0),MATCH('Program MW '!I$6,'Ex post LI &amp; Eligibility Stats'!$A$8:$N$8,0))/1000)</f>
        <v>6.552116814289886</v>
      </c>
      <c r="K12" s="158">
        <v>14076</v>
      </c>
      <c r="L12" s="326">
        <f>K12*(INDEX('Ex ante LI &amp; Eligibility Stats'!$A:$M,MATCH('Program MW '!$A12,'Ex ante LI &amp; Eligibility Stats'!$A:$A,0),MATCH('Program MW '!L$6,'Ex ante LI &amp; Eligibility Stats'!$A$8:$M$8,0))/1000)</f>
        <v>0</v>
      </c>
      <c r="M12" s="325">
        <f>K12*(INDEX('Ex post LI &amp; Eligibility Stats'!$A:$N,MATCH($A12,'Ex post LI &amp; Eligibility Stats'!$A:$A,0),MATCH('Program MW '!L$6,'Ex post LI &amp; Eligibility Stats'!$A$8:$N$8,0))/1000)</f>
        <v>6.7734721120699497</v>
      </c>
      <c r="N12" s="158">
        <v>13310</v>
      </c>
      <c r="O12" s="326">
        <f>N12*(INDEX('Ex ante LI &amp; Eligibility Stats'!$A:$M,MATCH('Program MW '!$A12,'Ex ante LI &amp; Eligibility Stats'!$A:$A,0),MATCH('Program MW '!O$6,'Ex ante LI &amp; Eligibility Stats'!$A$8:$M$8,0))/1000)</f>
        <v>0</v>
      </c>
      <c r="P12" s="325">
        <f>N12*(INDEX('Ex post LI &amp; Eligibility Stats'!$A:$N,MATCH($A12,'Ex post LI &amp; Eligibility Stats'!$A:$A,0),MATCH('Program MW '!O$6,'Ex post LI &amp; Eligibility Stats'!$A$8:$N$8,0))/1000)</f>
        <v>6.4048674205492349</v>
      </c>
      <c r="Q12" s="158">
        <v>7017</v>
      </c>
      <c r="R12" s="326">
        <f>Q12*(INDEX('Ex ante LI &amp; Eligibility Stats'!$A:$M,MATCH('Program MW '!$A12,'Ex ante LI &amp; Eligibility Stats'!$A:$A,0),MATCH('Program MW '!R$6,'Ex ante LI &amp; Eligibility Stats'!$A$8:$M$8,0))/1000)</f>
        <v>0</v>
      </c>
      <c r="S12" s="325">
        <f>Q12*(INDEX('Ex post LI &amp; Eligibility Stats'!$A:$N,MATCH($A12,'Ex post LI &amp; Eligibility Stats'!$A:$A,0),MATCH('Program MW '!R$6,'Ex post LI &amp; Eligibility Stats'!$A$8:$N$8,0))/1000)</f>
        <v>3.3766307054841458</v>
      </c>
      <c r="T12" s="7">
        <v>138123</v>
      </c>
      <c r="U12" s="6"/>
      <c r="V12" s="6"/>
      <c r="W12" s="6"/>
      <c r="X12" s="6"/>
      <c r="Y12" s="6"/>
      <c r="Z12" s="6"/>
      <c r="AA12" s="6"/>
      <c r="AB12" s="6"/>
      <c r="AC12" s="6"/>
      <c r="AD12" s="6"/>
      <c r="AE12" s="6"/>
    </row>
    <row r="13" spans="1:31" ht="13.5">
      <c r="A13" s="205" t="s">
        <v>54</v>
      </c>
      <c r="B13" s="206">
        <v>0</v>
      </c>
      <c r="C13" s="326">
        <v>0</v>
      </c>
      <c r="D13" s="327">
        <v>0</v>
      </c>
      <c r="E13" s="206">
        <v>0</v>
      </c>
      <c r="F13" s="326">
        <v>0</v>
      </c>
      <c r="G13" s="327">
        <v>0</v>
      </c>
      <c r="H13" s="206">
        <v>0</v>
      </c>
      <c r="I13" s="326">
        <v>0</v>
      </c>
      <c r="J13" s="327">
        <v>0</v>
      </c>
      <c r="K13" s="206">
        <v>0</v>
      </c>
      <c r="L13" s="326">
        <v>0</v>
      </c>
      <c r="M13" s="327">
        <v>0</v>
      </c>
      <c r="N13" s="206">
        <v>0</v>
      </c>
      <c r="O13" s="326">
        <v>0</v>
      </c>
      <c r="P13" s="327">
        <v>0</v>
      </c>
      <c r="Q13" s="206">
        <v>0</v>
      </c>
      <c r="R13" s="326">
        <v>0</v>
      </c>
      <c r="S13" s="327">
        <v>0</v>
      </c>
      <c r="T13" s="4"/>
      <c r="U13" s="6"/>
      <c r="V13" s="6"/>
      <c r="W13" s="6"/>
      <c r="X13" s="6"/>
      <c r="Y13" s="6"/>
      <c r="Z13" s="6"/>
      <c r="AA13" s="6"/>
      <c r="AB13" s="6"/>
      <c r="AC13" s="6"/>
      <c r="AD13" s="6"/>
      <c r="AE13" s="6"/>
    </row>
    <row r="14" spans="1:31">
      <c r="A14" s="270" t="s">
        <v>17</v>
      </c>
      <c r="B14" s="159">
        <v>17376</v>
      </c>
      <c r="C14" s="326">
        <f>B14*(INDEX('Ex ante LI &amp; Eligibility Stats'!$A:$M,MATCH($A14,'Ex ante LI &amp; Eligibility Stats'!$A:$A,0),MATCH('Program MW '!C$6,'Ex ante LI &amp; Eligibility Stats'!$A$8:$M$8,0))/1000)</f>
        <v>1.9547919699107298E-4</v>
      </c>
      <c r="D14" s="327">
        <f>B14*(INDEX('Ex post LI &amp; Eligibility Stats'!$A:$N,MATCH($A14,'Ex post LI &amp; Eligibility Stats'!$A:$A,0),MATCH('Program MW '!C$6,'Ex post LI &amp; Eligibility Stats'!$A$8:$N$8,0))/1000)</f>
        <v>5.5603200000000008</v>
      </c>
      <c r="E14" s="159">
        <v>17278</v>
      </c>
      <c r="F14" s="326">
        <f>E14*(INDEX('Ex ante LI &amp; Eligibility Stats'!$A:$M,MATCH($A14,'Ex ante LI &amp; Eligibility Stats'!$A:$A,0),MATCH('Program MW '!F$6,'Ex ante LI &amp; Eligibility Stats'!$A$8:$M$8,0))/1000)</f>
        <v>4.5015298280304707E-5</v>
      </c>
      <c r="G14" s="327">
        <f>E14*(INDEX('Ex post LI &amp; Eligibility Stats'!$A:$N,MATCH($A14,'Ex post LI &amp; Eligibility Stats'!$A:$A,0),MATCH('Program MW '!F$6,'Ex post LI &amp; Eligibility Stats'!$A$8:$N$8,0))/1000)</f>
        <v>5.5289600000000005</v>
      </c>
      <c r="H14" s="159">
        <v>17050</v>
      </c>
      <c r="I14" s="326">
        <f>H14*(INDEX('Ex ante LI &amp; Eligibility Stats'!$A:$M,MATCH('Program MW '!$A14,'Ex ante LI &amp; Eligibility Stats'!$A:$A,0),MATCH('Program MW '!I$6,'Ex ante LI &amp; Eligibility Stats'!$A$8:$M$8,0))/1000)</f>
        <v>0</v>
      </c>
      <c r="J14" s="327">
        <f>H14*(INDEX('Ex post LI &amp; Eligibility Stats'!$A:$N,MATCH($A14,'Ex post LI &amp; Eligibility Stats'!$A:$A,0),MATCH('Program MW '!I$6,'Ex post LI &amp; Eligibility Stats'!$A$8:$N$8,0))/1000)</f>
        <v>5.1198614791035659</v>
      </c>
      <c r="K14" s="159">
        <v>17283</v>
      </c>
      <c r="L14" s="326">
        <f>K14*(INDEX('Ex ante LI &amp; Eligibility Stats'!$A:$M,MATCH('Program MW '!$A14,'Ex ante LI &amp; Eligibility Stats'!$A:$A,0),MATCH('Program MW '!L$6,'Ex ante LI &amp; Eligibility Stats'!$A$8:$M$8,0))/1000)</f>
        <v>0.63219965072348705</v>
      </c>
      <c r="M14" s="327">
        <f>K14*(INDEX('Ex post LI &amp; Eligibility Stats'!$A:$N,MATCH($A14,'Ex post LI &amp; Eligibility Stats'!$A:$A,0),MATCH('Program MW '!L$6,'Ex post LI &amp; Eligibility Stats'!$A$8:$N$8,0))/1000)</f>
        <v>5.1898279145658019</v>
      </c>
      <c r="N14" s="159">
        <v>17130</v>
      </c>
      <c r="O14" s="326">
        <f>N14*(INDEX('Ex ante LI &amp; Eligibility Stats'!$A:$M,MATCH('Program MW '!$A14,'Ex ante LI &amp; Eligibility Stats'!$A:$A,0),MATCH('Program MW '!O$6,'Ex ante LI &amp; Eligibility Stats'!$A$8:$M$8,0))/1000)</f>
        <v>1.3920932315289973</v>
      </c>
      <c r="P14" s="327">
        <f>N14*(INDEX('Ex post LI &amp; Eligibility Stats'!$A:$N,MATCH($A14,'Ex post LI &amp; Eligibility Stats'!$A:$A,0),MATCH('Program MW '!O$6,'Ex post LI &amp; Eligibility Stats'!$A$8:$N$8,0))/1000)</f>
        <v>5.1438842895627026</v>
      </c>
      <c r="Q14" s="159">
        <v>14623</v>
      </c>
      <c r="R14" s="326">
        <f>Q14*(INDEX('Ex ante LI &amp; Eligibility Stats'!$A:$M,MATCH('Program MW '!$A14,'Ex ante LI &amp; Eligibility Stats'!$A:$A,0),MATCH('Program MW '!R$6,'Ex ante LI &amp; Eligibility Stats'!$A$8:$M$8,0))/1000)</f>
        <v>0.75110183168202638</v>
      </c>
      <c r="S14" s="327">
        <f>Q14*(INDEX('Ex post LI &amp; Eligibility Stats'!$A:$N,MATCH($A14,'Ex post LI &amp; Eligibility Stats'!$A:$A,0),MATCH('Program MW '!R$6,'Ex post LI &amp; Eligibility Stats'!$A$8:$N$8,0))/1000)</f>
        <v>4.3910694667994976</v>
      </c>
      <c r="T14" s="4">
        <v>663393.5</v>
      </c>
      <c r="U14" s="6"/>
      <c r="V14" s="6"/>
      <c r="W14" s="6"/>
      <c r="X14" s="6"/>
      <c r="Y14" s="6"/>
      <c r="Z14" s="6"/>
      <c r="AA14" s="6"/>
      <c r="AB14" s="6"/>
      <c r="AC14" s="6"/>
      <c r="AD14" s="6"/>
      <c r="AE14" s="6"/>
    </row>
    <row r="15" spans="1:31">
      <c r="A15" s="156" t="s">
        <v>20</v>
      </c>
      <c r="B15" s="159">
        <v>704</v>
      </c>
      <c r="C15" s="326">
        <f>B15*(INDEX('Ex ante LI &amp; Eligibility Stats'!$A:$M,MATCH($A15,'Ex ante LI &amp; Eligibility Stats'!$A:$A,0),MATCH('Program MW '!C$6,'Ex ante LI &amp; Eligibility Stats'!$A$8:$M$8,0))/1000)</f>
        <v>2.559620887041092E-4</v>
      </c>
      <c r="D15" s="327">
        <f>B15*(INDEX('Ex post LI &amp; Eligibility Stats'!$A:$N,MATCH($A15,'Ex post LI &amp; Eligibility Stats'!$A:$A,0),MATCH('Program MW '!C$6,'Ex post LI &amp; Eligibility Stats'!$A$8:$N$8,0))/1000)</f>
        <v>0.32384000000000002</v>
      </c>
      <c r="E15" s="159">
        <v>704</v>
      </c>
      <c r="F15" s="326">
        <f>E15*(INDEX('Ex ante LI &amp; Eligibility Stats'!$A:$M,MATCH($A15,'Ex ante LI &amp; Eligibility Stats'!$A:$A,0),MATCH('Program MW '!F$6,'Ex ante LI &amp; Eligibility Stats'!$A$8:$M$8,0))/1000)</f>
        <v>5.9277471620589494E-5</v>
      </c>
      <c r="G15" s="327">
        <f>E15*(INDEX('Ex post LI &amp; Eligibility Stats'!$A:$N,MATCH($A15,'Ex post LI &amp; Eligibility Stats'!$A:$A,0),MATCH('Program MW '!F$6,'Ex post LI &amp; Eligibility Stats'!$A$8:$N$8,0))/1000)</f>
        <v>0.32384000000000002</v>
      </c>
      <c r="H15" s="159">
        <v>268</v>
      </c>
      <c r="I15" s="326">
        <f>H15*(INDEX('Ex ante LI &amp; Eligibility Stats'!$A:$M,MATCH('Program MW '!$A15,'Ex ante LI &amp; Eligibility Stats'!$A:$A,0),MATCH('Program MW '!I$6,'Ex ante LI &amp; Eligibility Stats'!$A$8:$M$8,0))/1000)</f>
        <v>0</v>
      </c>
      <c r="J15" s="327">
        <f>H15*(INDEX('Ex post LI &amp; Eligibility Stats'!$A:$N,MATCH($A15,'Ex post LI &amp; Eligibility Stats'!$A:$A,0),MATCH('Program MW '!I$6,'Ex post LI &amp; Eligibility Stats'!$A$8:$N$8,0))/1000)</f>
        <v>0.12431036806106567</v>
      </c>
      <c r="K15" s="159">
        <v>268</v>
      </c>
      <c r="L15" s="326">
        <f>K15*(INDEX('Ex ante LI &amp; Eligibility Stats'!$A:$M,MATCH('Program MW '!$A15,'Ex ante LI &amp; Eligibility Stats'!$A:$A,0),MATCH('Program MW '!L$6,'Ex ante LI &amp; Eligibility Stats'!$A$8:$M$8,0))/1000)</f>
        <v>9.207833182811738E-2</v>
      </c>
      <c r="M15" s="327">
        <f>K15*(INDEX('Ex post LI &amp; Eligibility Stats'!$A:$N,MATCH($A15,'Ex post LI &amp; Eligibility Stats'!$A:$A,0),MATCH('Program MW '!L$6,'Ex post LI &amp; Eligibility Stats'!$A$8:$N$8,0))/1000)</f>
        <v>0.12431036806106567</v>
      </c>
      <c r="N15" s="159">
        <v>256</v>
      </c>
      <c r="O15" s="326">
        <f>N15*(INDEX('Ex ante LI &amp; Eligibility Stats'!$A:$M,MATCH('Program MW '!$A15,'Ex ante LI &amp; Eligibility Stats'!$A:$A,0),MATCH('Program MW '!O$6,'Ex ante LI &amp; Eligibility Stats'!$A$8:$M$8,0))/1000)</f>
        <v>0.23586849975585938</v>
      </c>
      <c r="P15" s="327">
        <f>N15*(INDEX('Ex post LI &amp; Eligibility Stats'!$A:$N,MATCH($A15,'Ex post LI &amp; Eligibility Stats'!$A:$A,0),MATCH('Program MW '!O$6,'Ex post LI &amp; Eligibility Stats'!$A$8:$N$8,0))/1000)</f>
        <v>0.11874423217773437</v>
      </c>
      <c r="Q15" s="159">
        <v>236</v>
      </c>
      <c r="R15" s="326">
        <f>Q15*(INDEX('Ex ante LI &amp; Eligibility Stats'!$A:$M,MATCH('Program MW '!$A15,'Ex ante LI &amp; Eligibility Stats'!$A:$A,0),MATCH('Program MW '!R$6,'Ex ante LI &amp; Eligibility Stats'!$A$8:$M$8,0))/1000)</f>
        <v>0.20210570478439333</v>
      </c>
      <c r="S15" s="327">
        <f>Q15*(INDEX('Ex post LI &amp; Eligibility Stats'!$A:$N,MATCH($A15,'Ex post LI &amp; Eligibility Stats'!$A:$A,0),MATCH('Program MW '!R$6,'Ex post LI &amp; Eligibility Stats'!$A$8:$N$8,0))/1000)</f>
        <v>0.10946733903884888</v>
      </c>
      <c r="T15" s="4"/>
      <c r="U15" s="6"/>
      <c r="V15" s="6"/>
      <c r="W15" s="6"/>
      <c r="X15" s="6"/>
      <c r="Y15" s="6"/>
      <c r="Z15" s="6"/>
      <c r="AA15" s="6"/>
      <c r="AB15" s="6"/>
      <c r="AC15" s="6"/>
      <c r="AD15" s="6"/>
      <c r="AE15" s="6"/>
    </row>
    <row r="16" spans="1:31">
      <c r="A16" s="270" t="s">
        <v>21</v>
      </c>
      <c r="B16" s="383">
        <v>10225</v>
      </c>
      <c r="C16" s="326">
        <f>B16*(INDEX('Ex ante LI &amp; Eligibility Stats'!$A:$M,MATCH($A16,'Ex ante LI &amp; Eligibility Stats'!$A:$A,0),MATCH('Program MW '!C$6,'Ex ante LI &amp; Eligibility Stats'!$A$8:$M$8,0))/1000)</f>
        <v>0</v>
      </c>
      <c r="D16" s="327">
        <f>B16*(INDEX('Ex post LI &amp; Eligibility Stats'!$A:$N,MATCH($A16,'Ex post LI &amp; Eligibility Stats'!$A:$A,0),MATCH('Program MW '!C$6,'Ex post LI &amp; Eligibility Stats'!$A$8:$N$8,0))/1000)</f>
        <v>1.3292500000000003</v>
      </c>
      <c r="E16" s="383">
        <v>10185</v>
      </c>
      <c r="F16" s="326">
        <f>E16*(INDEX('Ex ante LI &amp; Eligibility Stats'!$A:$M,MATCH($A16,'Ex ante LI &amp; Eligibility Stats'!$A:$A,0),MATCH('Program MW '!F$6,'Ex ante LI &amp; Eligibility Stats'!$A$8:$M$8,0))/1000)</f>
        <v>0</v>
      </c>
      <c r="G16" s="327">
        <f>E16*(INDEX('Ex post LI &amp; Eligibility Stats'!$A:$N,MATCH($A16,'Ex post LI &amp; Eligibility Stats'!$A:$A,0),MATCH('Program MW '!F$6,'Ex post LI &amp; Eligibility Stats'!$A$8:$N$8,0))/1000)</f>
        <v>1.3240500000000002</v>
      </c>
      <c r="H16" s="383">
        <v>10091</v>
      </c>
      <c r="I16" s="326">
        <f>H16*(INDEX('Ex ante LI &amp; Eligibility Stats'!$A:$M,MATCH('Program MW '!$A16,'Ex ante LI &amp; Eligibility Stats'!$A:$A,0),MATCH('Program MW '!I$6,'Ex ante LI &amp; Eligibility Stats'!$A$8:$M$8,0))/1000)</f>
        <v>0</v>
      </c>
      <c r="J16" s="327">
        <f>H16*(INDEX('Ex post LI &amp; Eligibility Stats'!$A:$N,MATCH($A16,'Ex post LI &amp; Eligibility Stats'!$A:$A,0),MATCH('Program MW '!I$6,'Ex post LI &amp; Eligibility Stats'!$A$8:$N$8,0))/1000)</f>
        <v>1.3535956399000002</v>
      </c>
      <c r="K16" s="626">
        <v>9815</v>
      </c>
      <c r="L16" s="326">
        <f>K16*(INDEX('Ex ante LI &amp; Eligibility Stats'!$A:$M,MATCH('Program MW '!$A16,'Ex ante LI &amp; Eligibility Stats'!$A:$A,0),MATCH('Program MW '!L$6,'Ex ante LI &amp; Eligibility Stats'!$A$8:$M$8,0))/1000)</f>
        <v>0.27112955999999999</v>
      </c>
      <c r="M16" s="327">
        <f>K16*(INDEX('Ex post LI &amp; Eligibility Stats'!$A:$N,MATCH($A16,'Ex post LI &amp; Eligibility Stats'!$A:$A,0),MATCH('Program MW '!L$6,'Ex post LI &amp; Eligibility Stats'!$A$8:$N$8,0))/1000)</f>
        <v>1.3165733035000002</v>
      </c>
      <c r="N16" s="383">
        <v>9593</v>
      </c>
      <c r="O16" s="326">
        <f>N16*(INDEX('Ex ante LI &amp; Eligibility Stats'!$A:$M,MATCH('Program MW '!$A16,'Ex ante LI &amp; Eligibility Stats'!$A:$A,0),MATCH('Program MW '!O$6,'Ex ante LI &amp; Eligibility Stats'!$A$8:$M$8,0))/1000)</f>
        <v>0.55346429780000006</v>
      </c>
      <c r="P16" s="327">
        <f>N16*(INDEX('Ex post LI &amp; Eligibility Stats'!$A:$N,MATCH($A16,'Ex post LI &amp; Eligibility Stats'!$A:$A,0),MATCH('Program MW '!O$6,'Ex post LI &amp; Eligibility Stats'!$A$8:$N$8,0))/1000)</f>
        <v>1.2867944677000003</v>
      </c>
      <c r="Q16" s="383">
        <v>9409</v>
      </c>
      <c r="R16" s="326">
        <f>Q16*(INDEX('Ex ante LI &amp; Eligibility Stats'!$A:$M,MATCH('Program MW '!$A16,'Ex ante LI &amp; Eligibility Stats'!$A:$A,0),MATCH('Program MW '!R$6,'Ex ante LI &amp; Eligibility Stats'!$A$8:$M$8,0))/1000)</f>
        <v>0.34679127659999998</v>
      </c>
      <c r="S16" s="327">
        <f>Q16*(INDEX('Ex post LI &amp; Eligibility Stats'!$A:$N,MATCH($A16,'Ex post LI &amp; Eligibility Stats'!$A:$A,0),MATCH('Program MW '!R$6,'Ex post LI &amp; Eligibility Stats'!$A$8:$N$8,0))/1000)</f>
        <v>1.2621129101000002</v>
      </c>
      <c r="T16" s="4">
        <v>157189</v>
      </c>
      <c r="U16" s="6"/>
      <c r="V16" s="6"/>
      <c r="W16" s="6"/>
      <c r="X16" s="6"/>
      <c r="Y16" s="6"/>
      <c r="Z16" s="6"/>
      <c r="AA16" s="6"/>
      <c r="AB16" s="6"/>
      <c r="AC16" s="6"/>
      <c r="AD16" s="6"/>
      <c r="AE16" s="6"/>
    </row>
    <row r="17" spans="1:31">
      <c r="A17" s="270" t="s">
        <v>23</v>
      </c>
      <c r="B17" s="383">
        <v>2652</v>
      </c>
      <c r="C17" s="326">
        <f>B17*(INDEX('Ex ante LI &amp; Eligibility Stats'!$A:$M,MATCH($A17,'Ex ante LI &amp; Eligibility Stats'!$A:$A,0),MATCH('Program MW '!C$6,'Ex ante LI &amp; Eligibility Stats'!$A$8:$M$8,0))/1000)</f>
        <v>0</v>
      </c>
      <c r="D17" s="327">
        <f>B17*(INDEX('Ex post LI &amp; Eligibility Stats'!$A:$N,MATCH($A17,'Ex post LI &amp; Eligibility Stats'!$A:$A,0),MATCH('Program MW '!C$6,'Ex post LI &amp; Eligibility Stats'!$A$8:$N$8,0))/1000)</f>
        <v>0.1326</v>
      </c>
      <c r="E17" s="383">
        <v>2648</v>
      </c>
      <c r="F17" s="326">
        <f>E17*(INDEX('Ex ante LI &amp; Eligibility Stats'!$A:$M,MATCH($A17,'Ex ante LI &amp; Eligibility Stats'!$A:$A,0),MATCH('Program MW '!F$6,'Ex ante LI &amp; Eligibility Stats'!$A$8:$M$8,0))/1000)</f>
        <v>0</v>
      </c>
      <c r="G17" s="327">
        <f>E17*(INDEX('Ex post LI &amp; Eligibility Stats'!$A:$N,MATCH($A17,'Ex post LI &amp; Eligibility Stats'!$A:$A,0),MATCH('Program MW '!F$6,'Ex post LI &amp; Eligibility Stats'!$A$8:$N$8,0))/1000)</f>
        <v>0.13240000000000002</v>
      </c>
      <c r="H17" s="383">
        <v>2627</v>
      </c>
      <c r="I17" s="326">
        <f>H17*(INDEX('Ex ante LI &amp; Eligibility Stats'!$A:$M,MATCH('Program MW '!$A17,'Ex ante LI &amp; Eligibility Stats'!$A:$A,0),MATCH('Program MW '!I$6,'Ex ante LI &amp; Eligibility Stats'!$A$8:$M$8,0))/1000)</f>
        <v>0</v>
      </c>
      <c r="J17" s="327">
        <f>H17*(INDEX('Ex post LI &amp; Eligibility Stats'!$A:$N,MATCH($A17,'Ex post LI &amp; Eligibility Stats'!$A:$A,0),MATCH('Program MW '!I$6,'Ex post LI &amp; Eligibility Stats'!$A$8:$N$8,0))/1000)</f>
        <v>0.1296274761</v>
      </c>
      <c r="K17" s="626">
        <v>2774</v>
      </c>
      <c r="L17" s="326">
        <f>K17*(INDEX('Ex ante LI &amp; Eligibility Stats'!$A:$M,MATCH('Program MW '!$A17,'Ex ante LI &amp; Eligibility Stats'!$A:$A,0),MATCH('Program MW '!L$6,'Ex ante LI &amp; Eligibility Stats'!$A$8:$M$8,0))/1000)</f>
        <v>0.15616732319999999</v>
      </c>
      <c r="M17" s="327">
        <f>K17*(INDEX('Ex post LI &amp; Eligibility Stats'!$A:$N,MATCH($A17,'Ex post LI &amp; Eligibility Stats'!$A:$A,0),MATCH('Program MW '!L$6,'Ex post LI &amp; Eligibility Stats'!$A$8:$N$8,0))/1000)</f>
        <v>0.1368810882</v>
      </c>
      <c r="N17" s="383">
        <v>2705</v>
      </c>
      <c r="O17" s="326">
        <f>N17*(INDEX('Ex ante LI &amp; Eligibility Stats'!$A:$M,MATCH('Program MW '!$A17,'Ex ante LI &amp; Eligibility Stats'!$A:$A,0),MATCH('Program MW '!O$6,'Ex ante LI &amp; Eligibility Stats'!$A$8:$M$8,0))/1000)</f>
        <v>0.1742817975</v>
      </c>
      <c r="P17" s="327">
        <f>N17*(INDEX('Ex post LI &amp; Eligibility Stats'!$A:$N,MATCH($A17,'Ex post LI &amp; Eligibility Stats'!$A:$A,0),MATCH('Program MW '!O$6,'Ex post LI &amp; Eligibility Stats'!$A$8:$N$8,0))/1000)</f>
        <v>0.13347633149999999</v>
      </c>
      <c r="Q17" s="383">
        <v>2244</v>
      </c>
      <c r="R17" s="326">
        <f>Q17*(INDEX('Ex ante LI &amp; Eligibility Stats'!$A:$M,MATCH('Program MW '!$A17,'Ex ante LI &amp; Eligibility Stats'!$A:$A,0),MATCH('Program MW '!R$6,'Ex ante LI &amp; Eligibility Stats'!$A$8:$M$8,0))/1000)</f>
        <v>0.1342089276</v>
      </c>
      <c r="S17" s="327">
        <f>Q17*(INDEX('Ex post LI &amp; Eligibility Stats'!$A:$N,MATCH($A17,'Ex post LI &amp; Eligibility Stats'!$A:$A,0),MATCH('Program MW '!R$6,'Ex post LI &amp; Eligibility Stats'!$A$8:$N$8,0))/1000)</f>
        <v>0.11072860920000001</v>
      </c>
      <c r="T17" s="4">
        <v>157189</v>
      </c>
      <c r="U17" s="6"/>
      <c r="V17" s="6"/>
      <c r="W17" s="6"/>
      <c r="X17" s="6"/>
      <c r="Y17" s="6"/>
      <c r="Z17" s="6"/>
      <c r="AA17" s="6"/>
      <c r="AB17" s="6"/>
      <c r="AC17" s="6"/>
      <c r="AD17" s="6"/>
      <c r="AE17" s="6"/>
    </row>
    <row r="18" spans="1:31">
      <c r="A18" s="156" t="s">
        <v>24</v>
      </c>
      <c r="B18" s="159">
        <v>0</v>
      </c>
      <c r="C18" s="326">
        <f>B18*(INDEX('Ex ante LI &amp; Eligibility Stats'!$A:$M,MATCH($A18,'Ex ante LI &amp; Eligibility Stats'!$A:$A,0),MATCH('Program MW '!C$6,'Ex ante LI &amp; Eligibility Stats'!$A$8:$M$8,0))/1000)</f>
        <v>0</v>
      </c>
      <c r="D18" s="327">
        <f>B18*(INDEX('Ex post LI &amp; Eligibility Stats'!$A:$N,MATCH($A18,'Ex post LI &amp; Eligibility Stats'!$A:$A,0),MATCH('Program MW '!C$6,'Ex post LI &amp; Eligibility Stats'!$A$8:$N$8,0))/1000)</f>
        <v>0</v>
      </c>
      <c r="E18" s="159">
        <v>0</v>
      </c>
      <c r="F18" s="326">
        <f>E18*(INDEX('Ex ante LI &amp; Eligibility Stats'!$A:$M,MATCH($A18,'Ex ante LI &amp; Eligibility Stats'!$A:$A,0),MATCH('Program MW '!F$6,'Ex ante LI &amp; Eligibility Stats'!$A$8:$M$8,0))/1000)</f>
        <v>0</v>
      </c>
      <c r="G18" s="327">
        <f>E18*(INDEX('Ex post LI &amp; Eligibility Stats'!$A:$N,MATCH($A18,'Ex post LI &amp; Eligibility Stats'!$A:$A,0),MATCH('Program MW '!F$6,'Ex post LI &amp; Eligibility Stats'!$A$8:$N$8,0))/1000)</f>
        <v>0</v>
      </c>
      <c r="H18" s="159">
        <v>0</v>
      </c>
      <c r="I18" s="326">
        <f>H18*(INDEX('Ex ante LI &amp; Eligibility Stats'!$A:$M,MATCH('Program MW '!$A18,'Ex ante LI &amp; Eligibility Stats'!$A:$A,0),MATCH('Program MW '!I$6,'Ex ante LI &amp; Eligibility Stats'!$A$8:$M$8,0))/1000)</f>
        <v>0</v>
      </c>
      <c r="J18" s="327">
        <f>H18*(INDEX('Ex post LI &amp; Eligibility Stats'!$A:$N,MATCH($A18,'Ex post LI &amp; Eligibility Stats'!$A:$A,0),MATCH('Program MW '!I$6,'Ex post LI &amp; Eligibility Stats'!$A$8:$N$8,0))/1000)</f>
        <v>0</v>
      </c>
      <c r="K18" s="159">
        <v>0</v>
      </c>
      <c r="L18" s="326">
        <f>K18*(INDEX('Ex ante LI &amp; Eligibility Stats'!$A:$M,MATCH('Program MW '!$A18,'Ex ante LI &amp; Eligibility Stats'!$A:$A,0),MATCH('Program MW '!L$6,'Ex ante LI &amp; Eligibility Stats'!$A$8:$M$8,0))/1000)</f>
        <v>0</v>
      </c>
      <c r="M18" s="327">
        <f>K18*(INDEX('Ex post LI &amp; Eligibility Stats'!$A:$N,MATCH($A18,'Ex post LI &amp; Eligibility Stats'!$A:$A,0),MATCH('Program MW '!L$6,'Ex post LI &amp; Eligibility Stats'!$A$8:$N$8,0))/1000)</f>
        <v>0</v>
      </c>
      <c r="N18" s="159">
        <v>41</v>
      </c>
      <c r="O18" s="326">
        <f>N18*(INDEX('Ex ante LI &amp; Eligibility Stats'!$A:$M,MATCH('Program MW '!$A18,'Ex ante LI &amp; Eligibility Stats'!$A:$A,0),MATCH('Program MW '!O$6,'Ex ante LI &amp; Eligibility Stats'!$A$8:$M$8,0))/1000)</f>
        <v>0.48483278999999996</v>
      </c>
      <c r="P18" s="327">
        <f>N18*(INDEX('Ex post LI &amp; Eligibility Stats'!$A:$N,MATCH($A18,'Ex post LI &amp; Eligibility Stats'!$A:$A,0),MATCH('Program MW '!O$6,'Ex post LI &amp; Eligibility Stats'!$A$8:$N$8,0))/1000)</f>
        <v>0.73608612000000007</v>
      </c>
      <c r="Q18" s="159">
        <v>49</v>
      </c>
      <c r="R18" s="326">
        <f>Q18*(INDEX('Ex ante LI &amp; Eligibility Stats'!$A:$M,MATCH('Program MW '!$A18,'Ex ante LI &amp; Eligibility Stats'!$A:$A,0),MATCH('Program MW '!R$6,'Ex ante LI &amp; Eligibility Stats'!$A$8:$M$8,0))/1000)</f>
        <v>0.57943431000000001</v>
      </c>
      <c r="S18" s="327">
        <f>Q18*(INDEX('Ex post LI &amp; Eligibility Stats'!$A:$N,MATCH($A18,'Ex post LI &amp; Eligibility Stats'!$A:$A,0),MATCH('Program MW '!R$6,'Ex post LI &amp; Eligibility Stats'!$A$8:$N$8,0))/1000)</f>
        <v>0.87971268000000014</v>
      </c>
      <c r="T18" s="4">
        <v>18875</v>
      </c>
      <c r="U18" s="6"/>
      <c r="V18" s="6"/>
      <c r="W18" s="6"/>
      <c r="X18" s="6"/>
      <c r="Y18" s="6"/>
      <c r="Z18" s="6"/>
      <c r="AA18" s="6"/>
      <c r="AB18" s="6"/>
      <c r="AC18" s="6"/>
      <c r="AD18" s="6"/>
      <c r="AE18" s="6"/>
    </row>
    <row r="19" spans="1:31">
      <c r="A19" s="156" t="s">
        <v>25</v>
      </c>
      <c r="B19" s="159">
        <v>0</v>
      </c>
      <c r="C19" s="326">
        <f>B19*(INDEX('Ex ante LI &amp; Eligibility Stats'!$A:$M,MATCH($A19,'Ex ante LI &amp; Eligibility Stats'!$A:$A,0),MATCH('Program MW '!C$6,'Ex ante LI &amp; Eligibility Stats'!$A$8:$M$8,0))/1000)</f>
        <v>0</v>
      </c>
      <c r="D19" s="327">
        <f>B19*(INDEX('Ex post LI &amp; Eligibility Stats'!$A:$N,MATCH($A19,'Ex post LI &amp; Eligibility Stats'!$A:$A,0),MATCH('Program MW '!C$6,'Ex post LI &amp; Eligibility Stats'!$A$8:$N$8,0))/1000)</f>
        <v>0</v>
      </c>
      <c r="E19" s="159">
        <v>0</v>
      </c>
      <c r="F19" s="326">
        <f>E19*(INDEX('Ex ante LI &amp; Eligibility Stats'!$A:$M,MATCH($A19,'Ex ante LI &amp; Eligibility Stats'!$A:$A,0),MATCH('Program MW '!F$6,'Ex ante LI &amp; Eligibility Stats'!$A$8:$M$8,0))/1000)</f>
        <v>0</v>
      </c>
      <c r="G19" s="327">
        <f>E19*(INDEX('Ex post LI &amp; Eligibility Stats'!$A:$N,MATCH($A19,'Ex post LI &amp; Eligibility Stats'!$A:$A,0),MATCH('Program MW '!F$6,'Ex post LI &amp; Eligibility Stats'!$A$8:$N$8,0))/1000)</f>
        <v>0</v>
      </c>
      <c r="H19" s="159">
        <v>0</v>
      </c>
      <c r="I19" s="326">
        <f>H19*(INDEX('Ex ante LI &amp; Eligibility Stats'!$A:$M,MATCH('Program MW '!$A19,'Ex ante LI &amp; Eligibility Stats'!$A:$A,0),MATCH('Program MW '!I$6,'Ex ante LI &amp; Eligibility Stats'!$A$8:$M$8,0))/1000)</f>
        <v>0</v>
      </c>
      <c r="J19" s="327">
        <f>H19*(INDEX('Ex post LI &amp; Eligibility Stats'!$A:$N,MATCH($A19,'Ex post LI &amp; Eligibility Stats'!$A:$A,0),MATCH('Program MW '!I$6,'Ex post LI &amp; Eligibility Stats'!$A$8:$N$8,0))/1000)</f>
        <v>0</v>
      </c>
      <c r="K19" s="159">
        <v>0</v>
      </c>
      <c r="L19" s="326">
        <f>K19*(INDEX('Ex ante LI &amp; Eligibility Stats'!$A:$M,MATCH('Program MW '!$A19,'Ex ante LI &amp; Eligibility Stats'!$A:$A,0),MATCH('Program MW '!L$6,'Ex ante LI &amp; Eligibility Stats'!$A$8:$M$8,0))/1000)</f>
        <v>0</v>
      </c>
      <c r="M19" s="327">
        <f>K19*(INDEX('Ex post LI &amp; Eligibility Stats'!$A:$N,MATCH($A19,'Ex post LI &amp; Eligibility Stats'!$A:$A,0),MATCH('Program MW '!L$6,'Ex post LI &amp; Eligibility Stats'!$A$8:$N$8,0))/1000)</f>
        <v>0</v>
      </c>
      <c r="N19" s="159">
        <v>134</v>
      </c>
      <c r="O19" s="326">
        <f>N19*(INDEX('Ex ante LI &amp; Eligibility Stats'!$A:$M,MATCH('Program MW '!$A19,'Ex ante LI &amp; Eligibility Stats'!$A:$A,0),MATCH('Program MW '!O$6,'Ex ante LI &amp; Eligibility Stats'!$A$8:$M$8,0))/1000)</f>
        <v>1.214125358</v>
      </c>
      <c r="P19" s="327">
        <f>N19*(INDEX('Ex post LI &amp; Eligibility Stats'!$A:$N,MATCH($A19,'Ex post LI &amp; Eligibility Stats'!$A:$A,0),MATCH('Program MW '!O$6,'Ex post LI &amp; Eligibility Stats'!$A$8:$N$8,0))/1000)</f>
        <v>1.8493139000000001</v>
      </c>
      <c r="Q19" s="159">
        <v>125</v>
      </c>
      <c r="R19" s="326">
        <f>Q19*(INDEX('Ex ante LI &amp; Eligibility Stats'!$A:$M,MATCH('Program MW '!$A19,'Ex ante LI &amp; Eligibility Stats'!$A:$A,0),MATCH('Program MW '!R$6,'Ex ante LI &amp; Eligibility Stats'!$A$8:$M$8,0))/1000)</f>
        <v>1.132579625</v>
      </c>
      <c r="S19" s="327">
        <f>Q19*(INDEX('Ex post LI &amp; Eligibility Stats'!$A:$N,MATCH($A19,'Ex post LI &amp; Eligibility Stats'!$A:$A,0),MATCH('Program MW '!R$6,'Ex post LI &amp; Eligibility Stats'!$A$8:$N$8,0))/1000)</f>
        <v>1.7251062500000001</v>
      </c>
      <c r="T19" s="4">
        <v>18875</v>
      </c>
      <c r="U19" s="6"/>
      <c r="V19" s="6"/>
      <c r="W19" s="6"/>
      <c r="X19" s="6"/>
      <c r="Y19" s="6"/>
      <c r="Z19" s="6"/>
      <c r="AA19" s="6"/>
      <c r="AB19" s="6"/>
      <c r="AC19" s="6"/>
      <c r="AD19" s="6"/>
      <c r="AE19" s="6"/>
    </row>
    <row r="20" spans="1:31" s="152" customFormat="1">
      <c r="A20" s="270" t="s">
        <v>55</v>
      </c>
      <c r="B20" s="206">
        <v>94</v>
      </c>
      <c r="C20" s="326">
        <v>0</v>
      </c>
      <c r="D20" s="327">
        <v>0</v>
      </c>
      <c r="E20" s="206">
        <v>94</v>
      </c>
      <c r="F20" s="326" t="s">
        <v>56</v>
      </c>
      <c r="G20" s="327" t="s">
        <v>56</v>
      </c>
      <c r="H20" s="206">
        <v>92</v>
      </c>
      <c r="I20" s="627">
        <f>H20*(INDEX('Ex ante LI &amp; Eligibility Stats'!$A:$M,MATCH('Program MW '!$A20,'Ex ante LI &amp; Eligibility Stats'!$A:$A,0),MATCH('Program MW '!I$6,'Ex ante LI &amp; Eligibility Stats'!$A$8:$M$8,0))/1000)</f>
        <v>7.8712055087089533E-4</v>
      </c>
      <c r="J20" s="327">
        <f>H20*(INDEX('Ex post LI &amp; Eligibility Stats'!$A:$N,MATCH($A20,'Ex post LI &amp; Eligibility Stats'!$A:$A,0),MATCH('Program MW '!I$6,'Ex post LI &amp; Eligibility Stats'!$A$8:$N$8,0))/1000)</f>
        <v>4.3654910326004027E-2</v>
      </c>
      <c r="K20" s="626">
        <v>91</v>
      </c>
      <c r="L20" s="326">
        <f>K20*(INDEX('Ex ante LI &amp; Eligibility Stats'!$A:$M,MATCH('Program MW '!$A20,'Ex ante LI &amp; Eligibility Stats'!$A:$A,0),MATCH('Program MW '!L$6,'Ex ante LI &amp; Eligibility Stats'!$A$8:$M$8,0))/1000)</f>
        <v>0</v>
      </c>
      <c r="M20" s="327">
        <f>K20*(INDEX('Ex post LI &amp; Eligibility Stats'!$A:$N,MATCH($A20,'Ex post LI &amp; Eligibility Stats'!$A:$A,0),MATCH('Program MW '!L$6,'Ex post LI &amp; Eligibility Stats'!$A$8:$N$8,0))/1000)</f>
        <v>4.318040043115616E-2</v>
      </c>
      <c r="N20" s="206">
        <v>87</v>
      </c>
      <c r="O20" s="326">
        <f>N20*(INDEX('Ex ante LI &amp; Eligibility Stats'!$A:$M,MATCH('Program MW '!$A20,'Ex ante LI &amp; Eligibility Stats'!$A:$A,0),MATCH('Program MW '!O$6,'Ex ante LI &amp; Eligibility Stats'!$A$8:$M$8,0))/1000)</f>
        <v>0</v>
      </c>
      <c r="P20" s="327">
        <f>N20*(INDEX('Ex post LI &amp; Eligibility Stats'!$A:$N,MATCH($A20,'Ex post LI &amp; Eligibility Stats'!$A:$A,0),MATCH('Program MW '!O$6,'Ex post LI &amp; Eligibility Stats'!$A$8:$N$8,0))/1000)</f>
        <v>4.1282360851764677E-2</v>
      </c>
      <c r="Q20" s="206">
        <v>95</v>
      </c>
      <c r="R20" s="326">
        <f>Q20*(INDEX('Ex ante LI &amp; Eligibility Stats'!$A:$M,MATCH('Program MW '!$A20,'Ex ante LI &amp; Eligibility Stats'!$A:$A,0),MATCH('Program MW '!R$6,'Ex ante LI &amp; Eligibility Stats'!$A$8:$M$8,0))/1000)</f>
        <v>0</v>
      </c>
      <c r="S20" s="327">
        <f>Q20*(INDEX('Ex post LI &amp; Eligibility Stats'!$A:$N,MATCH($A20,'Ex post LI &amp; Eligibility Stats'!$A:$A,0),MATCH('Program MW '!R$6,'Ex post LI &amp; Eligibility Stats'!$A$8:$N$8,0))/1000)</f>
        <v>4.5078440010547637E-2</v>
      </c>
      <c r="T20" s="411"/>
      <c r="U20" s="412"/>
      <c r="V20" s="412"/>
      <c r="W20" s="412"/>
      <c r="X20" s="412"/>
      <c r="Y20" s="412"/>
      <c r="Z20" s="412"/>
      <c r="AA20" s="412"/>
      <c r="AB20" s="412"/>
      <c r="AC20" s="412"/>
      <c r="AD20" s="412"/>
      <c r="AE20" s="412"/>
    </row>
    <row r="21" spans="1:31">
      <c r="A21" s="156" t="s">
        <v>26</v>
      </c>
      <c r="B21" s="159">
        <v>111812</v>
      </c>
      <c r="C21" s="326">
        <f>B21*(INDEX('Ex ante LI &amp; Eligibility Stats'!$A:$M,MATCH($A21,'Ex ante LI &amp; Eligibility Stats'!$A:$A,0),MATCH('Program MW '!C$6,'Ex ante LI &amp; Eligibility Stats'!$A$8:$M$8,0))/1000)</f>
        <v>1.11812</v>
      </c>
      <c r="D21" s="327">
        <f>B21*(INDEX('Ex post LI &amp; Eligibility Stats'!$A:$N,MATCH($A21,'Ex post LI &amp; Eligibility Stats'!$A:$A,0),MATCH('Program MW '!C$6,'Ex post LI &amp; Eligibility Stats'!$A$8:$N$8,0))/1000)</f>
        <v>5.5906000000000002</v>
      </c>
      <c r="E21" s="159">
        <v>111739</v>
      </c>
      <c r="F21" s="326">
        <f>E21*(INDEX('Ex ante LI &amp; Eligibility Stats'!$A:$M,MATCH($A21,'Ex ante LI &amp; Eligibility Stats'!$A:$A,0),MATCH('Program MW '!F$6,'Ex ante LI &amp; Eligibility Stats'!$A$8:$M$8,0))/1000)</f>
        <v>1.1173900000000001</v>
      </c>
      <c r="G21" s="327">
        <f>E21*(INDEX('Ex post LI &amp; Eligibility Stats'!$A:$N,MATCH($A21,'Ex post LI &amp; Eligibility Stats'!$A:$A,0),MATCH('Program MW '!F$6,'Ex post LI &amp; Eligibility Stats'!$A$8:$N$8,0))/1000)</f>
        <v>5.5869499999999999</v>
      </c>
      <c r="H21" s="159">
        <v>111470</v>
      </c>
      <c r="I21" s="628">
        <f>H21*(INDEX('Ex ante LI &amp; Eligibility Stats'!$A:$M,MATCH('Program MW '!$A21,'Ex ante LI &amp; Eligibility Stats'!$A:$A,0),MATCH('Program MW '!I$6,'Ex ante LI &amp; Eligibility Stats'!$A$8:$M$8,0))/1000)</f>
        <v>1.1604781531494454E-2</v>
      </c>
      <c r="J21" s="327">
        <f>H21*(INDEX('Ex post LI &amp; Eligibility Stats'!$A:$N,MATCH($A21,'Ex post LI &amp; Eligibility Stats'!$A:$A,0),MATCH('Program MW '!I$6,'Ex post LI &amp; Eligibility Stats'!$A$8:$N$8,0))/1000)</f>
        <v>5.5695092280344607</v>
      </c>
      <c r="K21" s="626">
        <v>112449</v>
      </c>
      <c r="L21" s="326">
        <f>K21*(INDEX('Ex ante LI &amp; Eligibility Stats'!$A:$M,MATCH('Program MW '!$A21,'Ex ante LI &amp; Eligibility Stats'!$A:$A,0),MATCH('Program MW '!L$6,'Ex ante LI &amp; Eligibility Stats'!$A$8:$M$8,0))/1000)</f>
        <v>8.2588858593487885E-2</v>
      </c>
      <c r="M21" s="327">
        <f>K21*(INDEX('Ex post LI &amp; Eligibility Stats'!$A:$N,MATCH($A21,'Ex post LI &amp; Eligibility Stats'!$A:$A,0),MATCH('Program MW '!L$6,'Ex post LI &amp; Eligibility Stats'!$A$8:$N$8,0))/1000)</f>
        <v>5.6184241785524991</v>
      </c>
      <c r="N21" s="159">
        <v>106176</v>
      </c>
      <c r="O21" s="326">
        <f>N21*(INDEX('Ex ante LI &amp; Eligibility Stats'!$A:$M,MATCH('Program MW '!$A21,'Ex ante LI &amp; Eligibility Stats'!$A:$A,0),MATCH('Program MW '!O$6,'Ex ante LI &amp; Eligibility Stats'!$A$8:$M$8,0))/1000)</f>
        <v>0.14518625372857208</v>
      </c>
      <c r="P21" s="327">
        <f>N21*(INDEX('Ex post LI &amp; Eligibility Stats'!$A:$N,MATCH($A21,'Ex post LI &amp; Eligibility Stats'!$A:$A,0),MATCH('Program MW '!O$6,'Ex post LI &amp; Eligibility Stats'!$A$8:$N$8,0))/1000)</f>
        <v>5.3049987601667432</v>
      </c>
      <c r="Q21" s="159">
        <v>105904</v>
      </c>
      <c r="R21" s="326">
        <f>Q21*(INDEX('Ex ante LI &amp; Eligibility Stats'!$A:$M,MATCH('Program MW '!$A21,'Ex ante LI &amp; Eligibility Stats'!$A:$A,0),MATCH('Program MW '!R$6,'Ex ante LI &amp; Eligibility Stats'!$A$8:$M$8,0))/1000)</f>
        <v>9.293238217800405E-2</v>
      </c>
      <c r="S21" s="327">
        <f>Q21*(INDEX('Ex post LI &amp; Eligibility Stats'!$A:$N,MATCH($A21,'Ex post LI &amp; Eligibility Stats'!$A:$A,0),MATCH('Program MW '!R$6,'Ex post LI &amp; Eligibility Stats'!$A$8:$N$8,0))/1000)</f>
        <v>5.2914084981229168</v>
      </c>
      <c r="T21" s="4"/>
      <c r="U21" s="6"/>
      <c r="V21" s="6"/>
      <c r="W21" s="6"/>
      <c r="X21" s="6"/>
      <c r="Y21" s="6"/>
      <c r="Z21" s="6"/>
      <c r="AA21" s="6"/>
      <c r="AB21" s="6"/>
      <c r="AC21" s="6"/>
      <c r="AD21" s="6"/>
      <c r="AE21" s="6"/>
    </row>
    <row r="22" spans="1:31">
      <c r="A22" s="227" t="s">
        <v>27</v>
      </c>
      <c r="B22" s="269">
        <v>17743</v>
      </c>
      <c r="C22" s="328">
        <f>B22*(INDEX('Ex ante LI &amp; Eligibility Stats'!$A:$M,MATCH($A22,'Ex ante LI &amp; Eligibility Stats'!$A:$A,0),MATCH('Program MW '!C$6,'Ex ante LI &amp; Eligibility Stats'!$A$8:$M$8,0))/1000)</f>
        <v>0.68663677264004952</v>
      </c>
      <c r="D22" s="329">
        <f>B22*(INDEX('Ex post LI &amp; Eligibility Stats'!$A:$N,MATCH($A22,'Ex post LI &amp; Eligibility Stats'!$A:$A,0),MATCH('Program MW '!C$6,'Ex post LI &amp; Eligibility Stats'!$A$8:$N$8,0))/1000)</f>
        <v>3.0163100000000003</v>
      </c>
      <c r="E22" s="269">
        <v>18502</v>
      </c>
      <c r="F22" s="558">
        <f>E22*(INDEX('Ex ante LI &amp; Eligibility Stats'!$A:$M,MATCH($A22,'Ex ante LI &amp; Eligibility Stats'!$A:$A,0),MATCH('Program MW '!F$6,'Ex ante LI &amp; Eligibility Stats'!$A$8:$M$8,0))/1000)</f>
        <v>0.63577350297570234</v>
      </c>
      <c r="G22" s="327">
        <f>E22*(INDEX('Ex post LI &amp; Eligibility Stats'!$A:$N,MATCH($A22,'Ex post LI &amp; Eligibility Stats'!$A:$A,0),MATCH('Program MW '!F$6,'Ex post LI &amp; Eligibility Stats'!$A$8:$N$8,0))/1000)</f>
        <v>3.14534</v>
      </c>
      <c r="H22" s="269">
        <v>19323</v>
      </c>
      <c r="I22" s="326">
        <f>H22*(INDEX('Ex ante LI &amp; Eligibility Stats'!$A:$M,MATCH('Program MW '!$A22,'Ex ante LI &amp; Eligibility Stats'!$A:$A,0),MATCH('Program MW '!I$6,'Ex ante LI &amp; Eligibility Stats'!$A$8:$M$8,0))/1000)</f>
        <v>0.81720589716985104</v>
      </c>
      <c r="J22" s="327">
        <f>H22*(INDEX('Ex post LI &amp; Eligibility Stats'!$A:$N,MATCH($A22,'Ex post LI &amp; Eligibility Stats'!$A:$A,0),MATCH('Program MW '!I$6,'Ex post LI &amp; Eligibility Stats'!$A$8:$N$8,0))/1000)</f>
        <v>3.2290746207483987</v>
      </c>
      <c r="K22" s="626">
        <v>16109</v>
      </c>
      <c r="L22" s="326">
        <f>K22*(INDEX('Ex ante LI &amp; Eligibility Stats'!$A:$M,MATCH('Program MW '!$A22,'Ex ante LI &amp; Eligibility Stats'!$A:$A,0),MATCH('Program MW '!L$6,'Ex ante LI &amp; Eligibility Stats'!$A$8:$M$8,0))/1000)</f>
        <v>0.74185605258546561</v>
      </c>
      <c r="M22" s="327">
        <f>K22*(INDEX('Ex post LI &amp; Eligibility Stats'!$A:$N,MATCH($A22,'Ex post LI &amp; Eligibility Stats'!$A:$A,0),MATCH('Program MW '!L$6,'Ex post LI &amp; Eligibility Stats'!$A$8:$N$8,0))/1000)</f>
        <v>2.6919817350119524</v>
      </c>
      <c r="N22" s="269">
        <v>19517</v>
      </c>
      <c r="O22" s="326">
        <f>N22*(INDEX('Ex ante LI &amp; Eligibility Stats'!$A:$M,MATCH('Program MW '!$A22,'Ex ante LI &amp; Eligibility Stats'!$A:$A,0),MATCH('Program MW '!O$6,'Ex ante LI &amp; Eligibility Stats'!$A$8:$M$8,0))/1000)</f>
        <v>1.9292683404082556</v>
      </c>
      <c r="P22" s="327">
        <f>N22*(INDEX('Ex post LI &amp; Eligibility Stats'!$A:$N,MATCH($A22,'Ex post LI &amp; Eligibility Stats'!$A:$A,0),MATCH('Program MW '!O$6,'Ex post LI &amp; Eligibility Stats'!$A$8:$N$8,0))/1000)</f>
        <v>3.2614940419782896</v>
      </c>
      <c r="Q22" s="269">
        <v>20395</v>
      </c>
      <c r="R22" s="326">
        <f>Q22*(INDEX('Ex ante LI &amp; Eligibility Stats'!$A:$M,MATCH('Program MW '!$A22,'Ex ante LI &amp; Eligibility Stats'!$A:$A,0),MATCH('Program MW '!R$6,'Ex ante LI &amp; Eligibility Stats'!$A$8:$M$8,0))/1000)</f>
        <v>1.5282490066869205</v>
      </c>
      <c r="S22" s="327">
        <f>Q22*(INDEX('Ex post LI &amp; Eligibility Stats'!$A:$N,MATCH($A22,'Ex post LI &amp; Eligibility Stats'!$A:$A,0),MATCH('Program MW '!R$6,'Ex post LI &amp; Eligibility Stats'!$A$8:$N$8,0))/1000)</f>
        <v>3.4082169896063546</v>
      </c>
      <c r="T22" s="4"/>
      <c r="U22" s="6"/>
      <c r="V22" s="6"/>
      <c r="W22" s="6"/>
      <c r="X22" s="6"/>
      <c r="Y22" s="6"/>
      <c r="Z22" s="6"/>
      <c r="AA22" s="6"/>
      <c r="AB22" s="6"/>
      <c r="AC22" s="6"/>
      <c r="AD22" s="6"/>
      <c r="AE22" s="6"/>
    </row>
    <row r="23" spans="1:31" ht="13.5" thickBot="1">
      <c r="A23" s="184" t="s">
        <v>57</v>
      </c>
      <c r="B23" s="157">
        <f t="shared" ref="B23:S23" si="3">SUM(B12:B22)</f>
        <v>174699</v>
      </c>
      <c r="C23" s="174">
        <f t="shared" si="3"/>
        <v>3.778228213925745</v>
      </c>
      <c r="D23" s="173">
        <f t="shared" si="3"/>
        <v>21.590120000000002</v>
      </c>
      <c r="E23" s="1">
        <f t="shared" si="3"/>
        <v>175218</v>
      </c>
      <c r="F23" s="229">
        <f t="shared" si="3"/>
        <v>3.7227877957456035</v>
      </c>
      <c r="G23" s="230">
        <f t="shared" si="3"/>
        <v>21.668740000000003</v>
      </c>
      <c r="H23" s="1">
        <f t="shared" si="3"/>
        <v>174537</v>
      </c>
      <c r="I23" s="229">
        <f t="shared" si="3"/>
        <v>0.82959779925221644</v>
      </c>
      <c r="J23" s="230">
        <f t="shared" si="3"/>
        <v>22.121750536563383</v>
      </c>
      <c r="K23" s="1">
        <f t="shared" si="3"/>
        <v>172865</v>
      </c>
      <c r="L23" s="229">
        <f t="shared" si="3"/>
        <v>1.9760197769305581</v>
      </c>
      <c r="M23" s="230">
        <f t="shared" si="3"/>
        <v>21.894651100392426</v>
      </c>
      <c r="N23" s="1">
        <f t="shared" si="3"/>
        <v>168949</v>
      </c>
      <c r="O23" s="231">
        <f t="shared" si="3"/>
        <v>6.1291205687216852</v>
      </c>
      <c r="P23" s="234">
        <f t="shared" si="3"/>
        <v>24.28094192448647</v>
      </c>
      <c r="Q23" s="1">
        <f t="shared" si="3"/>
        <v>160097</v>
      </c>
      <c r="R23" s="238">
        <f t="shared" si="3"/>
        <v>4.7674030645313437</v>
      </c>
      <c r="S23" s="239">
        <f t="shared" si="3"/>
        <v>20.599531888362314</v>
      </c>
      <c r="T23" s="5"/>
      <c r="U23" s="6"/>
      <c r="V23" s="6"/>
      <c r="W23" s="6"/>
      <c r="X23" s="6"/>
      <c r="Y23" s="6"/>
      <c r="Z23" s="6"/>
      <c r="AA23" s="6"/>
      <c r="AB23" s="6"/>
      <c r="AC23" s="6"/>
      <c r="AD23" s="6"/>
      <c r="AE23" s="6"/>
    </row>
    <row r="24" spans="1:31" ht="14" thickTop="1" thickBot="1">
      <c r="A24" s="191" t="s">
        <v>58</v>
      </c>
      <c r="B24" s="2">
        <f t="shared" ref="B24:S24" si="4">+B10+B23</f>
        <v>174703</v>
      </c>
      <c r="C24" s="174">
        <f t="shared" si="4"/>
        <v>4.3699852940038699</v>
      </c>
      <c r="D24" s="267">
        <f t="shared" si="4"/>
        <v>22.014440000000004</v>
      </c>
      <c r="E24" s="2">
        <f t="shared" si="4"/>
        <v>175222</v>
      </c>
      <c r="F24" s="174">
        <f t="shared" si="4"/>
        <v>4.216221236907713</v>
      </c>
      <c r="G24" s="174">
        <f t="shared" si="4"/>
        <v>22.093060000000005</v>
      </c>
      <c r="H24" s="2">
        <f t="shared" si="4"/>
        <v>174541</v>
      </c>
      <c r="I24" s="174">
        <f t="shared" si="4"/>
        <v>1.4463025111662788</v>
      </c>
      <c r="J24" s="173">
        <f t="shared" si="4"/>
        <v>22.545750536563382</v>
      </c>
      <c r="K24" s="2">
        <f t="shared" si="4"/>
        <v>172867</v>
      </c>
      <c r="L24" s="174">
        <f t="shared" si="4"/>
        <v>2.2587454544207923</v>
      </c>
      <c r="M24" s="173">
        <f t="shared" si="4"/>
        <v>22.106651100392426</v>
      </c>
      <c r="N24" s="2">
        <f t="shared" si="4"/>
        <v>168951</v>
      </c>
      <c r="O24" s="232">
        <f t="shared" si="4"/>
        <v>6.4037210936240285</v>
      </c>
      <c r="P24" s="173">
        <f t="shared" si="4"/>
        <v>24.49294192448647</v>
      </c>
      <c r="Q24" s="2">
        <f t="shared" si="4"/>
        <v>160098</v>
      </c>
      <c r="R24" s="241">
        <f t="shared" si="4"/>
        <v>4.9344875524463827</v>
      </c>
      <c r="S24" s="240">
        <f t="shared" si="4"/>
        <v>20.705531888362316</v>
      </c>
      <c r="T24" s="8"/>
      <c r="U24" s="6"/>
      <c r="V24" s="6"/>
      <c r="W24" s="6"/>
      <c r="X24" s="6"/>
      <c r="Y24" s="6"/>
      <c r="Z24" s="6"/>
      <c r="AA24" s="6"/>
      <c r="AB24" s="6"/>
      <c r="AC24" s="6"/>
      <c r="AD24" s="6"/>
      <c r="AE24" s="6"/>
    </row>
    <row r="25" spans="1:31" ht="13" thickTop="1">
      <c r="A25" s="159"/>
      <c r="B25" s="92"/>
      <c r="C25" s="90"/>
      <c r="D25" s="91"/>
      <c r="E25" s="159"/>
      <c r="F25" s="90"/>
      <c r="G25" s="93"/>
      <c r="H25" s="159"/>
      <c r="I25" s="90"/>
      <c r="J25" s="93"/>
      <c r="K25" s="626"/>
      <c r="L25" s="90"/>
      <c r="M25" s="93"/>
      <c r="N25" s="159"/>
      <c r="O25" s="90"/>
      <c r="P25" s="93"/>
      <c r="Q25" s="159"/>
      <c r="R25" s="90"/>
      <c r="S25" s="93"/>
      <c r="T25" s="9"/>
      <c r="U25" s="6"/>
      <c r="V25" s="6"/>
      <c r="W25" s="6"/>
      <c r="X25" s="6"/>
      <c r="Y25" s="6"/>
      <c r="Z25" s="6"/>
      <c r="AA25" s="6"/>
      <c r="AB25" s="6"/>
      <c r="AC25" s="6"/>
      <c r="AD25" s="6"/>
      <c r="AE25" s="6"/>
    </row>
    <row r="26" spans="1:31">
      <c r="A26" s="269"/>
      <c r="B26" s="41"/>
      <c r="C26" s="41"/>
      <c r="D26" s="41"/>
      <c r="E26" s="269"/>
      <c r="F26" s="41"/>
      <c r="G26" s="41"/>
      <c r="H26" s="269"/>
      <c r="I26" s="41"/>
      <c r="J26" s="41"/>
      <c r="K26" s="626"/>
      <c r="L26" s="41"/>
      <c r="M26" s="41"/>
      <c r="N26" s="269"/>
      <c r="O26" s="41"/>
      <c r="P26" s="41"/>
      <c r="Q26" s="269"/>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ht="13">
      <c r="A28" s="88"/>
      <c r="B28" s="385"/>
      <c r="C28" s="385" t="s">
        <v>59</v>
      </c>
      <c r="D28" s="255"/>
      <c r="E28" s="385"/>
      <c r="F28" s="385" t="s">
        <v>66</v>
      </c>
      <c r="G28" s="385"/>
      <c r="H28" s="385"/>
      <c r="I28" s="385" t="s">
        <v>67</v>
      </c>
      <c r="J28" s="385"/>
      <c r="K28" s="385"/>
      <c r="L28" s="385" t="s">
        <v>61</v>
      </c>
      <c r="M28" s="385"/>
      <c r="N28" s="385"/>
      <c r="O28" s="385" t="s">
        <v>68</v>
      </c>
      <c r="P28" s="385"/>
      <c r="Q28" s="385"/>
      <c r="R28" s="385" t="s">
        <v>62</v>
      </c>
      <c r="S28" s="385"/>
      <c r="T28" s="146"/>
      <c r="U28" s="146"/>
    </row>
    <row r="29" spans="1:31" ht="42.5">
      <c r="A29" s="162" t="s">
        <v>46</v>
      </c>
      <c r="B29" s="181" t="s">
        <v>6</v>
      </c>
      <c r="C29" s="178" t="s">
        <v>48</v>
      </c>
      <c r="D29" s="168" t="s">
        <v>49</v>
      </c>
      <c r="E29" s="181" t="s">
        <v>6</v>
      </c>
      <c r="F29" s="178" t="s">
        <v>272</v>
      </c>
      <c r="G29" s="168" t="s">
        <v>273</v>
      </c>
      <c r="H29" s="181" t="s">
        <v>6</v>
      </c>
      <c r="I29" s="178" t="s">
        <v>272</v>
      </c>
      <c r="J29" s="168" t="s">
        <v>273</v>
      </c>
      <c r="K29" s="181" t="s">
        <v>6</v>
      </c>
      <c r="L29" s="178" t="s">
        <v>272</v>
      </c>
      <c r="M29" s="168" t="s">
        <v>273</v>
      </c>
      <c r="N29" s="181" t="s">
        <v>6</v>
      </c>
      <c r="O29" s="178" t="s">
        <v>272</v>
      </c>
      <c r="P29" s="168" t="s">
        <v>273</v>
      </c>
      <c r="Q29" s="181" t="s">
        <v>6</v>
      </c>
      <c r="R29" s="178" t="s">
        <v>272</v>
      </c>
      <c r="S29" s="168" t="s">
        <v>273</v>
      </c>
      <c r="T29" s="168" t="s">
        <v>50</v>
      </c>
      <c r="V29" s="11"/>
    </row>
    <row r="30" spans="1:31" ht="13">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1</v>
      </c>
      <c r="C31" s="326">
        <f>B31*(INDEX('Ex ante LI &amp; Eligibility Stats'!$A:$M,MATCH('Program MW '!$A31,'Ex ante LI &amp; Eligibility Stats'!$A:$A,0),MATCH('Program MW '!C$28,'Ex ante LI &amp; Eligibility Stats'!$A$8:$M$8,0))/1000)</f>
        <v>0.15948800659179688</v>
      </c>
      <c r="D31" s="326">
        <f>B31*(INDEX('Ex post LI &amp; Eligibility Stats'!$A:$N,MATCH($A31,'Ex post LI &amp; Eligibility Stats'!$A:$A,0),MATCH('Program MW '!C$28,'Ex post LI &amp; Eligibility Stats'!$A$8:$N$8,0))/1000)</f>
        <v>0.106</v>
      </c>
      <c r="E31" s="124">
        <v>0</v>
      </c>
      <c r="F31" s="326">
        <f>E31*(INDEX('Ex ante LI &amp; Eligibility Stats'!$A:$M,MATCH('Program MW '!$A31,'Ex ante LI &amp; Eligibility Stats'!$A:$A,0),MATCH('Program MW '!F$28,'Ex ante LI &amp; Eligibility Stats'!$A$8:$M$8,0))/1000)</f>
        <v>0</v>
      </c>
      <c r="G31" s="326">
        <f>E31*(INDEX('Ex post LI &amp; Eligibility Stats'!$A:$N,MATCH($A31,'Ex post LI &amp; Eligibility Stats'!$A:$A,0),MATCH('Program MW '!F$28,'Ex post LI &amp; Eligibility Stats'!$A$8:$N$8,0))/1000)</f>
        <v>0</v>
      </c>
      <c r="H31" s="124">
        <v>0</v>
      </c>
      <c r="I31" s="326">
        <f>H31*(INDEX('Ex ante LI &amp; Eligibility Stats'!$A:$M,MATCH('Program MW '!$A31,'Ex ante LI &amp; Eligibility Stats'!$A:$A,0),MATCH('Program MW '!I$28,'Ex ante LI &amp; Eligibility Stats'!$A$8:$M$8,0))/1000)</f>
        <v>0</v>
      </c>
      <c r="J31" s="326">
        <f>H31*(INDEX('Ex post LI &amp; Eligibility Stats'!$A:$N,MATCH($A31,'Ex post LI &amp; Eligibility Stats'!$A:$A,0),MATCH('Program MW '!I$28,'Ex post LI &amp; Eligibility Stats'!$A$8:$N$8,0))/1000)</f>
        <v>0</v>
      </c>
      <c r="K31" s="126">
        <v>0</v>
      </c>
      <c r="L31" s="326">
        <f>K31*(INDEX('Ex ante LI &amp; Eligibility Stats'!$A:$M,MATCH('Program MW '!$A31,'Ex ante LI &amp; Eligibility Stats'!$A:$A,0),MATCH('Program MW '!L$28,'Ex ante LI &amp; Eligibility Stats'!$A$8:$M$8,0))/1000)</f>
        <v>0</v>
      </c>
      <c r="M31" s="326">
        <f>K31*(INDEX('Ex post LI &amp; Eligibility Stats'!$A:$N,MATCH($A31,'Ex post LI &amp; Eligibility Stats'!$A:$A,0),MATCH('Program MW '!L$28,'Ex post LI &amp; Eligibility Stats'!$A$8:$N$8,0))/1000)</f>
        <v>0</v>
      </c>
      <c r="N31" s="124">
        <v>0</v>
      </c>
      <c r="O31" s="326">
        <f>N31*(INDEX('Ex ante LI &amp; Eligibility Stats'!$A:$M,MATCH('Program MW '!$A31,'Ex ante LI &amp; Eligibility Stats'!$A:$A,0),MATCH('Program MW '!O$28,'Ex ante LI &amp; Eligibility Stats'!$A$8:$M$8,0))/1000)</f>
        <v>0</v>
      </c>
      <c r="P31" s="326">
        <f>N31*(INDEX('Ex post LI &amp; Eligibility Stats'!$A:$N,MATCH($A31,'Ex post LI &amp; Eligibility Stats'!$A:$A,0),MATCH('Program MW '!O$28,'Ex post LI &amp; Eligibility Stats'!$A$8:$N$8,0))/1000)</f>
        <v>0</v>
      </c>
      <c r="Q31" s="124">
        <v>0</v>
      </c>
      <c r="R31" s="326">
        <f>Q31*(INDEX('Ex ante LI &amp; Eligibility Stats'!$A:$M,MATCH('Program MW '!$A31,'Ex ante LI &amp; Eligibility Stats'!$A:$A,0),MATCH('Program MW '!R$28,'Ex ante LI &amp; Eligibility Stats'!$A$8:$M$8,0))/1000)</f>
        <v>0</v>
      </c>
      <c r="S31" s="326">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1</v>
      </c>
      <c r="C32" s="257">
        <f t="shared" si="5"/>
        <v>0.15948800659179688</v>
      </c>
      <c r="D32" s="258">
        <f t="shared" si="5"/>
        <v>0.106</v>
      </c>
      <c r="E32" s="125">
        <f t="shared" si="5"/>
        <v>0</v>
      </c>
      <c r="F32" s="257">
        <f t="shared" ref="F32:G32" si="6">SUM(F31:F31)</f>
        <v>0</v>
      </c>
      <c r="G32" s="258">
        <f t="shared" si="6"/>
        <v>0</v>
      </c>
      <c r="H32" s="125">
        <f t="shared" si="5"/>
        <v>0</v>
      </c>
      <c r="I32" s="257">
        <f t="shared" si="5"/>
        <v>0</v>
      </c>
      <c r="J32" s="258">
        <f t="shared" si="5"/>
        <v>0</v>
      </c>
      <c r="K32" s="125">
        <f t="shared" si="5"/>
        <v>0</v>
      </c>
      <c r="L32" s="257">
        <f t="shared" ref="L32:M32" si="7">SUM(L31:L31)</f>
        <v>0</v>
      </c>
      <c r="M32" s="258">
        <f t="shared" si="7"/>
        <v>0</v>
      </c>
      <c r="N32" s="125">
        <f t="shared" ref="N32:Q32" si="8">SUM(N31:N31)</f>
        <v>0</v>
      </c>
      <c r="O32" s="257">
        <f t="shared" ref="O32:P32" si="9">SUM(O31:O31)</f>
        <v>0</v>
      </c>
      <c r="P32" s="258">
        <f t="shared" si="9"/>
        <v>0</v>
      </c>
      <c r="Q32" s="125">
        <f t="shared" si="8"/>
        <v>0</v>
      </c>
      <c r="R32" s="257">
        <f t="shared" ref="R32:S32" si="10">SUM(R31:R31)</f>
        <v>0</v>
      </c>
      <c r="S32" s="258">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5806</v>
      </c>
      <c r="C34" s="326">
        <f>B34*(INDEX('Ex ante LI &amp; Eligibility Stats'!$A:$M,MATCH('Program MW '!$A34,'Ex ante LI &amp; Eligibility Stats'!$A:$A,0),MATCH('Program MW '!C$28,'Ex ante LI &amp; Eligibility Stats'!$A$8:$M$8,0))/1000)</f>
        <v>0</v>
      </c>
      <c r="D34" s="325">
        <f>B34*(INDEX('Ex post LI &amp; Eligibility Stats'!$A:$N,MATCH($A34,'Ex post LI &amp; Eligibility Stats'!$A:$A,0),MATCH('Program MW '!C$28,'Ex post LI &amp; Eligibility Stats'!$A$8:$N$8,0))/1000)</f>
        <v>2.7938888237196737</v>
      </c>
      <c r="E34" s="158">
        <v>0</v>
      </c>
      <c r="F34" s="326">
        <f>E34*(INDEX('Ex ante LI &amp; Eligibility Stats'!$A:$M,MATCH('Program MW '!$A34,'Ex ante LI &amp; Eligibility Stats'!$A:$A,0),MATCH('Program MW '!F$28,'Ex ante LI &amp; Eligibility Stats'!$A$8:$M$8,0))/1000)</f>
        <v>0</v>
      </c>
      <c r="G34" s="325">
        <f>E34*(INDEX('Ex post LI &amp; Eligibility Stats'!$A:$N,MATCH($A34,'Ex post LI &amp; Eligibility Stats'!$A:$A,0),MATCH('Program MW '!F$28,'Ex post LI &amp; Eligibility Stats'!$A$8:$N$8,0))/1000)</f>
        <v>0</v>
      </c>
      <c r="H34" s="158">
        <v>0</v>
      </c>
      <c r="I34" s="326">
        <f>H34*(INDEX('Ex ante LI &amp; Eligibility Stats'!$A:$M,MATCH('Program MW '!$A34,'Ex ante LI &amp; Eligibility Stats'!$A:$A,0),MATCH('Program MW '!I$28,'Ex ante LI &amp; Eligibility Stats'!$A$8:$M$8,0))/1000)</f>
        <v>0</v>
      </c>
      <c r="J34" s="325">
        <f>H34*(INDEX('Ex post LI &amp; Eligibility Stats'!$A:$N,MATCH($A34,'Ex post LI &amp; Eligibility Stats'!$A:$A,0),MATCH('Program MW '!I$28,'Ex post LI &amp; Eligibility Stats'!$A$8:$N$8,0))/1000)</f>
        <v>0</v>
      </c>
      <c r="K34" s="158">
        <v>0</v>
      </c>
      <c r="L34" s="326">
        <f>K34*(INDEX('Ex ante LI &amp; Eligibility Stats'!$A:$M,MATCH('Program MW '!$A34,'Ex ante LI &amp; Eligibility Stats'!$A:$A,0),MATCH('Program MW '!L$28,'Ex ante LI &amp; Eligibility Stats'!$A$8:$M$8,0))/1000)</f>
        <v>0</v>
      </c>
      <c r="M34" s="325">
        <f>K34*(INDEX('Ex post LI &amp; Eligibility Stats'!$A:$N,MATCH($A34,'Ex post LI &amp; Eligibility Stats'!$A:$A,0),MATCH('Program MW '!L$28,'Ex post LI &amp; Eligibility Stats'!$A$8:$N$8,0))/1000)</f>
        <v>0</v>
      </c>
      <c r="N34" s="158">
        <v>0</v>
      </c>
      <c r="O34" s="326">
        <f>N34*(INDEX('Ex ante LI &amp; Eligibility Stats'!$A:$M,MATCH('Program MW '!$A34,'Ex ante LI &amp; Eligibility Stats'!$A:$A,0),MATCH('Program MW '!O$28,'Ex ante LI &amp; Eligibility Stats'!$A$8:$M$8,0))/1000)</f>
        <v>0</v>
      </c>
      <c r="P34" s="325">
        <f>N34*(INDEX('Ex post LI &amp; Eligibility Stats'!$A:$N,MATCH($A34,'Ex post LI &amp; Eligibility Stats'!$A:$A,0),MATCH('Program MW '!O$28,'Ex post LI &amp; Eligibility Stats'!$A$8:$N$8,0))/1000)</f>
        <v>0</v>
      </c>
      <c r="Q34" s="158">
        <v>0</v>
      </c>
      <c r="R34" s="326">
        <f>Q34*(INDEX('Ex ante LI &amp; Eligibility Stats'!$A:$M,MATCH('Program MW '!$A34,'Ex ante LI &amp; Eligibility Stats'!$A:$A,0),MATCH('Program MW '!R$28,'Ex ante LI &amp; Eligibility Stats'!$A$8:$M$8,0))/1000)</f>
        <v>0</v>
      </c>
      <c r="S34" s="325">
        <f>Q34*(INDEX('Ex post LI &amp; Eligibility Stats'!$A:$N,MATCH($A34,'Ex post LI &amp; Eligibility Stats'!$A:$A,0),MATCH('Program MW '!R$28,'Ex post LI &amp; Eligibility Stats'!$A$8:$N$8,0))/1000)</f>
        <v>0</v>
      </c>
      <c r="T34" s="7">
        <v>138123</v>
      </c>
    </row>
    <row r="35" spans="1:26" ht="13.5">
      <c r="A35" s="205" t="s">
        <v>54</v>
      </c>
      <c r="B35" s="206">
        <v>0</v>
      </c>
      <c r="C35" s="326">
        <v>0</v>
      </c>
      <c r="D35" s="327">
        <v>0</v>
      </c>
      <c r="E35" s="206">
        <v>0</v>
      </c>
      <c r="F35" s="326">
        <v>0</v>
      </c>
      <c r="G35" s="327">
        <v>0</v>
      </c>
      <c r="H35" s="206">
        <v>0</v>
      </c>
      <c r="I35" s="326">
        <v>0</v>
      </c>
      <c r="J35" s="327">
        <v>0</v>
      </c>
      <c r="K35" s="206">
        <v>0</v>
      </c>
      <c r="L35" s="326">
        <v>0</v>
      </c>
      <c r="M35" s="327">
        <v>0</v>
      </c>
      <c r="N35" s="206">
        <v>0</v>
      </c>
      <c r="O35" s="326">
        <v>0</v>
      </c>
      <c r="P35" s="327">
        <v>0</v>
      </c>
      <c r="Q35" s="206">
        <v>0</v>
      </c>
      <c r="R35" s="326">
        <v>0</v>
      </c>
      <c r="S35" s="327">
        <v>0</v>
      </c>
      <c r="T35" s="4"/>
    </row>
    <row r="36" spans="1:26">
      <c r="A36" s="271" t="s">
        <v>17</v>
      </c>
      <c r="B36" s="159">
        <v>14955</v>
      </c>
      <c r="C36" s="326">
        <f>B36*(INDEX('Ex ante LI &amp; Eligibility Stats'!$A:$M,MATCH('Program MW '!$A36,'Ex ante LI &amp; Eligibility Stats'!$A:$A,0),MATCH('Program MW '!C$28,'Ex ante LI &amp; Eligibility Stats'!$A$8:$M$8,0))/1000)</f>
        <v>2.4866744115203621</v>
      </c>
      <c r="D36" s="327">
        <f>B36*(INDEX('Ex post LI &amp; Eligibility Stats'!$A:$N,MATCH($A36,'Ex post LI &amp; Eligibility Stats'!$A:$A,0),MATCH('Program MW '!C$28,'Ex post LI &amp; Eligibility Stats'!$A$8:$N$8,0))/1000)</f>
        <v>4.4907641302049166</v>
      </c>
      <c r="E36" s="159">
        <v>0</v>
      </c>
      <c r="F36" s="326">
        <f>E36*(INDEX('Ex ante LI &amp; Eligibility Stats'!$A:$M,MATCH('Program MW '!$A36,'Ex ante LI &amp; Eligibility Stats'!$A:$A,0),MATCH('Program MW '!F$28,'Ex ante LI &amp; Eligibility Stats'!$A$8:$M$8,0))/1000)</f>
        <v>0</v>
      </c>
      <c r="G36" s="327">
        <f>E36*(INDEX('Ex post LI &amp; Eligibility Stats'!$A:$N,MATCH($A36,'Ex post LI &amp; Eligibility Stats'!$A:$A,0),MATCH('Program MW '!F$28,'Ex post LI &amp; Eligibility Stats'!$A$8:$N$8,0))/1000)</f>
        <v>0</v>
      </c>
      <c r="H36" s="159">
        <v>0</v>
      </c>
      <c r="I36" s="326">
        <f>H36*(INDEX('Ex ante LI &amp; Eligibility Stats'!$A:$M,MATCH('Program MW '!$A36,'Ex ante LI &amp; Eligibility Stats'!$A:$A,0),MATCH('Program MW '!I$28,'Ex ante LI &amp; Eligibility Stats'!$A$8:$M$8,0))/1000)</f>
        <v>0</v>
      </c>
      <c r="J36" s="327">
        <f>H36*(INDEX('Ex post LI &amp; Eligibility Stats'!$A:$N,MATCH($A36,'Ex post LI &amp; Eligibility Stats'!$A:$A,0),MATCH('Program MW '!I$28,'Ex post LI &amp; Eligibility Stats'!$A$8:$N$8,0))/1000)</f>
        <v>0</v>
      </c>
      <c r="K36" s="159">
        <v>0</v>
      </c>
      <c r="L36" s="326">
        <f>K36*(INDEX('Ex ante LI &amp; Eligibility Stats'!$A:$M,MATCH('Program MW '!$A36,'Ex ante LI &amp; Eligibility Stats'!$A:$A,0),MATCH('Program MW '!L$28,'Ex ante LI &amp; Eligibility Stats'!$A$8:$M$8,0))/1000)</f>
        <v>0</v>
      </c>
      <c r="M36" s="327">
        <f>K36*(INDEX('Ex post LI &amp; Eligibility Stats'!$A:$N,MATCH($A36,'Ex post LI &amp; Eligibility Stats'!$A:$A,0),MATCH('Program MW '!L$28,'Ex post LI &amp; Eligibility Stats'!$A$8:$N$8,0))/1000)</f>
        <v>0</v>
      </c>
      <c r="N36" s="159">
        <v>0</v>
      </c>
      <c r="O36" s="494">
        <f>N36*(INDEX('Ex ante LI &amp; Eligibility Stats'!$A:$M,MATCH('Program MW '!$A36,'Ex ante LI &amp; Eligibility Stats'!$A:$A,0),MATCH('Program MW '!O$28,'Ex ante LI &amp; Eligibility Stats'!$A$8:$M$8,0))/1000)</f>
        <v>0</v>
      </c>
      <c r="P36" s="327">
        <f>N36*(INDEX('Ex post LI &amp; Eligibility Stats'!$A:$N,MATCH($A36,'Ex post LI &amp; Eligibility Stats'!$A:$A,0),MATCH('Program MW '!O$28,'Ex post LI &amp; Eligibility Stats'!$A$8:$N$8,0))/1000)</f>
        <v>0</v>
      </c>
      <c r="Q36" s="159">
        <v>0</v>
      </c>
      <c r="R36" s="326">
        <f>Q36*(INDEX('Ex ante LI &amp; Eligibility Stats'!$A:$M,MATCH('Program MW '!$A36,'Ex ante LI &amp; Eligibility Stats'!$A:$A,0),MATCH('Program MW '!R$28,'Ex ante LI &amp; Eligibility Stats'!$A$8:$M$8,0))/1000)</f>
        <v>0</v>
      </c>
      <c r="S36" s="327">
        <f>Q36*(INDEX('Ex post LI &amp; Eligibility Stats'!$A:$N,MATCH($A36,'Ex post LI &amp; Eligibility Stats'!$A:$A,0),MATCH('Program MW '!R$28,'Ex post LI &amp; Eligibility Stats'!$A$8:$N$8,0))/1000)</f>
        <v>0</v>
      </c>
      <c r="T36" s="4">
        <v>663393.5</v>
      </c>
    </row>
    <row r="37" spans="1:26">
      <c r="A37" s="271" t="s">
        <v>20</v>
      </c>
      <c r="B37" s="159">
        <v>249</v>
      </c>
      <c r="C37" s="326">
        <f>B37*(INDEX('Ex ante LI &amp; Eligibility Stats'!$A:$M,MATCH('Program MW '!$A37,'Ex ante LI &amp; Eligibility Stats'!$A:$A,0),MATCH('Program MW '!C$28,'Ex ante LI &amp; Eligibility Stats'!$A$8:$M$8,0))/1000)</f>
        <v>0.51758776760101322</v>
      </c>
      <c r="D37" s="327">
        <f>B37*(INDEX('Ex post LI &amp; Eligibility Stats'!$A:$N,MATCH($A37,'Ex post LI &amp; Eligibility Stats'!$A:$A,0),MATCH('Program MW '!C$28,'Ex post LI &amp; Eligibility Stats'!$A$8:$N$8,0))/1000)</f>
        <v>0.11549731957912444</v>
      </c>
      <c r="E37" s="159">
        <v>0</v>
      </c>
      <c r="F37" s="326">
        <f>E37*(INDEX('Ex ante LI &amp; Eligibility Stats'!$A:$M,MATCH('Program MW '!$A37,'Ex ante LI &amp; Eligibility Stats'!$A:$A,0),MATCH('Program MW '!F$28,'Ex ante LI &amp; Eligibility Stats'!$A$8:$M$8,0))/1000)</f>
        <v>0</v>
      </c>
      <c r="G37" s="327">
        <f>E37*(INDEX('Ex post LI &amp; Eligibility Stats'!$A:$N,MATCH($A37,'Ex post LI &amp; Eligibility Stats'!$A:$A,0),MATCH('Program MW '!F$28,'Ex post LI &amp; Eligibility Stats'!$A$8:$N$8,0))/1000)</f>
        <v>0</v>
      </c>
      <c r="H37" s="159">
        <v>0</v>
      </c>
      <c r="I37" s="326">
        <f>H37*(INDEX('Ex ante LI &amp; Eligibility Stats'!$A:$M,MATCH('Program MW '!$A37,'Ex ante LI &amp; Eligibility Stats'!$A:$A,0),MATCH('Program MW '!I$28,'Ex ante LI &amp; Eligibility Stats'!$A$8:$M$8,0))/1000)</f>
        <v>0</v>
      </c>
      <c r="J37" s="327">
        <f>H37*(INDEX('Ex post LI &amp; Eligibility Stats'!$A:$N,MATCH($A37,'Ex post LI &amp; Eligibility Stats'!$A:$A,0),MATCH('Program MW '!I$28,'Ex post LI &amp; Eligibility Stats'!$A$8:$N$8,0))/1000)</f>
        <v>0</v>
      </c>
      <c r="K37" s="159">
        <v>0</v>
      </c>
      <c r="L37" s="326">
        <f>K37*(INDEX('Ex ante LI &amp; Eligibility Stats'!$A:$M,MATCH('Program MW '!$A37,'Ex ante LI &amp; Eligibility Stats'!$A:$A,0),MATCH('Program MW '!L$28,'Ex ante LI &amp; Eligibility Stats'!$A$8:$M$8,0))/1000)</f>
        <v>0</v>
      </c>
      <c r="M37" s="327">
        <f>K37*(INDEX('Ex post LI &amp; Eligibility Stats'!$A:$N,MATCH($A37,'Ex post LI &amp; Eligibility Stats'!$A:$A,0),MATCH('Program MW '!L$28,'Ex post LI &amp; Eligibility Stats'!$A$8:$N$8,0))/1000)</f>
        <v>0</v>
      </c>
      <c r="N37" s="159">
        <v>0</v>
      </c>
      <c r="O37" s="326">
        <f>N37*(INDEX('Ex ante LI &amp; Eligibility Stats'!$A:$M,MATCH('Program MW '!$A37,'Ex ante LI &amp; Eligibility Stats'!$A:$A,0),MATCH('Program MW '!O$28,'Ex ante LI &amp; Eligibility Stats'!$A$8:$M$8,0))/1000)</f>
        <v>0</v>
      </c>
      <c r="P37" s="327">
        <f>N37*(INDEX('Ex post LI &amp; Eligibility Stats'!$A:$N,MATCH($A37,'Ex post LI &amp; Eligibility Stats'!$A:$A,0),MATCH('Program MW '!O$28,'Ex post LI &amp; Eligibility Stats'!$A$8:$N$8,0))/1000)</f>
        <v>0</v>
      </c>
      <c r="Q37" s="159">
        <v>0</v>
      </c>
      <c r="R37" s="326">
        <f>Q37*(INDEX('Ex ante LI &amp; Eligibility Stats'!$A:$M,MATCH('Program MW '!$A37,'Ex ante LI &amp; Eligibility Stats'!$A:$A,0),MATCH('Program MW '!R$28,'Ex ante LI &amp; Eligibility Stats'!$A$8:$M$8,0))/1000)</f>
        <v>0</v>
      </c>
      <c r="S37" s="327">
        <f>Q37*(INDEX('Ex post LI &amp; Eligibility Stats'!$A:$N,MATCH($A37,'Ex post LI &amp; Eligibility Stats'!$A:$A,0),MATCH('Program MW '!R$28,'Ex post LI &amp; Eligibility Stats'!$A$8:$N$8,0))/1000)</f>
        <v>0</v>
      </c>
      <c r="T37" s="4"/>
    </row>
    <row r="38" spans="1:26">
      <c r="A38" s="271" t="s">
        <v>21</v>
      </c>
      <c r="B38" s="383">
        <v>9340</v>
      </c>
      <c r="C38" s="326">
        <f>B38*(INDEX('Ex ante LI &amp; Eligibility Stats'!$A:$M,MATCH('Program MW '!$A38,'Ex ante LI &amp; Eligibility Stats'!$A:$A,0),MATCH('Program MW '!C$28,'Ex ante LI &amp; Eligibility Stats'!$A$8:$M$8,0))/1000)</f>
        <v>1.2445325839999999</v>
      </c>
      <c r="D38" s="327">
        <f>B38*(INDEX('Ex post LI &amp; Eligibility Stats'!$A:$N,MATCH($A38,'Ex post LI &amp; Eligibility Stats'!$A:$A,0),MATCH('Program MW '!C$28,'Ex post LI &amp; Eligibility Stats'!$A$8:$N$8,0))/1000)</f>
        <v>1.2528573260000002</v>
      </c>
      <c r="E38" s="383">
        <v>0</v>
      </c>
      <c r="F38" s="326">
        <f>E38*(INDEX('Ex ante LI &amp; Eligibility Stats'!$A:$M,MATCH('Program MW '!$A38,'Ex ante LI &amp; Eligibility Stats'!$A:$A,0),MATCH('Program MW '!F$28,'Ex ante LI &amp; Eligibility Stats'!$A$8:$M$8,0))/1000)</f>
        <v>0</v>
      </c>
      <c r="G38" s="327">
        <f>E38*(INDEX('Ex post LI &amp; Eligibility Stats'!$A:$N,MATCH($A38,'Ex post LI &amp; Eligibility Stats'!$A:$A,0),MATCH('Program MW '!F$28,'Ex post LI &amp; Eligibility Stats'!$A$8:$N$8,0))/1000)</f>
        <v>0</v>
      </c>
      <c r="H38" s="383">
        <v>0</v>
      </c>
      <c r="I38" s="326">
        <f>H38*(INDEX('Ex ante LI &amp; Eligibility Stats'!$A:$M,MATCH('Program MW '!$A38,'Ex ante LI &amp; Eligibility Stats'!$A:$A,0),MATCH('Program MW '!I$28,'Ex ante LI &amp; Eligibility Stats'!$A$8:$M$8,0))/1000)</f>
        <v>0</v>
      </c>
      <c r="J38" s="327">
        <f>H38*(INDEX('Ex post LI &amp; Eligibility Stats'!$A:$N,MATCH($A38,'Ex post LI &amp; Eligibility Stats'!$A:$A,0),MATCH('Program MW '!I$28,'Ex post LI &amp; Eligibility Stats'!$A$8:$N$8,0))/1000)</f>
        <v>0</v>
      </c>
      <c r="K38" s="383">
        <v>0</v>
      </c>
      <c r="L38" s="326">
        <f>K38*(INDEX('Ex ante LI &amp; Eligibility Stats'!$A:$M,MATCH('Program MW '!$A38,'Ex ante LI &amp; Eligibility Stats'!$A:$A,0),MATCH('Program MW '!L$28,'Ex ante LI &amp; Eligibility Stats'!$A$8:$M$8,0))/1000)</f>
        <v>0</v>
      </c>
      <c r="M38" s="327">
        <f>K38*(INDEX('Ex post LI &amp; Eligibility Stats'!$A:$N,MATCH($A38,'Ex post LI &amp; Eligibility Stats'!$A:$A,0),MATCH('Program MW '!L$28,'Ex post LI &amp; Eligibility Stats'!$A$8:$N$8,0))/1000)</f>
        <v>0</v>
      </c>
      <c r="N38" s="383">
        <v>0</v>
      </c>
      <c r="O38" s="326">
        <f>N38*(INDEX('Ex ante LI &amp; Eligibility Stats'!$A:$M,MATCH('Program MW '!$A38,'Ex ante LI &amp; Eligibility Stats'!$A:$A,0),MATCH('Program MW '!O$28,'Ex ante LI &amp; Eligibility Stats'!$A$8:$M$8,0))/1000)</f>
        <v>0</v>
      </c>
      <c r="P38" s="327">
        <f>N38*(INDEX('Ex post LI &amp; Eligibility Stats'!$A:$N,MATCH($A38,'Ex post LI &amp; Eligibility Stats'!$A:$A,0),MATCH('Program MW '!O$28,'Ex post LI &amp; Eligibility Stats'!$A$8:$N$8,0))/1000)</f>
        <v>0</v>
      </c>
      <c r="Q38" s="383">
        <v>0</v>
      </c>
      <c r="R38" s="326">
        <f>Q38*(INDEX('Ex ante LI &amp; Eligibility Stats'!$A:$M,MATCH('Program MW '!$A38,'Ex ante LI &amp; Eligibility Stats'!$A:$A,0),MATCH('Program MW '!R$28,'Ex ante LI &amp; Eligibility Stats'!$A$8:$M$8,0))/1000)</f>
        <v>0</v>
      </c>
      <c r="S38" s="327">
        <f>Q38*(INDEX('Ex post LI &amp; Eligibility Stats'!$A:$N,MATCH($A38,'Ex post LI &amp; Eligibility Stats'!$A:$A,0),MATCH('Program MW '!R$28,'Ex post LI &amp; Eligibility Stats'!$A$8:$N$8,0))/1000)</f>
        <v>0</v>
      </c>
      <c r="T38" s="4">
        <v>157189</v>
      </c>
    </row>
    <row r="39" spans="1:26">
      <c r="A39" s="271" t="s">
        <v>23</v>
      </c>
      <c r="B39" s="383">
        <v>2705</v>
      </c>
      <c r="C39" s="326">
        <f>B39*(INDEX('Ex ante LI &amp; Eligibility Stats'!$A:$M,MATCH('Program MW '!$A39,'Ex ante LI &amp; Eligibility Stats'!$A:$A,0),MATCH('Program MW '!C$28,'Ex ante LI &amp; Eligibility Stats'!$A$8:$M$8,0))/1000)</f>
        <v>0.21937090149999999</v>
      </c>
      <c r="D39" s="327">
        <f>B39*(INDEX('Ex post LI &amp; Eligibility Stats'!$A:$N,MATCH($A39,'Ex post LI &amp; Eligibility Stats'!$A:$A,0),MATCH('Program MW '!C$28,'Ex post LI &amp; Eligibility Stats'!$A$8:$N$8,0))/1000)</f>
        <v>0.13347633149999999</v>
      </c>
      <c r="E39" s="383">
        <v>0</v>
      </c>
      <c r="F39" s="326">
        <f>E39*(INDEX('Ex ante LI &amp; Eligibility Stats'!$A:$M,MATCH('Program MW '!$A39,'Ex ante LI &amp; Eligibility Stats'!$A:$A,0),MATCH('Program MW '!F$28,'Ex ante LI &amp; Eligibility Stats'!$A$8:$M$8,0))/1000)</f>
        <v>0</v>
      </c>
      <c r="G39" s="327">
        <f>E39*(INDEX('Ex post LI &amp; Eligibility Stats'!$A:$N,MATCH($A39,'Ex post LI &amp; Eligibility Stats'!$A:$A,0),MATCH('Program MW '!F$28,'Ex post LI &amp; Eligibility Stats'!$A$8:$N$8,0))/1000)</f>
        <v>0</v>
      </c>
      <c r="H39" s="383">
        <v>0</v>
      </c>
      <c r="I39" s="326">
        <f>H39*(INDEX('Ex ante LI &amp; Eligibility Stats'!$A:$M,MATCH('Program MW '!$A39,'Ex ante LI &amp; Eligibility Stats'!$A:$A,0),MATCH('Program MW '!I$28,'Ex ante LI &amp; Eligibility Stats'!$A$8:$M$8,0))/1000)</f>
        <v>0</v>
      </c>
      <c r="J39" s="327">
        <f>H39*(INDEX('Ex post LI &amp; Eligibility Stats'!$A:$N,MATCH($A39,'Ex post LI &amp; Eligibility Stats'!$A:$A,0),MATCH('Program MW '!I$28,'Ex post LI &amp; Eligibility Stats'!$A$8:$N$8,0))/1000)</f>
        <v>0</v>
      </c>
      <c r="K39" s="383">
        <v>0</v>
      </c>
      <c r="L39" s="326">
        <f>K39*(INDEX('Ex ante LI &amp; Eligibility Stats'!$A:$M,MATCH('Program MW '!$A39,'Ex ante LI &amp; Eligibility Stats'!$A:$A,0),MATCH('Program MW '!L$28,'Ex ante LI &amp; Eligibility Stats'!$A$8:$M$8,0))/1000)</f>
        <v>0</v>
      </c>
      <c r="M39" s="327">
        <f>K39*(INDEX('Ex post LI &amp; Eligibility Stats'!$A:$N,MATCH($A39,'Ex post LI &amp; Eligibility Stats'!$A:$A,0),MATCH('Program MW '!L$28,'Ex post LI &amp; Eligibility Stats'!$A$8:$N$8,0))/1000)</f>
        <v>0</v>
      </c>
      <c r="N39" s="383">
        <v>0</v>
      </c>
      <c r="O39" s="326">
        <f>N39*(INDEX('Ex ante LI &amp; Eligibility Stats'!$A:$M,MATCH('Program MW '!$A39,'Ex ante LI &amp; Eligibility Stats'!$A:$A,0),MATCH('Program MW '!O$28,'Ex ante LI &amp; Eligibility Stats'!$A$8:$M$8,0))/1000)</f>
        <v>0</v>
      </c>
      <c r="P39" s="327">
        <f>N39*(INDEX('Ex post LI &amp; Eligibility Stats'!$A:$N,MATCH($A39,'Ex post LI &amp; Eligibility Stats'!$A:$A,0),MATCH('Program MW '!O$28,'Ex post LI &amp; Eligibility Stats'!$A$8:$N$8,0))/1000)</f>
        <v>0</v>
      </c>
      <c r="Q39" s="383">
        <v>0</v>
      </c>
      <c r="R39" s="326">
        <f>Q39*(INDEX('Ex ante LI &amp; Eligibility Stats'!$A:$M,MATCH('Program MW '!$A39,'Ex ante LI &amp; Eligibility Stats'!$A:$A,0),MATCH('Program MW '!R$28,'Ex ante LI &amp; Eligibility Stats'!$A$8:$M$8,0))/1000)</f>
        <v>0</v>
      </c>
      <c r="S39" s="327">
        <f>Q39*(INDEX('Ex post LI &amp; Eligibility Stats'!$A:$N,MATCH($A39,'Ex post LI &amp; Eligibility Stats'!$A:$A,0),MATCH('Program MW '!R$28,'Ex post LI &amp; Eligibility Stats'!$A$8:$N$8,0))/1000)</f>
        <v>0</v>
      </c>
      <c r="T39" s="4">
        <v>157189</v>
      </c>
    </row>
    <row r="40" spans="1:26">
      <c r="A40" s="85" t="s">
        <v>24</v>
      </c>
      <c r="B40" s="159">
        <v>35</v>
      </c>
      <c r="C40" s="326">
        <f>B40*(INDEX('Ex ante LI &amp; Eligibility Stats'!$A:$M,MATCH('Program MW '!$A40,'Ex ante LI &amp; Eligibility Stats'!$A:$A,0),MATCH('Program MW '!C$28,'Ex ante LI &amp; Eligibility Stats'!$A$8:$M$8,0))/1000)</f>
        <v>0.41388164999999999</v>
      </c>
      <c r="D40" s="327">
        <f>B40*(INDEX('Ex post LI &amp; Eligibility Stats'!$A:$N,MATCH($A40,'Ex post LI &amp; Eligibility Stats'!$A:$A,0),MATCH('Program MW '!C$28,'Ex post LI &amp; Eligibility Stats'!$A$8:$N$8,0))/1000)</f>
        <v>0.6283662000000001</v>
      </c>
      <c r="E40" s="159">
        <v>0</v>
      </c>
      <c r="F40" s="326">
        <f>E40*(INDEX('Ex ante LI &amp; Eligibility Stats'!$A:$M,MATCH('Program MW '!$A40,'Ex ante LI &amp; Eligibility Stats'!$A:$A,0),MATCH('Program MW '!F$28,'Ex ante LI &amp; Eligibility Stats'!$A$8:$M$8,0))/1000)</f>
        <v>0</v>
      </c>
      <c r="G40" s="327">
        <f>E40*(INDEX('Ex post LI &amp; Eligibility Stats'!$A:$N,MATCH($A40,'Ex post LI &amp; Eligibility Stats'!$A:$A,0),MATCH('Program MW '!F$28,'Ex post LI &amp; Eligibility Stats'!$A$8:$N$8,0))/1000)</f>
        <v>0</v>
      </c>
      <c r="H40" s="159">
        <v>0</v>
      </c>
      <c r="I40" s="326">
        <f>H40*(INDEX('Ex ante LI &amp; Eligibility Stats'!$A:$M,MATCH('Program MW '!$A40,'Ex ante LI &amp; Eligibility Stats'!$A:$A,0),MATCH('Program MW '!I$28,'Ex ante LI &amp; Eligibility Stats'!$A$8:$M$8,0))/1000)</f>
        <v>0</v>
      </c>
      <c r="J40" s="327">
        <f>H40*(INDEX('Ex post LI &amp; Eligibility Stats'!$A:$N,MATCH($A40,'Ex post LI &amp; Eligibility Stats'!$A:$A,0),MATCH('Program MW '!I$28,'Ex post LI &amp; Eligibility Stats'!$A$8:$N$8,0))/1000)</f>
        <v>0</v>
      </c>
      <c r="K40" s="159">
        <v>0</v>
      </c>
      <c r="L40" s="326">
        <f>K40*(INDEX('Ex ante LI &amp; Eligibility Stats'!$A:$M,MATCH('Program MW '!$A40,'Ex ante LI &amp; Eligibility Stats'!$A:$A,0),MATCH('Program MW '!L$28,'Ex ante LI &amp; Eligibility Stats'!$A$8:$M$8,0))/1000)</f>
        <v>0</v>
      </c>
      <c r="M40" s="327">
        <f>K40*(INDEX('Ex post LI &amp; Eligibility Stats'!$A:$N,MATCH($A40,'Ex post LI &amp; Eligibility Stats'!$A:$A,0),MATCH('Program MW '!L$28,'Ex post LI &amp; Eligibility Stats'!$A$8:$N$8,0))/1000)</f>
        <v>0</v>
      </c>
      <c r="N40" s="159">
        <v>0</v>
      </c>
      <c r="O40" s="326">
        <f>N40*(INDEX('Ex ante LI &amp; Eligibility Stats'!$A:$M,MATCH('Program MW '!$A40,'Ex ante LI &amp; Eligibility Stats'!$A:$A,0),MATCH('Program MW '!O$28,'Ex ante LI &amp; Eligibility Stats'!$A$8:$M$8,0))/1000)</f>
        <v>0</v>
      </c>
      <c r="P40" s="327">
        <f>N40*(INDEX('Ex post LI &amp; Eligibility Stats'!$A:$N,MATCH($A40,'Ex post LI &amp; Eligibility Stats'!$A:$A,0),MATCH('Program MW '!O$28,'Ex post LI &amp; Eligibility Stats'!$A$8:$N$8,0))/1000)</f>
        <v>0</v>
      </c>
      <c r="Q40" s="159">
        <v>0</v>
      </c>
      <c r="R40" s="326">
        <f>Q40*(INDEX('Ex ante LI &amp; Eligibility Stats'!$A:$M,MATCH('Program MW '!$A40,'Ex ante LI &amp; Eligibility Stats'!$A:$A,0),MATCH('Program MW '!R$28,'Ex ante LI &amp; Eligibility Stats'!$A$8:$M$8,0))/1000)</f>
        <v>0</v>
      </c>
      <c r="S40" s="327">
        <f>Q40*(INDEX('Ex post LI &amp; Eligibility Stats'!$A:$N,MATCH($A40,'Ex post LI &amp; Eligibility Stats'!$A:$A,0),MATCH('Program MW '!R$28,'Ex post LI &amp; Eligibility Stats'!$A$8:$N$8,0))/1000)</f>
        <v>0</v>
      </c>
      <c r="T40" s="4">
        <v>18875</v>
      </c>
      <c r="V40" s="406" t="s">
        <v>56</v>
      </c>
    </row>
    <row r="41" spans="1:26">
      <c r="A41" s="85" t="s">
        <v>25</v>
      </c>
      <c r="B41" s="159">
        <v>131</v>
      </c>
      <c r="C41" s="326">
        <f>B41*(INDEX('Ex ante LI &amp; Eligibility Stats'!$A:$M,MATCH('Program MW '!$A41,'Ex ante LI &amp; Eligibility Stats'!$A:$A,0),MATCH('Program MW '!C$28,'Ex ante LI &amp; Eligibility Stats'!$A$8:$M$8,0))/1000)</f>
        <v>1.186943447</v>
      </c>
      <c r="D41" s="327">
        <f>B41*(INDEX('Ex post LI &amp; Eligibility Stats'!$A:$N,MATCH($A41,'Ex post LI &amp; Eligibility Stats'!$A:$A,0),MATCH('Program MW '!C$28,'Ex post LI &amp; Eligibility Stats'!$A$8:$N$8,0))/1000)</f>
        <v>1.8079113499999999</v>
      </c>
      <c r="E41" s="159">
        <v>0</v>
      </c>
      <c r="F41" s="326">
        <f>E41*(INDEX('Ex ante LI &amp; Eligibility Stats'!$A:$M,MATCH('Program MW '!$A41,'Ex ante LI &amp; Eligibility Stats'!$A:$A,0),MATCH('Program MW '!F$28,'Ex ante LI &amp; Eligibility Stats'!$A$8:$M$8,0))/1000)</f>
        <v>0</v>
      </c>
      <c r="G41" s="327">
        <f>E41*(INDEX('Ex post LI &amp; Eligibility Stats'!$A:$N,MATCH($A41,'Ex post LI &amp; Eligibility Stats'!$A:$A,0),MATCH('Program MW '!F$28,'Ex post LI &amp; Eligibility Stats'!$A$8:$N$8,0))/1000)</f>
        <v>0</v>
      </c>
      <c r="H41" s="159">
        <v>0</v>
      </c>
      <c r="I41" s="326">
        <f>H41*(INDEX('Ex ante LI &amp; Eligibility Stats'!$A:$M,MATCH('Program MW '!$A41,'Ex ante LI &amp; Eligibility Stats'!$A:$A,0),MATCH('Program MW '!I$28,'Ex ante LI &amp; Eligibility Stats'!$A$8:$M$8,0))/1000)</f>
        <v>0</v>
      </c>
      <c r="J41" s="327">
        <f>H41*(INDEX('Ex post LI &amp; Eligibility Stats'!$A:$N,MATCH($A41,'Ex post LI &amp; Eligibility Stats'!$A:$A,0),MATCH('Program MW '!I$28,'Ex post LI &amp; Eligibility Stats'!$A$8:$N$8,0))/1000)</f>
        <v>0</v>
      </c>
      <c r="K41" s="159">
        <v>0</v>
      </c>
      <c r="L41" s="326">
        <f>K41*(INDEX('Ex ante LI &amp; Eligibility Stats'!$A:$M,MATCH('Program MW '!$A41,'Ex ante LI &amp; Eligibility Stats'!$A:$A,0),MATCH('Program MW '!L$28,'Ex ante LI &amp; Eligibility Stats'!$A$8:$M$8,0))/1000)</f>
        <v>0</v>
      </c>
      <c r="M41" s="327">
        <f>K41*(INDEX('Ex post LI &amp; Eligibility Stats'!$A:$N,MATCH($A41,'Ex post LI &amp; Eligibility Stats'!$A:$A,0),MATCH('Program MW '!L$28,'Ex post LI &amp; Eligibility Stats'!$A$8:$N$8,0))/1000)</f>
        <v>0</v>
      </c>
      <c r="N41" s="159">
        <v>0</v>
      </c>
      <c r="O41" s="326">
        <f>N41*(INDEX('Ex ante LI &amp; Eligibility Stats'!$A:$M,MATCH('Program MW '!$A41,'Ex ante LI &amp; Eligibility Stats'!$A:$A,0),MATCH('Program MW '!O$28,'Ex ante LI &amp; Eligibility Stats'!$A$8:$M$8,0))/1000)</f>
        <v>0</v>
      </c>
      <c r="P41" s="327">
        <f>N41*(INDEX('Ex post LI &amp; Eligibility Stats'!$A:$N,MATCH($A41,'Ex post LI &amp; Eligibility Stats'!$A:$A,0),MATCH('Program MW '!O$28,'Ex post LI &amp; Eligibility Stats'!$A$8:$N$8,0))/1000)</f>
        <v>0</v>
      </c>
      <c r="Q41" s="159">
        <v>0</v>
      </c>
      <c r="R41" s="326">
        <f>Q41*(INDEX('Ex ante LI &amp; Eligibility Stats'!$A:$M,MATCH('Program MW '!$A41,'Ex ante LI &amp; Eligibility Stats'!$A:$A,0),MATCH('Program MW '!R$28,'Ex ante LI &amp; Eligibility Stats'!$A$8:$M$8,0))/1000)</f>
        <v>0</v>
      </c>
      <c r="S41" s="327">
        <f>Q41*(INDEX('Ex post LI &amp; Eligibility Stats'!$A:$N,MATCH($A41,'Ex post LI &amp; Eligibility Stats'!$A:$A,0),MATCH('Program MW '!R$28,'Ex post LI &amp; Eligibility Stats'!$A$8:$N$8,0))/1000)</f>
        <v>0</v>
      </c>
      <c r="T41" s="4">
        <v>18875</v>
      </c>
    </row>
    <row r="42" spans="1:26" s="152" customFormat="1">
      <c r="A42" s="271" t="s">
        <v>55</v>
      </c>
      <c r="B42" s="206">
        <v>95</v>
      </c>
      <c r="C42" s="326">
        <f>B42*(INDEX('Ex ante LI &amp; Eligibility Stats'!$A:$M,MATCH('Program MW '!$A42,'Ex ante LI &amp; Eligibility Stats'!$A:$A,0),MATCH('Program MW '!C$28,'Ex ante LI &amp; Eligibility Stats'!$A$8:$M$8,0))/1000)</f>
        <v>0</v>
      </c>
      <c r="D42" s="327">
        <f>B42*(INDEX('Ex post LI &amp; Eligibility Stats'!$A:$N,MATCH($A42,'Ex post LI &amp; Eligibility Stats'!$A:$A,0),MATCH('Program MW '!C$28,'Ex post LI &amp; Eligibility Stats'!$A$8:$N$8,0))/1000)</f>
        <v>4.5078440010547637E-2</v>
      </c>
      <c r="E42" s="206">
        <v>0</v>
      </c>
      <c r="F42" s="326">
        <f>E42*(INDEX('Ex ante LI &amp; Eligibility Stats'!$A:$M,MATCH('Program MW '!$A42,'Ex ante LI &amp; Eligibility Stats'!$A:$A,0),MATCH('Program MW '!F$28,'Ex ante LI &amp; Eligibility Stats'!$A$8:$M$8,0))/1000)</f>
        <v>0</v>
      </c>
      <c r="G42" s="327">
        <f>E42*(INDEX('Ex post LI &amp; Eligibility Stats'!$A:$N,MATCH($A42,'Ex post LI &amp; Eligibility Stats'!$A:$A,0),MATCH('Program MW '!F$28,'Ex post LI &amp; Eligibility Stats'!$A$8:$N$8,0))/1000)</f>
        <v>0</v>
      </c>
      <c r="H42" s="206">
        <v>0</v>
      </c>
      <c r="I42" s="326">
        <f>H42*(INDEX('Ex ante LI &amp; Eligibility Stats'!$A:$M,MATCH('Program MW '!$A42,'Ex ante LI &amp; Eligibility Stats'!$A:$A,0),MATCH('Program MW '!I$28,'Ex ante LI &amp; Eligibility Stats'!$A$8:$M$8,0))/1000)</f>
        <v>0</v>
      </c>
      <c r="J42" s="327">
        <f>H42*(INDEX('Ex post LI &amp; Eligibility Stats'!$A:$N,MATCH($A42,'Ex post LI &amp; Eligibility Stats'!$A:$A,0),MATCH('Program MW '!I$28,'Ex post LI &amp; Eligibility Stats'!$A$8:$N$8,0))/1000)</f>
        <v>0</v>
      </c>
      <c r="K42" s="206">
        <v>0</v>
      </c>
      <c r="L42" s="326">
        <f>K42*(INDEX('Ex ante LI &amp; Eligibility Stats'!$A:$M,MATCH('Program MW '!$A42,'Ex ante LI &amp; Eligibility Stats'!$A:$A,0),MATCH('Program MW '!L$28,'Ex ante LI &amp; Eligibility Stats'!$A$8:$M$8,0))/1000)</f>
        <v>0</v>
      </c>
      <c r="M42" s="327">
        <f>K42*(INDEX('Ex post LI &amp; Eligibility Stats'!$A:$N,MATCH($A42,'Ex post LI &amp; Eligibility Stats'!$A:$A,0),MATCH('Program MW '!L$28,'Ex post LI &amp; Eligibility Stats'!$A$8:$N$8,0))/1000)</f>
        <v>0</v>
      </c>
      <c r="N42" s="206">
        <v>0</v>
      </c>
      <c r="O42" s="326">
        <f>N42*(INDEX('Ex ante LI &amp; Eligibility Stats'!$A:$M,MATCH('Program MW '!$A42,'Ex ante LI &amp; Eligibility Stats'!$A:$A,0),MATCH('Program MW '!O$28,'Ex ante LI &amp; Eligibility Stats'!$A$8:$M$8,0))/1000)</f>
        <v>0</v>
      </c>
      <c r="P42" s="327">
        <f>N42*(INDEX('Ex post LI &amp; Eligibility Stats'!$A:$N,MATCH($A42,'Ex post LI &amp; Eligibility Stats'!$A:$A,0),MATCH('Program MW '!O$28,'Ex post LI &amp; Eligibility Stats'!$A$8:$N$8,0))/1000)</f>
        <v>0</v>
      </c>
      <c r="Q42" s="206">
        <v>0</v>
      </c>
      <c r="R42" s="326">
        <f>Q42*(INDEX('Ex ante LI &amp; Eligibility Stats'!$A:$M,MATCH('Program MW '!$A42,'Ex ante LI &amp; Eligibility Stats'!$A:$A,0),MATCH('Program MW '!R$28,'Ex ante LI &amp; Eligibility Stats'!$A$8:$M$8,0))/1000)</f>
        <v>0</v>
      </c>
      <c r="S42" s="327">
        <f>Q42*(INDEX('Ex post LI &amp; Eligibility Stats'!$A:$N,MATCH($A42,'Ex post LI &amp; Eligibility Stats'!$A:$A,0),MATCH('Program MW '!R$28,'Ex post LI &amp; Eligibility Stats'!$A$8:$N$8,0))/1000)</f>
        <v>0</v>
      </c>
      <c r="T42" s="411"/>
    </row>
    <row r="43" spans="1:26">
      <c r="A43" s="85" t="s">
        <v>26</v>
      </c>
      <c r="B43" s="159">
        <v>62705</v>
      </c>
      <c r="C43" s="326">
        <f>B43*(INDEX('Ex ante LI &amp; Eligibility Stats'!$A:$M,MATCH('Program MW '!$A43,'Ex ante LI &amp; Eligibility Stats'!$A:$A,0),MATCH('Program MW '!C$28,'Ex ante LI &amp; Eligibility Stats'!$A$8:$M$8,0))/1000)</f>
        <v>0.13718643118937368</v>
      </c>
      <c r="D43" s="327">
        <f>B43*(INDEX('Ex post LI &amp; Eligibility Stats'!$A:$N,MATCH($A43,'Ex post LI &amp; Eligibility Stats'!$A:$A,0),MATCH('Program MW '!C$28,'Ex post LI &amp; Eligibility Stats'!$A$8:$N$8,0))/1000)</f>
        <v>3.1330050788902919</v>
      </c>
      <c r="E43" s="159">
        <v>0</v>
      </c>
      <c r="F43" s="326">
        <f>E43*(INDEX('Ex ante LI &amp; Eligibility Stats'!$A:$M,MATCH('Program MW '!$A43,'Ex ante LI &amp; Eligibility Stats'!$A:$A,0),MATCH('Program MW '!F$28,'Ex ante LI &amp; Eligibility Stats'!$A$8:$M$8,0))/1000)</f>
        <v>0</v>
      </c>
      <c r="G43" s="327">
        <f>E43*(INDEX('Ex post LI &amp; Eligibility Stats'!$A:$N,MATCH($A43,'Ex post LI &amp; Eligibility Stats'!$A:$A,0),MATCH('Program MW '!F$28,'Ex post LI &amp; Eligibility Stats'!$A$8:$N$8,0))/1000)</f>
        <v>0</v>
      </c>
      <c r="H43" s="159">
        <v>0</v>
      </c>
      <c r="I43" s="326">
        <f>H43*(INDEX('Ex ante LI &amp; Eligibility Stats'!$A:$M,MATCH('Program MW '!$A43,'Ex ante LI &amp; Eligibility Stats'!$A:$A,0),MATCH('Program MW '!I$28,'Ex ante LI &amp; Eligibility Stats'!$A$8:$M$8,0))/1000)</f>
        <v>0</v>
      </c>
      <c r="J43" s="327">
        <f>H43*(INDEX('Ex post LI &amp; Eligibility Stats'!$A:$N,MATCH($A43,'Ex post LI &amp; Eligibility Stats'!$A:$A,0),MATCH('Program MW '!I$28,'Ex post LI &amp; Eligibility Stats'!$A$8:$N$8,0))/1000)</f>
        <v>0</v>
      </c>
      <c r="K43" s="159">
        <v>0</v>
      </c>
      <c r="L43" s="326">
        <f>K43*(INDEX('Ex ante LI &amp; Eligibility Stats'!$A:$M,MATCH('Program MW '!$A43,'Ex ante LI &amp; Eligibility Stats'!$A:$A,0),MATCH('Program MW '!L$28,'Ex ante LI &amp; Eligibility Stats'!$A$8:$M$8,0))/1000)</f>
        <v>0</v>
      </c>
      <c r="M43" s="327">
        <f>K43*(INDEX('Ex post LI &amp; Eligibility Stats'!$A:$N,MATCH($A43,'Ex post LI &amp; Eligibility Stats'!$A:$A,0),MATCH('Program MW '!L$28,'Ex post LI &amp; Eligibility Stats'!$A$8:$N$8,0))/1000)</f>
        <v>0</v>
      </c>
      <c r="N43" s="159">
        <v>0</v>
      </c>
      <c r="O43" s="326">
        <f>N43*(INDEX('Ex ante LI &amp; Eligibility Stats'!$A:$M,MATCH('Program MW '!$A43,'Ex ante LI &amp; Eligibility Stats'!$A:$A,0),MATCH('Program MW '!O$28,'Ex ante LI &amp; Eligibility Stats'!$A$8:$M$8,0))/1000)</f>
        <v>0</v>
      </c>
      <c r="P43" s="327">
        <f>N43*(INDEX('Ex post LI &amp; Eligibility Stats'!$A:$N,MATCH($A43,'Ex post LI &amp; Eligibility Stats'!$A:$A,0),MATCH('Program MW '!O$28,'Ex post LI &amp; Eligibility Stats'!$A$8:$N$8,0))/1000)</f>
        <v>0</v>
      </c>
      <c r="Q43" s="159">
        <v>0</v>
      </c>
      <c r="R43" s="326">
        <f>Q43*(INDEX('Ex ante LI &amp; Eligibility Stats'!$A:$M,MATCH('Program MW '!$A43,'Ex ante LI &amp; Eligibility Stats'!$A:$A,0),MATCH('Program MW '!R$28,'Ex ante LI &amp; Eligibility Stats'!$A$8:$M$8,0))/1000)</f>
        <v>0</v>
      </c>
      <c r="S43" s="327">
        <f>Q43*(INDEX('Ex post LI &amp; Eligibility Stats'!$A:$N,MATCH($A43,'Ex post LI &amp; Eligibility Stats'!$A:$A,0),MATCH('Program MW '!R$28,'Ex post LI &amp; Eligibility Stats'!$A$8:$N$8,0))/1000)</f>
        <v>0</v>
      </c>
      <c r="T43" s="4"/>
    </row>
    <row r="44" spans="1:26">
      <c r="A44" s="42" t="s">
        <v>27</v>
      </c>
      <c r="B44" s="269">
        <v>21149</v>
      </c>
      <c r="C44" s="326">
        <f>B44*(INDEX('Ex ante LI &amp; Eligibility Stats'!$A:$M,MATCH('Program MW '!$A44,'Ex ante LI &amp; Eligibility Stats'!$A:$A,0),MATCH('Program MW '!C$28,'Ex ante LI &amp; Eligibility Stats'!$A$8:$M$8,0))/1000)</f>
        <v>1.8182098268599642</v>
      </c>
      <c r="D44" s="327">
        <f>B44*(INDEX('Ex post LI &amp; Eligibility Stats'!$A:$N,MATCH($A44,'Ex post LI &amp; Eligibility Stats'!$A:$A,0),MATCH('Program MW '!C$28,'Ex post LI &amp; Eligibility Stats'!$A$8:$N$8,0))/1000)</f>
        <v>3.5342182453142823</v>
      </c>
      <c r="E44" s="269">
        <v>0</v>
      </c>
      <c r="F44" s="326">
        <f>E44*(INDEX('Ex ante LI &amp; Eligibility Stats'!$A:$M,MATCH('Program MW '!$A44,'Ex ante LI &amp; Eligibility Stats'!$A:$A,0),MATCH('Program MW '!F$28,'Ex ante LI &amp; Eligibility Stats'!$A$8:$M$8,0))/1000)</f>
        <v>0</v>
      </c>
      <c r="G44" s="327">
        <f>E44*(INDEX('Ex post LI &amp; Eligibility Stats'!$A:$N,MATCH($A44,'Ex post LI &amp; Eligibility Stats'!$A:$A,0),MATCH('Program MW '!F$28,'Ex post LI &amp; Eligibility Stats'!$A$8:$N$8,0))/1000)</f>
        <v>0</v>
      </c>
      <c r="H44" s="269">
        <v>0</v>
      </c>
      <c r="I44" s="326">
        <f>H44*(INDEX('Ex ante LI &amp; Eligibility Stats'!$A:$M,MATCH('Program MW '!$A44,'Ex ante LI &amp; Eligibility Stats'!$A:$A,0),MATCH('Program MW '!I$28,'Ex ante LI &amp; Eligibility Stats'!$A$8:$M$8,0))/1000)</f>
        <v>0</v>
      </c>
      <c r="J44" s="327">
        <f>H44*(INDEX('Ex post LI &amp; Eligibility Stats'!$A:$N,MATCH($A44,'Ex post LI &amp; Eligibility Stats'!$A:$A,0),MATCH('Program MW '!I$28,'Ex post LI &amp; Eligibility Stats'!$A$8:$N$8,0))/1000)</f>
        <v>0</v>
      </c>
      <c r="K44" s="269">
        <v>0</v>
      </c>
      <c r="L44" s="326">
        <f>K44*(INDEX('Ex ante LI &amp; Eligibility Stats'!$A:$M,MATCH('Program MW '!$A44,'Ex ante LI &amp; Eligibility Stats'!$A:$A,0),MATCH('Program MW '!L$28,'Ex ante LI &amp; Eligibility Stats'!$A$8:$M$8,0))/1000)</f>
        <v>0</v>
      </c>
      <c r="M44" s="327">
        <f>K44*(INDEX('Ex post LI &amp; Eligibility Stats'!$A:$N,MATCH($A44,'Ex post LI &amp; Eligibility Stats'!$A:$A,0),MATCH('Program MW '!L$28,'Ex post LI &amp; Eligibility Stats'!$A$8:$N$8,0))/1000)</f>
        <v>0</v>
      </c>
      <c r="N44" s="269">
        <v>0</v>
      </c>
      <c r="O44" s="326">
        <f>N44*(INDEX('Ex ante LI &amp; Eligibility Stats'!$A:$M,MATCH('Program MW '!$A44,'Ex ante LI &amp; Eligibility Stats'!$A:$A,0),MATCH('Program MW '!O$28,'Ex ante LI &amp; Eligibility Stats'!$A$8:$M$8,0))/1000)</f>
        <v>0</v>
      </c>
      <c r="P44" s="327">
        <f>N44*(INDEX('Ex post LI &amp; Eligibility Stats'!$A:$N,MATCH($A44,'Ex post LI &amp; Eligibility Stats'!$A:$A,0),MATCH('Program MW '!O$28,'Ex post LI &amp; Eligibility Stats'!$A$8:$N$8,0))/1000)</f>
        <v>0</v>
      </c>
      <c r="Q44" s="269">
        <v>0</v>
      </c>
      <c r="R44" s="326">
        <f>Q44*(INDEX('Ex ante LI &amp; Eligibility Stats'!$A:$M,MATCH('Program MW '!$A44,'Ex ante LI &amp; Eligibility Stats'!$A:$A,0),MATCH('Program MW '!R$28,'Ex ante LI &amp; Eligibility Stats'!$A$8:$M$8,0))/1000)</f>
        <v>0</v>
      </c>
      <c r="S44" s="327">
        <f>Q44*(INDEX('Ex post LI &amp; Eligibility Stats'!$A:$N,MATCH($A44,'Ex post LI &amp; Eligibility Stats'!$A:$A,0),MATCH('Program MW '!R$28,'Ex post LI &amp; Eligibility Stats'!$A$8:$N$8,0))/1000)</f>
        <v>0</v>
      </c>
      <c r="T44" s="4"/>
    </row>
    <row r="45" spans="1:26" ht="13.5" thickBot="1">
      <c r="A45" s="184" t="s">
        <v>57</v>
      </c>
      <c r="B45" s="3">
        <f t="shared" ref="B45:S45" si="11">SUM(B34:B44)</f>
        <v>117170</v>
      </c>
      <c r="C45" s="253">
        <f t="shared" si="11"/>
        <v>8.0243870196707121</v>
      </c>
      <c r="D45" s="234">
        <f t="shared" si="11"/>
        <v>17.935063245218839</v>
      </c>
      <c r="E45" s="3">
        <f t="shared" si="11"/>
        <v>0</v>
      </c>
      <c r="F45" s="253">
        <f t="shared" si="11"/>
        <v>0</v>
      </c>
      <c r="G45" s="234">
        <f t="shared" si="11"/>
        <v>0</v>
      </c>
      <c r="H45" s="3">
        <f t="shared" si="11"/>
        <v>0</v>
      </c>
      <c r="I45" s="253">
        <f t="shared" si="11"/>
        <v>0</v>
      </c>
      <c r="J45" s="234">
        <f t="shared" si="11"/>
        <v>0</v>
      </c>
      <c r="K45" s="3">
        <f t="shared" si="11"/>
        <v>0</v>
      </c>
      <c r="L45" s="253">
        <f t="shared" si="11"/>
        <v>0</v>
      </c>
      <c r="M45" s="234">
        <f t="shared" si="11"/>
        <v>0</v>
      </c>
      <c r="N45" s="3">
        <f t="shared" si="11"/>
        <v>0</v>
      </c>
      <c r="O45" s="253">
        <f t="shared" si="11"/>
        <v>0</v>
      </c>
      <c r="P45" s="234">
        <f t="shared" si="11"/>
        <v>0</v>
      </c>
      <c r="Q45" s="3">
        <f t="shared" si="11"/>
        <v>0</v>
      </c>
      <c r="R45" s="253">
        <f t="shared" si="11"/>
        <v>0</v>
      </c>
      <c r="S45" s="234">
        <f t="shared" si="11"/>
        <v>0</v>
      </c>
      <c r="T45" s="9"/>
    </row>
    <row r="46" spans="1:26" ht="14" thickTop="1" thickBot="1">
      <c r="A46" s="191" t="s">
        <v>58</v>
      </c>
      <c r="B46" s="2">
        <f t="shared" ref="B46:S46" si="12">+B32+B45</f>
        <v>117171</v>
      </c>
      <c r="C46" s="254">
        <f t="shared" si="12"/>
        <v>8.1838750262625091</v>
      </c>
      <c r="D46" s="233">
        <f t="shared" si="12"/>
        <v>18.04106324521884</v>
      </c>
      <c r="E46" s="2">
        <f t="shared" si="12"/>
        <v>0</v>
      </c>
      <c r="F46" s="254">
        <f t="shared" si="12"/>
        <v>0</v>
      </c>
      <c r="G46" s="233">
        <f t="shared" si="12"/>
        <v>0</v>
      </c>
      <c r="H46" s="2">
        <f t="shared" si="12"/>
        <v>0</v>
      </c>
      <c r="I46" s="254">
        <f t="shared" si="12"/>
        <v>0</v>
      </c>
      <c r="J46" s="233">
        <f t="shared" si="12"/>
        <v>0</v>
      </c>
      <c r="K46" s="2">
        <f t="shared" si="12"/>
        <v>0</v>
      </c>
      <c r="L46" s="254">
        <f t="shared" si="12"/>
        <v>0</v>
      </c>
      <c r="M46" s="233">
        <f t="shared" si="12"/>
        <v>0</v>
      </c>
      <c r="N46" s="2">
        <f t="shared" si="12"/>
        <v>0</v>
      </c>
      <c r="O46" s="254">
        <f t="shared" si="12"/>
        <v>0</v>
      </c>
      <c r="P46" s="233">
        <f t="shared" si="12"/>
        <v>0</v>
      </c>
      <c r="Q46" s="2">
        <f t="shared" si="12"/>
        <v>0</v>
      </c>
      <c r="R46" s="254">
        <f t="shared" si="12"/>
        <v>0</v>
      </c>
      <c r="S46" s="233">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4">
      <c r="A48" s="244" t="s">
        <v>63</v>
      </c>
      <c r="B48" s="192"/>
      <c r="C48" s="192"/>
      <c r="D48" s="192"/>
      <c r="E48" s="387"/>
      <c r="F48" s="193"/>
      <c r="G48" s="192"/>
      <c r="H48" s="193"/>
      <c r="I48" s="192"/>
      <c r="J48" s="192"/>
      <c r="K48" s="192"/>
      <c r="L48" s="192"/>
      <c r="M48" s="192"/>
      <c r="N48" s="192"/>
      <c r="O48" s="192"/>
      <c r="P48" s="194"/>
      <c r="Q48" s="192"/>
      <c r="R48" s="192"/>
      <c r="S48" s="192"/>
      <c r="T48" s="13"/>
      <c r="U48" s="13"/>
      <c r="V48" s="13"/>
      <c r="W48" s="13"/>
      <c r="X48" s="13"/>
      <c r="Y48" s="13"/>
      <c r="Z48" s="13"/>
    </row>
    <row r="49" spans="1:31" ht="29.65" customHeight="1">
      <c r="A49" s="720" t="s">
        <v>292</v>
      </c>
      <c r="B49" s="720"/>
      <c r="C49" s="720"/>
      <c r="D49" s="720"/>
      <c r="E49" s="720"/>
      <c r="F49" s="720"/>
      <c r="G49" s="720"/>
      <c r="H49" s="720"/>
      <c r="I49" s="720"/>
      <c r="J49" s="720"/>
      <c r="K49" s="720"/>
      <c r="L49" s="720"/>
      <c r="M49" s="720"/>
      <c r="N49" s="720"/>
      <c r="O49" s="720"/>
    </row>
    <row r="50" spans="1:31" ht="30.4" customHeight="1">
      <c r="A50" s="720" t="s">
        <v>293</v>
      </c>
      <c r="B50" s="720"/>
      <c r="C50" s="720"/>
      <c r="D50" s="720"/>
      <c r="E50" s="720"/>
      <c r="F50" s="720"/>
      <c r="G50" s="720"/>
      <c r="H50" s="720"/>
      <c r="I50" s="720"/>
      <c r="J50" s="720"/>
      <c r="K50" s="720"/>
      <c r="L50" s="720"/>
      <c r="M50" s="720"/>
      <c r="N50" s="720"/>
      <c r="O50" s="720"/>
      <c r="P50" s="13"/>
      <c r="Q50" s="13"/>
      <c r="R50" s="13"/>
      <c r="S50" s="13"/>
      <c r="T50" s="146"/>
      <c r="U50" s="146"/>
      <c r="V50" s="146"/>
      <c r="W50" s="146"/>
      <c r="X50" s="146"/>
      <c r="Y50" s="146"/>
      <c r="Z50" s="146"/>
    </row>
    <row r="51" spans="1:31" s="152" customFormat="1" ht="18" customHeight="1">
      <c r="A51" s="720" t="s">
        <v>248</v>
      </c>
      <c r="B51" s="720"/>
      <c r="C51" s="720"/>
      <c r="D51" s="720"/>
      <c r="E51" s="720"/>
      <c r="F51" s="720"/>
      <c r="G51" s="720"/>
      <c r="H51" s="720"/>
      <c r="I51" s="720"/>
      <c r="J51" s="720"/>
      <c r="K51" s="720"/>
      <c r="L51" s="720"/>
      <c r="M51" s="720"/>
      <c r="N51" s="720"/>
      <c r="O51" s="720"/>
      <c r="P51" s="384"/>
      <c r="Q51" s="384"/>
      <c r="R51" s="384"/>
      <c r="S51" s="384"/>
      <c r="T51" s="203"/>
      <c r="U51" s="203"/>
      <c r="V51" s="203"/>
      <c r="W51" s="203"/>
      <c r="X51" s="203"/>
      <c r="Y51" s="203"/>
      <c r="Z51" s="203"/>
    </row>
    <row r="52" spans="1:31" s="152" customFormat="1" ht="18" customHeight="1">
      <c r="A52" s="720" t="s">
        <v>274</v>
      </c>
      <c r="B52" s="720"/>
      <c r="C52" s="720"/>
      <c r="D52" s="720"/>
      <c r="E52" s="720"/>
      <c r="F52" s="720"/>
      <c r="G52" s="720"/>
      <c r="H52" s="720"/>
      <c r="I52" s="720"/>
      <c r="J52" s="720"/>
      <c r="K52" s="720"/>
      <c r="L52" s="720"/>
      <c r="M52" s="720"/>
      <c r="N52" s="720"/>
      <c r="O52" s="720"/>
      <c r="P52" s="384"/>
      <c r="Q52" s="384"/>
      <c r="R52" s="384"/>
      <c r="S52" s="384"/>
      <c r="T52" s="203"/>
      <c r="U52" s="203"/>
      <c r="V52" s="203"/>
      <c r="W52" s="203"/>
      <c r="X52" s="203"/>
      <c r="Y52" s="203"/>
      <c r="Z52" s="203"/>
    </row>
    <row r="53" spans="1:31" s="152" customFormat="1" ht="13.9" customHeight="1">
      <c r="A53" s="720" t="s">
        <v>331</v>
      </c>
      <c r="B53" s="720"/>
      <c r="C53" s="720"/>
      <c r="D53" s="720"/>
      <c r="E53" s="720"/>
      <c r="F53" s="720"/>
      <c r="G53" s="720"/>
      <c r="H53" s="720"/>
      <c r="I53" s="720"/>
      <c r="J53" s="720"/>
      <c r="K53" s="720"/>
      <c r="L53" s="720"/>
      <c r="M53" s="720"/>
      <c r="N53" s="720"/>
      <c r="O53" s="633"/>
      <c r="P53" s="384"/>
      <c r="Q53" s="384"/>
      <c r="R53" s="384"/>
      <c r="S53" s="384"/>
      <c r="T53" s="203"/>
      <c r="U53" s="203"/>
      <c r="V53" s="203"/>
      <c r="W53" s="203"/>
      <c r="X53" s="203"/>
      <c r="Y53" s="203"/>
      <c r="Z53" s="203"/>
    </row>
    <row r="54" spans="1:31" ht="15.75" customHeight="1">
      <c r="A54" s="496" t="s">
        <v>298</v>
      </c>
      <c r="B54" s="643"/>
      <c r="C54" s="643"/>
      <c r="D54" s="643"/>
      <c r="E54" s="643"/>
      <c r="F54" s="643"/>
      <c r="G54" s="643"/>
      <c r="H54" s="643"/>
      <c r="I54" s="643"/>
      <c r="J54" s="643"/>
      <c r="K54" s="643"/>
      <c r="L54" s="643"/>
      <c r="M54" s="643"/>
      <c r="N54" s="643"/>
      <c r="O54" s="644"/>
    </row>
    <row r="55" spans="1:31" ht="14">
      <c r="A55" s="496" t="s">
        <v>330</v>
      </c>
      <c r="B55" s="643"/>
      <c r="C55" s="643"/>
      <c r="D55" s="643"/>
      <c r="E55" s="643"/>
      <c r="F55" s="643"/>
      <c r="G55" s="643"/>
      <c r="H55" s="643"/>
      <c r="I55" s="643"/>
      <c r="J55" s="643"/>
      <c r="K55" s="643"/>
      <c r="L55" s="643"/>
      <c r="M55" s="643"/>
      <c r="N55" s="643"/>
      <c r="O55" s="644"/>
    </row>
    <row r="56" spans="1:31" ht="14">
      <c r="A56" s="642" t="s">
        <v>335</v>
      </c>
      <c r="B56" s="643"/>
      <c r="C56" s="643"/>
      <c r="D56" s="643"/>
      <c r="E56" s="643"/>
      <c r="F56" s="643"/>
      <c r="G56" s="643"/>
      <c r="H56" s="643"/>
      <c r="I56" s="643"/>
      <c r="J56" s="643"/>
      <c r="K56" s="643"/>
      <c r="L56" s="643"/>
      <c r="M56" s="643"/>
      <c r="N56" s="643"/>
      <c r="O56" s="644"/>
    </row>
    <row r="57" spans="1:31" s="152" customFormat="1" ht="14">
      <c r="A57" s="719" t="s">
        <v>354</v>
      </c>
    </row>
    <row r="58" spans="1:31" s="152" customFormat="1" ht="14">
      <c r="A58" s="719" t="s">
        <v>355</v>
      </c>
    </row>
    <row r="59" spans="1:31" ht="14">
      <c r="A59" s="496" t="s">
        <v>364</v>
      </c>
      <c r="B59" s="643"/>
      <c r="C59" s="643"/>
      <c r="D59" s="643"/>
      <c r="E59" s="643"/>
      <c r="F59" s="643"/>
      <c r="G59" s="643"/>
      <c r="H59" s="643"/>
      <c r="I59" s="643"/>
      <c r="J59" s="643"/>
      <c r="K59" s="643"/>
      <c r="L59" s="643"/>
      <c r="M59" s="643"/>
      <c r="N59" s="643"/>
      <c r="O59" s="644"/>
      <c r="P59" s="718"/>
      <c r="Q59" s="718"/>
      <c r="R59" s="718"/>
      <c r="S59" s="718"/>
      <c r="T59" s="718"/>
      <c r="U59" s="718"/>
      <c r="V59" s="718"/>
      <c r="W59" s="718"/>
      <c r="X59" s="718"/>
      <c r="Y59" s="718"/>
      <c r="Z59" s="718"/>
      <c r="AA59" s="718"/>
      <c r="AB59" s="718"/>
      <c r="AC59" s="718"/>
      <c r="AD59" s="718"/>
      <c r="AE59" s="718"/>
    </row>
    <row r="60" spans="1:31" ht="14">
      <c r="A60" s="235" t="s">
        <v>64</v>
      </c>
    </row>
  </sheetData>
  <mergeCells count="5">
    <mergeCell ref="A49:O49"/>
    <mergeCell ref="A50:O50"/>
    <mergeCell ref="A51:O51"/>
    <mergeCell ref="A52:O52"/>
    <mergeCell ref="A53:N53"/>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7" zoomScaleNormal="100" zoomScaleSheetLayoutView="100" workbookViewId="0">
      <pane xSplit="1" ySplit="2" topLeftCell="B24" activePane="bottomRight" state="frozen"/>
      <selection activeCell="B55" sqref="B55"/>
      <selection pane="topRight" activeCell="B55" sqref="B55"/>
      <selection pane="bottomLeft" activeCell="B55" sqref="B55"/>
      <selection pane="bottomRight" activeCell="B55" sqref="B55"/>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53" customWidth="1"/>
    <col min="15" max="15" width="149.54296875" customWidth="1"/>
  </cols>
  <sheetData>
    <row r="2" spans="1:16" ht="13">
      <c r="A2" s="38"/>
      <c r="H2" s="148" t="s">
        <v>39</v>
      </c>
      <c r="N2" s="348"/>
    </row>
    <row r="3" spans="1:16" ht="13">
      <c r="E3" s="349"/>
      <c r="H3" s="151" t="str">
        <f>'Program MW '!H3</f>
        <v>July 2021</v>
      </c>
      <c r="N3" s="348"/>
    </row>
    <row r="4" spans="1:16">
      <c r="E4" s="150"/>
      <c r="F4" s="150"/>
      <c r="G4" s="150"/>
      <c r="I4" s="150"/>
      <c r="N4" s="348"/>
    </row>
    <row r="5" spans="1:16" ht="13">
      <c r="B5" s="150"/>
      <c r="C5" s="150"/>
      <c r="D5" s="150"/>
      <c r="F5" s="149"/>
      <c r="N5" s="348"/>
      <c r="O5" s="41"/>
    </row>
    <row r="6" spans="1:16" ht="13">
      <c r="F6" s="149"/>
      <c r="N6" s="348"/>
    </row>
    <row r="7" spans="1:16" ht="13.5" customHeight="1">
      <c r="A7" s="721" t="s">
        <v>65</v>
      </c>
      <c r="B7" s="722"/>
      <c r="C7" s="722"/>
      <c r="D7" s="722"/>
      <c r="E7" s="722"/>
      <c r="F7" s="722"/>
      <c r="G7" s="722"/>
      <c r="H7" s="722"/>
      <c r="I7" s="722"/>
      <c r="J7" s="722"/>
      <c r="K7" s="722"/>
      <c r="L7" s="722"/>
      <c r="M7" s="722"/>
      <c r="N7" s="723"/>
      <c r="O7" s="386"/>
    </row>
    <row r="8" spans="1:16" ht="38.25" customHeight="1">
      <c r="A8" s="40" t="s">
        <v>1</v>
      </c>
      <c r="B8" s="422" t="s">
        <v>41</v>
      </c>
      <c r="C8" s="422" t="s">
        <v>42</v>
      </c>
      <c r="D8" s="422" t="s">
        <v>43</v>
      </c>
      <c r="E8" s="422" t="s">
        <v>44</v>
      </c>
      <c r="F8" s="422" t="s">
        <v>31</v>
      </c>
      <c r="G8" s="422" t="s">
        <v>45</v>
      </c>
      <c r="H8" s="422" t="s">
        <v>59</v>
      </c>
      <c r="I8" s="422" t="s">
        <v>66</v>
      </c>
      <c r="J8" s="422" t="s">
        <v>67</v>
      </c>
      <c r="K8" s="422" t="s">
        <v>61</v>
      </c>
      <c r="L8" s="422" t="s">
        <v>68</v>
      </c>
      <c r="M8" s="422" t="s">
        <v>62</v>
      </c>
      <c r="N8" s="420" t="s">
        <v>69</v>
      </c>
      <c r="O8" s="272" t="s">
        <v>70</v>
      </c>
    </row>
    <row r="9" spans="1:16" ht="75.75" customHeight="1">
      <c r="A9" s="423" t="s">
        <v>8</v>
      </c>
      <c r="B9" s="424">
        <v>147.93927001953125</v>
      </c>
      <c r="C9" s="424">
        <v>123.35836029052734</v>
      </c>
      <c r="D9" s="424">
        <v>154.17617797851563</v>
      </c>
      <c r="E9" s="424">
        <v>141.36283874511719</v>
      </c>
      <c r="F9" s="424">
        <v>137.30026245117188</v>
      </c>
      <c r="G9" s="424">
        <v>167.08448791503906</v>
      </c>
      <c r="H9" s="424">
        <v>159.48800659179688</v>
      </c>
      <c r="I9" s="424">
        <v>159.82838439941406</v>
      </c>
      <c r="J9" s="424">
        <v>182.0330810546875</v>
      </c>
      <c r="K9" s="424">
        <v>153.41392517089844</v>
      </c>
      <c r="L9" s="424">
        <v>178.67237854003906</v>
      </c>
      <c r="M9" s="424">
        <v>115.07282257080078</v>
      </c>
      <c r="N9" s="425">
        <v>5326</v>
      </c>
      <c r="O9" s="414" t="s">
        <v>244</v>
      </c>
      <c r="P9" s="424"/>
    </row>
    <row r="10" spans="1:16" ht="75.75" customHeight="1">
      <c r="A10" s="426" t="s">
        <v>11</v>
      </c>
      <c r="B10" s="427">
        <v>0.14000000000000001</v>
      </c>
      <c r="C10" s="427">
        <v>0.14000000000000001</v>
      </c>
      <c r="D10" s="424">
        <v>0</v>
      </c>
      <c r="E10" s="424">
        <v>0</v>
      </c>
      <c r="F10" s="424">
        <v>0</v>
      </c>
      <c r="G10" s="424">
        <v>0</v>
      </c>
      <c r="H10" s="424">
        <v>0</v>
      </c>
      <c r="I10" s="424">
        <v>0</v>
      </c>
      <c r="J10" s="424">
        <v>0</v>
      </c>
      <c r="K10" s="424">
        <v>0</v>
      </c>
      <c r="L10" s="424">
        <v>0</v>
      </c>
      <c r="M10" s="424">
        <v>0</v>
      </c>
      <c r="N10" s="428">
        <v>24298</v>
      </c>
      <c r="O10" s="414" t="s">
        <v>71</v>
      </c>
    </row>
    <row r="11" spans="1:16" ht="75.75" customHeight="1">
      <c r="A11" s="426" t="s">
        <v>17</v>
      </c>
      <c r="B11" s="427">
        <v>1.1249953786318656E-5</v>
      </c>
      <c r="C11" s="427">
        <v>2.6053535293613095E-6</v>
      </c>
      <c r="D11" s="424">
        <v>0</v>
      </c>
      <c r="E11" s="424">
        <v>3.6579277366399765E-2</v>
      </c>
      <c r="F11" s="424">
        <v>8.1266388297080994E-2</v>
      </c>
      <c r="G11" s="424">
        <v>5.1364414393901825E-2</v>
      </c>
      <c r="H11" s="424">
        <v>0.16627712547779083</v>
      </c>
      <c r="I11" s="424">
        <v>0.22152504324913025</v>
      </c>
      <c r="J11" s="424">
        <v>0.28739506006240845</v>
      </c>
      <c r="K11" s="424">
        <v>0.1512436717748642</v>
      </c>
      <c r="L11" s="424">
        <v>2.2867627441883087E-2</v>
      </c>
      <c r="M11" s="424">
        <v>0</v>
      </c>
      <c r="N11" s="429">
        <v>590220</v>
      </c>
      <c r="O11" s="414" t="s">
        <v>245</v>
      </c>
    </row>
    <row r="12" spans="1:16" ht="75.75" customHeight="1">
      <c r="A12" s="426" t="s">
        <v>20</v>
      </c>
      <c r="B12" s="427">
        <v>3.6358251236379147E-4</v>
      </c>
      <c r="C12" s="427">
        <v>8.4200954006519169E-5</v>
      </c>
      <c r="D12" s="424">
        <v>0</v>
      </c>
      <c r="E12" s="424">
        <v>0.3435758650302887</v>
      </c>
      <c r="F12" s="424">
        <v>0.92136132717132568</v>
      </c>
      <c r="G12" s="424">
        <v>0.85638010501861572</v>
      </c>
      <c r="H12" s="424">
        <v>2.0786657333374023</v>
      </c>
      <c r="I12" s="424">
        <v>3.0234215259552002</v>
      </c>
      <c r="J12" s="424">
        <v>2.5092508792877197</v>
      </c>
      <c r="K12" s="424">
        <v>2.084477424621582</v>
      </c>
      <c r="L12" s="424">
        <v>0.46237781643867493</v>
      </c>
      <c r="M12" s="424">
        <v>0</v>
      </c>
      <c r="N12" s="429">
        <v>133226</v>
      </c>
      <c r="O12" s="414" t="s">
        <v>72</v>
      </c>
    </row>
    <row r="13" spans="1:16" ht="75.75" customHeight="1">
      <c r="A13" s="426" t="s">
        <v>21</v>
      </c>
      <c r="B13" s="430">
        <v>0</v>
      </c>
      <c r="C13" s="430">
        <v>0</v>
      </c>
      <c r="D13" s="424">
        <v>0</v>
      </c>
      <c r="E13" s="424">
        <v>2.7623999999999999E-2</v>
      </c>
      <c r="F13" s="424">
        <v>5.7694599999999999E-2</v>
      </c>
      <c r="G13" s="424">
        <v>3.6857399999999998E-2</v>
      </c>
      <c r="H13" s="424">
        <v>0.13324759999999999</v>
      </c>
      <c r="I13" s="424">
        <v>0.19637180000000001</v>
      </c>
      <c r="J13" s="424">
        <v>0.24341650000000001</v>
      </c>
      <c r="K13" s="424">
        <v>0.12678610000000001</v>
      </c>
      <c r="L13" s="424">
        <v>0</v>
      </c>
      <c r="M13" s="424">
        <v>0</v>
      </c>
      <c r="N13" s="429">
        <v>590220</v>
      </c>
      <c r="O13" s="414" t="s">
        <v>246</v>
      </c>
    </row>
    <row r="14" spans="1:16" ht="75.75" customHeight="1">
      <c r="A14" s="426" t="s">
        <v>23</v>
      </c>
      <c r="B14" s="430">
        <v>0</v>
      </c>
      <c r="C14" s="430">
        <v>0</v>
      </c>
      <c r="D14" s="424">
        <v>0</v>
      </c>
      <c r="E14" s="424">
        <v>5.6296800000000001E-2</v>
      </c>
      <c r="F14" s="424">
        <v>6.4429500000000001E-2</v>
      </c>
      <c r="G14" s="424">
        <v>5.9807899999999997E-2</v>
      </c>
      <c r="H14" s="424">
        <v>8.1098299999999998E-2</v>
      </c>
      <c r="I14" s="424">
        <v>9.1515600000000003E-2</v>
      </c>
      <c r="J14" s="424">
        <v>0.1040353</v>
      </c>
      <c r="K14" s="424">
        <v>8.3492899999999995E-2</v>
      </c>
      <c r="L14" s="424">
        <v>0</v>
      </c>
      <c r="M14" s="424">
        <v>0</v>
      </c>
      <c r="N14" s="429">
        <v>133226</v>
      </c>
      <c r="O14" s="414" t="s">
        <v>247</v>
      </c>
    </row>
    <row r="15" spans="1:16" ht="75.75" customHeight="1">
      <c r="A15" s="426" t="s">
        <v>24</v>
      </c>
      <c r="B15" s="430">
        <v>0</v>
      </c>
      <c r="C15" s="430">
        <v>0</v>
      </c>
      <c r="D15" s="424">
        <v>0</v>
      </c>
      <c r="E15" s="424">
        <v>0</v>
      </c>
      <c r="F15" s="424">
        <v>11.825189999999999</v>
      </c>
      <c r="G15" s="424">
        <v>11.825189999999999</v>
      </c>
      <c r="H15" s="424">
        <v>11.825189999999999</v>
      </c>
      <c r="I15" s="424">
        <v>11.825189999999999</v>
      </c>
      <c r="J15" s="424">
        <v>11.825189999999999</v>
      </c>
      <c r="K15" s="424">
        <v>11.825189999999999</v>
      </c>
      <c r="L15" s="424">
        <v>0</v>
      </c>
      <c r="M15" s="424">
        <v>0</v>
      </c>
      <c r="N15" s="428">
        <v>78368</v>
      </c>
      <c r="O15" s="414" t="s">
        <v>73</v>
      </c>
    </row>
    <row r="16" spans="1:16" ht="75.75" customHeight="1">
      <c r="A16" s="426" t="s">
        <v>25</v>
      </c>
      <c r="B16" s="430">
        <v>0</v>
      </c>
      <c r="C16" s="430">
        <v>0</v>
      </c>
      <c r="D16" s="424">
        <v>0</v>
      </c>
      <c r="E16" s="424">
        <v>0</v>
      </c>
      <c r="F16" s="424">
        <v>9.0606369999999998</v>
      </c>
      <c r="G16" s="424">
        <v>9.0606369999999998</v>
      </c>
      <c r="H16" s="424">
        <v>9.0606369999999998</v>
      </c>
      <c r="I16" s="424">
        <v>9.0606369999999998</v>
      </c>
      <c r="J16" s="424">
        <v>9.0606369999999998</v>
      </c>
      <c r="K16" s="424">
        <v>9.0606369999999998</v>
      </c>
      <c r="L16" s="424">
        <v>0</v>
      </c>
      <c r="M16" s="424">
        <v>0</v>
      </c>
      <c r="N16" s="428">
        <v>78368</v>
      </c>
      <c r="O16" s="414" t="s">
        <v>73</v>
      </c>
    </row>
    <row r="17" spans="1:15" ht="75.75" customHeight="1">
      <c r="A17" s="426" t="s">
        <v>27</v>
      </c>
      <c r="B17" s="427">
        <v>3.8699023425579071E-2</v>
      </c>
      <c r="C17" s="427">
        <v>3.4362420439720154E-2</v>
      </c>
      <c r="D17" s="424">
        <v>4.2291874821189825E-2</v>
      </c>
      <c r="E17" s="424">
        <v>4.6052272182349342E-2</v>
      </c>
      <c r="F17" s="424">
        <v>9.885066047078217E-2</v>
      </c>
      <c r="G17" s="424">
        <v>7.4932532811322408E-2</v>
      </c>
      <c r="H17" s="424">
        <v>8.597143254338098E-2</v>
      </c>
      <c r="I17" s="424">
        <v>9.1918985532060252E-2</v>
      </c>
      <c r="J17" s="424">
        <v>0.10056453415944168</v>
      </c>
      <c r="K17" s="424">
        <v>9.3665201236999687E-2</v>
      </c>
      <c r="L17" s="424">
        <v>0.14194687939870335</v>
      </c>
      <c r="M17" s="424">
        <v>0.16120215621047654</v>
      </c>
      <c r="N17" s="428">
        <v>1292629</v>
      </c>
      <c r="O17" s="414" t="s">
        <v>74</v>
      </c>
    </row>
    <row r="18" spans="1:15" ht="160.5" customHeight="1">
      <c r="A18" s="498" t="s">
        <v>26</v>
      </c>
      <c r="B18" s="432">
        <v>0.01</v>
      </c>
      <c r="C18" s="432">
        <v>0.01</v>
      </c>
      <c r="D18" s="499">
        <v>1.04106768919839E-4</v>
      </c>
      <c r="E18" s="499">
        <v>7.3445614094823331E-4</v>
      </c>
      <c r="F18" s="499">
        <v>1.3674112203188298E-3</v>
      </c>
      <c r="G18" s="499">
        <v>8.7751531743847301E-4</v>
      </c>
      <c r="H18" s="499">
        <v>2.1878068924228323E-3</v>
      </c>
      <c r="I18" s="499">
        <v>3.1452219928486133E-3</v>
      </c>
      <c r="J18" s="499">
        <v>4.4619246315722007E-3</v>
      </c>
      <c r="K18" s="499">
        <v>2.8590413124677172E-3</v>
      </c>
      <c r="L18" s="499">
        <v>3.151220920205923E-4</v>
      </c>
      <c r="M18" s="499">
        <v>-7.7720472862196388E-5</v>
      </c>
      <c r="N18" s="500">
        <v>120672</v>
      </c>
      <c r="O18" s="501" t="s">
        <v>74</v>
      </c>
    </row>
    <row r="19" spans="1:15" ht="50">
      <c r="A19" s="423" t="s">
        <v>55</v>
      </c>
      <c r="B19" s="502">
        <v>7.0191817358136177E-3</v>
      </c>
      <c r="C19" s="502">
        <v>7.0191817358136177E-3</v>
      </c>
      <c r="D19" s="502">
        <v>8.5556581616401672E-3</v>
      </c>
      <c r="E19" s="502">
        <v>0</v>
      </c>
      <c r="F19" s="502">
        <v>0</v>
      </c>
      <c r="G19" s="502">
        <v>0</v>
      </c>
      <c r="H19" s="502">
        <v>0</v>
      </c>
      <c r="I19" s="502">
        <v>0</v>
      </c>
      <c r="J19" s="502">
        <v>0</v>
      </c>
      <c r="K19" s="502">
        <v>0</v>
      </c>
      <c r="L19" s="502">
        <v>0</v>
      </c>
      <c r="M19" s="502">
        <v>0</v>
      </c>
      <c r="N19" s="503">
        <v>2822</v>
      </c>
      <c r="O19" s="273" t="s">
        <v>75</v>
      </c>
    </row>
    <row r="20" spans="1:15" s="415" customFormat="1" ht="51" customHeight="1">
      <c r="A20" s="445"/>
      <c r="B20" s="446"/>
      <c r="C20" s="446"/>
      <c r="D20" s="446"/>
      <c r="E20" s="446"/>
      <c r="F20" s="446"/>
      <c r="G20" s="446"/>
      <c r="H20" s="446"/>
      <c r="I20" s="446"/>
      <c r="J20" s="446"/>
      <c r="K20" s="446"/>
      <c r="L20" s="446"/>
      <c r="M20" s="446"/>
      <c r="N20" s="447"/>
      <c r="O20" s="419"/>
    </row>
    <row r="21" spans="1:15">
      <c r="A21" s="445"/>
      <c r="B21" s="446"/>
      <c r="C21" s="446"/>
      <c r="D21" s="446"/>
      <c r="E21" s="446"/>
      <c r="F21" s="446"/>
      <c r="G21" s="446"/>
      <c r="H21" s="446"/>
      <c r="I21" s="446"/>
      <c r="J21" s="446"/>
      <c r="K21" s="446"/>
      <c r="L21" s="446"/>
      <c r="M21" s="446"/>
      <c r="N21" s="448"/>
      <c r="O21" s="419"/>
    </row>
    <row r="22" spans="1:15" ht="14">
      <c r="A22" s="245" t="s">
        <v>63</v>
      </c>
      <c r="B22" s="350"/>
      <c r="C22" s="350"/>
      <c r="D22" s="350"/>
      <c r="E22" s="350"/>
      <c r="F22" s="351"/>
      <c r="G22" s="350"/>
      <c r="H22" s="351"/>
      <c r="I22" s="350"/>
      <c r="J22" s="350"/>
      <c r="K22" s="350"/>
      <c r="L22" s="350"/>
      <c r="M22" s="350"/>
      <c r="N22" s="348"/>
      <c r="O22" s="350"/>
    </row>
    <row r="23" spans="1:15" ht="30.4" customHeight="1">
      <c r="A23" s="728" t="s">
        <v>290</v>
      </c>
      <c r="B23" s="728"/>
      <c r="C23" s="728"/>
      <c r="D23" s="728"/>
      <c r="E23" s="728"/>
      <c r="F23" s="728"/>
      <c r="G23" s="728"/>
      <c r="H23" s="728"/>
      <c r="I23" s="728"/>
      <c r="J23" s="728"/>
      <c r="K23" s="728"/>
      <c r="L23" s="728"/>
      <c r="M23" s="728"/>
      <c r="N23" s="559"/>
      <c r="O23" s="559"/>
    </row>
    <row r="24" spans="1:15" ht="14">
      <c r="A24" s="724" t="s">
        <v>76</v>
      </c>
      <c r="B24" s="725"/>
      <c r="C24" s="725"/>
      <c r="D24" s="725"/>
      <c r="E24" s="725"/>
      <c r="F24" s="725"/>
      <c r="G24" s="725"/>
      <c r="H24" s="725"/>
      <c r="I24" s="725"/>
      <c r="J24" s="725"/>
      <c r="K24" s="725"/>
      <c r="L24" s="725"/>
      <c r="M24" s="725"/>
      <c r="N24" s="725"/>
      <c r="O24" s="504"/>
    </row>
    <row r="25" spans="1:15" ht="14">
      <c r="A25" s="505" t="s">
        <v>77</v>
      </c>
      <c r="B25" s="504"/>
      <c r="C25" s="504"/>
      <c r="D25" s="504"/>
      <c r="E25" s="504"/>
      <c r="F25" s="504"/>
      <c r="G25" s="41"/>
      <c r="H25" s="41"/>
      <c r="I25" s="41"/>
      <c r="J25" s="41"/>
      <c r="K25" s="41"/>
      <c r="L25" s="41"/>
      <c r="M25" s="41"/>
      <c r="N25" s="41"/>
      <c r="O25" s="41"/>
    </row>
    <row r="26" spans="1:15" s="150" customFormat="1" ht="14">
      <c r="A26" s="726" t="s">
        <v>249</v>
      </c>
      <c r="B26" s="727"/>
      <c r="C26" s="727"/>
      <c r="D26" s="727"/>
      <c r="E26" s="727"/>
      <c r="F26" s="727"/>
      <c r="G26" s="727"/>
      <c r="H26" s="727"/>
      <c r="I26" s="727"/>
      <c r="J26" s="727"/>
      <c r="K26" s="727"/>
      <c r="L26" s="727"/>
      <c r="M26" s="727"/>
      <c r="N26" s="727"/>
      <c r="O26" s="504"/>
    </row>
    <row r="27" spans="1:15" ht="14">
      <c r="A27" s="235" t="s">
        <v>64</v>
      </c>
      <c r="B27" s="509"/>
      <c r="C27" s="509"/>
      <c r="D27" s="509"/>
      <c r="E27" s="509"/>
      <c r="F27" s="509"/>
      <c r="G27" s="509"/>
      <c r="H27" s="509"/>
      <c r="I27" s="509"/>
      <c r="J27" s="509"/>
      <c r="K27" s="509"/>
      <c r="L27" s="509"/>
      <c r="M27" s="509"/>
      <c r="N27" s="509"/>
      <c r="O27" s="497" t="s">
        <v>79</v>
      </c>
    </row>
    <row r="28" spans="1:15" ht="14">
      <c r="A28" s="455"/>
      <c r="B28" s="433"/>
      <c r="C28" s="433"/>
      <c r="D28" s="433"/>
      <c r="E28" s="433"/>
      <c r="F28" s="433"/>
      <c r="G28" s="433"/>
      <c r="H28" s="433"/>
      <c r="I28" s="433"/>
      <c r="J28" s="433"/>
      <c r="K28" s="433"/>
      <c r="L28" s="433"/>
      <c r="M28" s="433"/>
      <c r="N28" s="433"/>
      <c r="O28" s="433"/>
    </row>
    <row r="29" spans="1:15">
      <c r="N29" s="348"/>
    </row>
    <row r="30" spans="1:15">
      <c r="N30" s="348"/>
    </row>
  </sheetData>
  <mergeCells count="4">
    <mergeCell ref="A7:N7"/>
    <mergeCell ref="A24:N24"/>
    <mergeCell ref="A26:N26"/>
    <mergeCell ref="A23:M23"/>
  </mergeCells>
  <phoneticPr fontId="45"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8"/>
  <sheetViews>
    <sheetView showGridLines="0" showRuler="0" topLeftCell="A19" zoomScaleNormal="100" zoomScaleSheetLayoutView="100" workbookViewId="0">
      <selection activeCell="F34" sqref="F34"/>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01" bestFit="1" customWidth="1"/>
    <col min="15" max="15" width="149.54296875" customWidth="1"/>
  </cols>
  <sheetData>
    <row r="1" spans="1:16" ht="12.5">
      <c r="N1" s="352"/>
    </row>
    <row r="2" spans="1:16" ht="13">
      <c r="H2" s="148" t="s">
        <v>39</v>
      </c>
      <c r="N2" s="352"/>
    </row>
    <row r="3" spans="1:16" ht="13">
      <c r="H3" s="198" t="str">
        <f>'Program MW '!H3</f>
        <v>July 2021</v>
      </c>
      <c r="N3" s="352"/>
    </row>
    <row r="4" spans="1:16" ht="12.5">
      <c r="F4" s="150"/>
      <c r="G4" s="150"/>
      <c r="I4" s="150"/>
      <c r="N4" s="352"/>
      <c r="O4" s="41"/>
    </row>
    <row r="5" spans="1:16" ht="13">
      <c r="B5" s="150"/>
      <c r="C5" s="150"/>
      <c r="D5" s="150"/>
      <c r="F5" s="148"/>
      <c r="N5" s="352"/>
    </row>
    <row r="6" spans="1:16" ht="13">
      <c r="F6" s="148"/>
      <c r="N6" s="352"/>
    </row>
    <row r="7" spans="1:16" ht="22.5" customHeight="1">
      <c r="A7" s="729" t="s">
        <v>80</v>
      </c>
      <c r="B7" s="730"/>
      <c r="C7" s="730"/>
      <c r="D7" s="730"/>
      <c r="E7" s="730"/>
      <c r="F7" s="730"/>
      <c r="G7" s="730"/>
      <c r="H7" s="730"/>
      <c r="I7" s="730"/>
      <c r="J7" s="730"/>
      <c r="K7" s="730"/>
      <c r="L7" s="730"/>
      <c r="M7" s="730"/>
      <c r="N7" s="731"/>
      <c r="O7" s="39"/>
    </row>
    <row r="8" spans="1:16" ht="40.5" customHeight="1">
      <c r="A8" s="40" t="s">
        <v>1</v>
      </c>
      <c r="B8" s="422" t="s">
        <v>41</v>
      </c>
      <c r="C8" s="422" t="s">
        <v>42</v>
      </c>
      <c r="D8" s="422" t="s">
        <v>43</v>
      </c>
      <c r="E8" s="422" t="s">
        <v>44</v>
      </c>
      <c r="F8" s="422" t="s">
        <v>31</v>
      </c>
      <c r="G8" s="422" t="s">
        <v>45</v>
      </c>
      <c r="H8" s="422" t="s">
        <v>59</v>
      </c>
      <c r="I8" s="422" t="s">
        <v>66</v>
      </c>
      <c r="J8" s="422" t="s">
        <v>67</v>
      </c>
      <c r="K8" s="422" t="s">
        <v>61</v>
      </c>
      <c r="L8" s="422" t="s">
        <v>68</v>
      </c>
      <c r="M8" s="422" t="s">
        <v>62</v>
      </c>
      <c r="N8" s="421" t="str">
        <f>'Ex ante LI &amp; Eligibility Stats'!N8:N8</f>
        <v>Eligible Accounts as of January</v>
      </c>
      <c r="O8" s="272" t="s">
        <v>70</v>
      </c>
    </row>
    <row r="9" spans="1:16" ht="75.75" customHeight="1">
      <c r="A9" s="423" t="s">
        <v>8</v>
      </c>
      <c r="B9" s="424">
        <v>106.08</v>
      </c>
      <c r="C9" s="424">
        <v>106.08</v>
      </c>
      <c r="D9" s="424">
        <v>106</v>
      </c>
      <c r="E9" s="424">
        <v>106</v>
      </c>
      <c r="F9" s="424">
        <v>106</v>
      </c>
      <c r="G9" s="424">
        <v>106</v>
      </c>
      <c r="H9" s="424">
        <v>106</v>
      </c>
      <c r="I9" s="424">
        <v>106</v>
      </c>
      <c r="J9" s="424">
        <v>106</v>
      </c>
      <c r="K9" s="424">
        <v>106</v>
      </c>
      <c r="L9" s="424">
        <v>106</v>
      </c>
      <c r="M9" s="424">
        <v>106</v>
      </c>
      <c r="N9" s="431">
        <f>'Ex ante LI &amp; Eligibility Stats'!N9</f>
        <v>5326</v>
      </c>
      <c r="O9" s="273"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24"/>
    </row>
    <row r="10" spans="1:16" ht="75.75" customHeight="1">
      <c r="A10" s="510" t="s">
        <v>11</v>
      </c>
      <c r="B10" s="511">
        <v>0.4</v>
      </c>
      <c r="C10" s="511">
        <v>0.4</v>
      </c>
      <c r="D10" s="424">
        <v>0.48120716908709499</v>
      </c>
      <c r="E10" s="424">
        <v>0.48120716908709499</v>
      </c>
      <c r="F10" s="424">
        <v>0.48120716908709499</v>
      </c>
      <c r="G10" s="424">
        <v>0.48120716908709499</v>
      </c>
      <c r="H10" s="424">
        <v>0.48120716908709499</v>
      </c>
      <c r="I10" s="424">
        <v>0.48120716908709499</v>
      </c>
      <c r="J10" s="424">
        <v>0.48120716908709499</v>
      </c>
      <c r="K10" s="424">
        <v>0.48120716908709499</v>
      </c>
      <c r="L10" s="424">
        <v>0.48120716908709499</v>
      </c>
      <c r="M10" s="424">
        <v>0.48120716908709499</v>
      </c>
      <c r="N10" s="429">
        <f>'Ex ante LI &amp; Eligibility Stats'!N10</f>
        <v>24298</v>
      </c>
      <c r="O10" s="273"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26" t="s">
        <v>17</v>
      </c>
      <c r="B11" s="427">
        <v>0.32</v>
      </c>
      <c r="C11" s="427">
        <v>0.32</v>
      </c>
      <c r="D11" s="424">
        <v>0.30028513073921204</v>
      </c>
      <c r="E11" s="424">
        <v>0.30028513073921204</v>
      </c>
      <c r="F11" s="424">
        <v>0.30028513073921204</v>
      </c>
      <c r="G11" s="424">
        <v>0.30028513073921204</v>
      </c>
      <c r="H11" s="424">
        <v>0.30028513073921204</v>
      </c>
      <c r="I11" s="424">
        <v>0.30028513073921204</v>
      </c>
      <c r="J11" s="424">
        <v>0.30028513073921204</v>
      </c>
      <c r="K11" s="424">
        <v>0.30028513073921204</v>
      </c>
      <c r="L11" s="424">
        <v>0.30028513073921204</v>
      </c>
      <c r="M11" s="424">
        <v>0.30028513073921204</v>
      </c>
      <c r="N11" s="429">
        <f>'Ex ante LI &amp; Eligibility Stats'!N11</f>
        <v>590220</v>
      </c>
      <c r="O11" s="273"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26" t="s">
        <v>20</v>
      </c>
      <c r="B12" s="427">
        <v>0.46</v>
      </c>
      <c r="C12" s="427">
        <v>0.46</v>
      </c>
      <c r="D12" s="424">
        <v>0.4638446569442749</v>
      </c>
      <c r="E12" s="424">
        <v>0.4638446569442749</v>
      </c>
      <c r="F12" s="424">
        <v>0.4638446569442749</v>
      </c>
      <c r="G12" s="424">
        <v>0.4638446569442749</v>
      </c>
      <c r="H12" s="424">
        <v>0.4638446569442749</v>
      </c>
      <c r="I12" s="424">
        <v>0.4638446569442749</v>
      </c>
      <c r="J12" s="424">
        <v>0.4638446569442749</v>
      </c>
      <c r="K12" s="424">
        <v>0.4638446569442749</v>
      </c>
      <c r="L12" s="424">
        <v>0.4638446569442749</v>
      </c>
      <c r="M12" s="424">
        <v>0.4638446569442749</v>
      </c>
      <c r="N12" s="429">
        <f>'Ex ante LI &amp; Eligibility Stats'!N12</f>
        <v>133226</v>
      </c>
      <c r="O12" s="273"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26" t="s">
        <v>21</v>
      </c>
      <c r="B13" s="427">
        <v>0.13</v>
      </c>
      <c r="C13" s="427">
        <v>0.13</v>
      </c>
      <c r="D13" s="424">
        <v>0.13413890000000001</v>
      </c>
      <c r="E13" s="424">
        <v>0.13413890000000001</v>
      </c>
      <c r="F13" s="424">
        <v>0.13413890000000001</v>
      </c>
      <c r="G13" s="424">
        <v>0.13413890000000001</v>
      </c>
      <c r="H13" s="424">
        <v>0.13413890000000001</v>
      </c>
      <c r="I13" s="424">
        <v>0.13413890000000001</v>
      </c>
      <c r="J13" s="424">
        <v>0.13413890000000001</v>
      </c>
      <c r="K13" s="424">
        <v>0.13413890000000001</v>
      </c>
      <c r="L13" s="424">
        <v>0.13413890000000001</v>
      </c>
      <c r="M13" s="424">
        <v>0.13413890000000001</v>
      </c>
      <c r="N13" s="429">
        <f>'Ex ante LI &amp; Eligibility Stats'!N13</f>
        <v>590220</v>
      </c>
      <c r="O13" s="273"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26" t="s">
        <v>23</v>
      </c>
      <c r="B14" s="427">
        <v>0.05</v>
      </c>
      <c r="C14" s="427">
        <v>0.05</v>
      </c>
      <c r="D14" s="424">
        <v>4.9344300000000001E-2</v>
      </c>
      <c r="E14" s="424">
        <v>4.9344300000000001E-2</v>
      </c>
      <c r="F14" s="424">
        <v>4.9344300000000001E-2</v>
      </c>
      <c r="G14" s="424">
        <v>4.9344300000000001E-2</v>
      </c>
      <c r="H14" s="424">
        <v>4.9344300000000001E-2</v>
      </c>
      <c r="I14" s="424">
        <v>4.9344300000000001E-2</v>
      </c>
      <c r="J14" s="424">
        <v>4.9344300000000001E-2</v>
      </c>
      <c r="K14" s="424">
        <v>4.9344300000000001E-2</v>
      </c>
      <c r="L14" s="424">
        <v>4.9344300000000001E-2</v>
      </c>
      <c r="M14" s="424">
        <v>4.9344300000000001E-2</v>
      </c>
      <c r="N14" s="429">
        <f>'Ex ante LI &amp; Eligibility Stats'!N14</f>
        <v>133226</v>
      </c>
      <c r="O14" s="273"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10" t="s">
        <v>24</v>
      </c>
      <c r="B15" s="512">
        <v>18</v>
      </c>
      <c r="C15" s="512">
        <v>18</v>
      </c>
      <c r="D15" s="424">
        <v>17.953320000000001</v>
      </c>
      <c r="E15" s="424">
        <v>17.953320000000001</v>
      </c>
      <c r="F15" s="424">
        <v>17.953320000000001</v>
      </c>
      <c r="G15" s="424">
        <v>17.953320000000001</v>
      </c>
      <c r="H15" s="424">
        <v>17.953320000000001</v>
      </c>
      <c r="I15" s="424">
        <v>17.953320000000001</v>
      </c>
      <c r="J15" s="424">
        <v>17.953320000000001</v>
      </c>
      <c r="K15" s="424">
        <v>17.953320000000001</v>
      </c>
      <c r="L15" s="424">
        <v>17.953320000000001</v>
      </c>
      <c r="M15" s="424">
        <v>17.953320000000001</v>
      </c>
      <c r="N15" s="429">
        <f>'Ex ante LI &amp; Eligibility Stats'!N15</f>
        <v>78368</v>
      </c>
      <c r="O15" s="273"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10" t="s">
        <v>25</v>
      </c>
      <c r="B16" s="512">
        <v>13.8</v>
      </c>
      <c r="C16" s="512">
        <v>13.8</v>
      </c>
      <c r="D16" s="424">
        <v>13.800850000000001</v>
      </c>
      <c r="E16" s="424">
        <v>13.800850000000001</v>
      </c>
      <c r="F16" s="424">
        <v>13.800850000000001</v>
      </c>
      <c r="G16" s="424">
        <v>13.800850000000001</v>
      </c>
      <c r="H16" s="424">
        <v>13.800850000000001</v>
      </c>
      <c r="I16" s="424">
        <v>13.800850000000001</v>
      </c>
      <c r="J16" s="424">
        <v>13.800850000000001</v>
      </c>
      <c r="K16" s="424">
        <v>13.800850000000001</v>
      </c>
      <c r="L16" s="424">
        <v>13.800850000000001</v>
      </c>
      <c r="M16" s="424">
        <v>13.800850000000001</v>
      </c>
      <c r="N16" s="429">
        <f>'Ex ante LI &amp; Eligibility Stats'!N16</f>
        <v>78368</v>
      </c>
      <c r="O16" s="273"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26" t="s">
        <v>27</v>
      </c>
      <c r="B17" s="424">
        <v>0.17</v>
      </c>
      <c r="C17" s="424">
        <v>0.17</v>
      </c>
      <c r="D17" s="424">
        <v>0.16711041871077983</v>
      </c>
      <c r="E17" s="424">
        <v>0.16711041871077983</v>
      </c>
      <c r="F17" s="424">
        <v>0.16711041871077983</v>
      </c>
      <c r="G17" s="424">
        <v>0.16711041871077983</v>
      </c>
      <c r="H17" s="424">
        <v>0.16711041871077983</v>
      </c>
      <c r="I17" s="424">
        <v>0.16711041871077983</v>
      </c>
      <c r="J17" s="424">
        <v>0.16711041871077983</v>
      </c>
      <c r="K17" s="424">
        <v>0.16711041871077983</v>
      </c>
      <c r="L17" s="424">
        <v>0.16711041871077983</v>
      </c>
      <c r="M17" s="424">
        <v>0.16711041871077983</v>
      </c>
      <c r="N17" s="429">
        <f>'Ex ante LI &amp; Eligibility Stats'!N17</f>
        <v>1292629</v>
      </c>
      <c r="O17" s="273"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498" t="s">
        <v>26</v>
      </c>
      <c r="B18" s="432">
        <v>0.05</v>
      </c>
      <c r="C18" s="432">
        <v>0.05</v>
      </c>
      <c r="D18" s="499">
        <v>4.9964198690539703E-2</v>
      </c>
      <c r="E18" s="499">
        <v>4.9964198690539703E-2</v>
      </c>
      <c r="F18" s="499">
        <v>4.9964198690539703E-2</v>
      </c>
      <c r="G18" s="499">
        <v>4.9964198690539703E-2</v>
      </c>
      <c r="H18" s="499">
        <v>4.9964198690539703E-2</v>
      </c>
      <c r="I18" s="499">
        <v>4.9964198690539703E-2</v>
      </c>
      <c r="J18" s="499">
        <v>4.9964198690539703E-2</v>
      </c>
      <c r="K18" s="499">
        <v>4.9964198690539703E-2</v>
      </c>
      <c r="L18" s="499">
        <v>4.9964198690539703E-2</v>
      </c>
      <c r="M18" s="499">
        <v>4.9964198690539703E-2</v>
      </c>
      <c r="N18" s="506">
        <f>'Ex ante LI &amp; Eligibility Stats'!N18</f>
        <v>120672</v>
      </c>
      <c r="O18" s="507"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23" t="s">
        <v>55</v>
      </c>
      <c r="B19" s="502">
        <v>0</v>
      </c>
      <c r="C19" s="502">
        <v>0</v>
      </c>
      <c r="D19" s="502">
        <v>0.47450989484786987</v>
      </c>
      <c r="E19" s="502">
        <v>0.47450989484786987</v>
      </c>
      <c r="F19" s="502">
        <v>0.47450989484786987</v>
      </c>
      <c r="G19" s="502">
        <v>0.47450989484786987</v>
      </c>
      <c r="H19" s="502">
        <v>0.47450989484786987</v>
      </c>
      <c r="I19" s="502">
        <v>0.47450989484786987</v>
      </c>
      <c r="J19" s="502">
        <v>0.47450989484786987</v>
      </c>
      <c r="K19" s="502">
        <v>0.47450989484786987</v>
      </c>
      <c r="L19" s="502">
        <v>0.47450989484786987</v>
      </c>
      <c r="M19" s="502">
        <v>0.47450989484786987</v>
      </c>
      <c r="N19" s="508">
        <f>'Ex ante LI &amp; Eligibility Stats'!N19</f>
        <v>2822</v>
      </c>
      <c r="O19" s="273"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45"/>
      <c r="B20" s="446"/>
      <c r="C20" s="446"/>
      <c r="D20" s="446"/>
      <c r="E20" s="446"/>
      <c r="F20" s="446"/>
      <c r="G20" s="446"/>
      <c r="H20" s="446"/>
      <c r="I20" s="446"/>
      <c r="J20" s="446"/>
      <c r="K20" s="446"/>
      <c r="L20" s="446"/>
      <c r="M20" s="446"/>
      <c r="N20" s="447"/>
      <c r="O20" s="419"/>
    </row>
    <row r="21" spans="1:26" ht="14">
      <c r="A21" s="732" t="s">
        <v>81</v>
      </c>
      <c r="B21" s="732"/>
      <c r="C21" s="732"/>
      <c r="D21" s="732"/>
      <c r="E21" s="732"/>
      <c r="F21" s="732"/>
      <c r="G21" s="732"/>
      <c r="H21" s="732"/>
      <c r="I21" s="732"/>
      <c r="J21" s="732"/>
      <c r="K21" s="732"/>
      <c r="L21" s="732"/>
      <c r="M21" s="732"/>
      <c r="N21" s="732"/>
      <c r="O21" s="732"/>
    </row>
    <row r="22" spans="1:26" s="10" customFormat="1" ht="48.75" customHeight="1">
      <c r="A22" s="728" t="s">
        <v>291</v>
      </c>
      <c r="B22" s="739"/>
      <c r="C22" s="739"/>
      <c r="D22" s="739"/>
      <c r="E22" s="739"/>
      <c r="F22" s="739"/>
      <c r="G22" s="739"/>
      <c r="H22" s="739"/>
      <c r="I22" s="739"/>
      <c r="J22" s="739"/>
      <c r="K22" s="739"/>
      <c r="L22" s="739"/>
      <c r="M22" s="560"/>
      <c r="N22" s="560"/>
      <c r="O22" s="560"/>
      <c r="P22" s="13"/>
      <c r="Q22" s="13"/>
      <c r="R22" s="13"/>
      <c r="S22" s="13"/>
      <c r="T22" s="146"/>
      <c r="U22" s="146"/>
      <c r="V22" s="146"/>
      <c r="W22" s="146"/>
      <c r="X22" s="146"/>
      <c r="Y22" s="146"/>
      <c r="Z22" s="146"/>
    </row>
    <row r="23" spans="1:26" s="10" customFormat="1" ht="13.5" customHeight="1">
      <c r="A23" s="634"/>
      <c r="B23" s="641"/>
      <c r="C23" s="641"/>
      <c r="D23" s="641"/>
      <c r="E23" s="641"/>
      <c r="F23" s="641"/>
      <c r="G23" s="641"/>
      <c r="H23" s="641"/>
      <c r="I23" s="641"/>
      <c r="J23" s="641"/>
      <c r="K23" s="641"/>
      <c r="L23" s="641"/>
      <c r="M23" s="636"/>
      <c r="N23" s="636"/>
      <c r="O23" s="636"/>
      <c r="P23" s="13"/>
      <c r="Q23" s="13"/>
      <c r="R23" s="13"/>
      <c r="S23" s="13"/>
      <c r="T23" s="146"/>
      <c r="U23" s="146"/>
      <c r="V23" s="146"/>
      <c r="W23" s="146"/>
      <c r="X23" s="146"/>
      <c r="Y23" s="146"/>
      <c r="Z23" s="146"/>
    </row>
    <row r="24" spans="1:26" ht="12.75" customHeight="1">
      <c r="A24" s="733" t="s">
        <v>82</v>
      </c>
      <c r="B24" s="734"/>
      <c r="C24" s="734"/>
      <c r="D24" s="734"/>
      <c r="E24" s="734"/>
      <c r="F24" s="734"/>
      <c r="G24" s="734"/>
      <c r="H24" s="734"/>
      <c r="I24" s="734"/>
      <c r="J24" s="734"/>
      <c r="K24" s="734"/>
      <c r="L24" s="734"/>
      <c r="M24" s="734"/>
      <c r="N24" s="734"/>
      <c r="O24" s="734"/>
    </row>
    <row r="25" spans="1:26" ht="12.75" customHeight="1">
      <c r="A25" s="635"/>
      <c r="B25" s="636"/>
      <c r="C25" s="636"/>
      <c r="D25" s="636"/>
      <c r="E25" s="636"/>
      <c r="F25" s="636"/>
      <c r="G25" s="636"/>
      <c r="H25" s="636"/>
      <c r="I25" s="636"/>
      <c r="J25" s="636"/>
      <c r="K25" s="636"/>
      <c r="L25" s="636"/>
      <c r="M25" s="636"/>
      <c r="N25" s="636"/>
      <c r="O25" s="636"/>
    </row>
    <row r="26" spans="1:26" ht="12.75" customHeight="1">
      <c r="A26" s="737" t="s">
        <v>78</v>
      </c>
      <c r="B26" s="738"/>
      <c r="C26" s="738"/>
      <c r="D26" s="738"/>
      <c r="E26" s="738"/>
      <c r="F26" s="738"/>
      <c r="G26" s="738"/>
      <c r="H26" s="738"/>
      <c r="I26" s="738"/>
      <c r="J26" s="738"/>
      <c r="K26" s="738"/>
      <c r="L26" s="738"/>
      <c r="M26" s="738"/>
      <c r="N26" s="738"/>
    </row>
    <row r="27" spans="1:26" ht="12.75" customHeight="1">
      <c r="A27" s="639"/>
      <c r="B27" s="640"/>
      <c r="C27" s="640"/>
      <c r="D27" s="640"/>
      <c r="E27" s="640"/>
      <c r="F27" s="640"/>
      <c r="G27" s="640"/>
      <c r="H27" s="640"/>
      <c r="I27" s="640"/>
      <c r="J27" s="640"/>
      <c r="K27" s="640"/>
      <c r="L27" s="640"/>
      <c r="M27" s="640"/>
      <c r="N27" s="640"/>
    </row>
    <row r="28" spans="1:26" s="10" customFormat="1" ht="27.65" customHeight="1">
      <c r="A28" s="735" t="s">
        <v>332</v>
      </c>
      <c r="B28" s="736"/>
      <c r="C28" s="736"/>
      <c r="D28" s="736"/>
      <c r="E28" s="736"/>
      <c r="F28" s="736"/>
      <c r="G28" s="736"/>
      <c r="H28" s="736"/>
      <c r="I28" s="736"/>
      <c r="J28" s="736"/>
      <c r="K28" s="736"/>
      <c r="L28" s="736"/>
      <c r="M28" s="736"/>
      <c r="N28" s="736"/>
      <c r="O28"/>
      <c r="P28" s="13"/>
      <c r="Q28" s="13"/>
      <c r="R28" s="13"/>
      <c r="S28" s="13"/>
      <c r="T28" s="146"/>
      <c r="U28" s="146"/>
      <c r="V28" s="146"/>
      <c r="W28" s="146"/>
      <c r="X28" s="146"/>
      <c r="Y28" s="146"/>
      <c r="Z28" s="146"/>
    </row>
    <row r="29" spans="1:26" s="10" customFormat="1" ht="15.75" customHeight="1">
      <c r="A29" s="637"/>
      <c r="B29" s="638"/>
      <c r="C29" s="638"/>
      <c r="D29" s="638"/>
      <c r="E29" s="638"/>
      <c r="F29" s="638"/>
      <c r="G29" s="638"/>
      <c r="H29" s="638"/>
      <c r="I29" s="638"/>
      <c r="J29" s="638"/>
      <c r="K29" s="638"/>
      <c r="L29" s="638"/>
      <c r="M29" s="638"/>
      <c r="N29" s="638"/>
      <c r="O29"/>
      <c r="P29" s="13"/>
      <c r="Q29" s="13"/>
      <c r="R29" s="13"/>
      <c r="S29" s="13"/>
      <c r="T29" s="146"/>
      <c r="U29" s="146"/>
      <c r="V29" s="146"/>
      <c r="W29" s="146"/>
      <c r="X29" s="146"/>
      <c r="Y29" s="146"/>
      <c r="Z29" s="146"/>
    </row>
    <row r="30" spans="1:26" s="10" customFormat="1" ht="14">
      <c r="A30" s="246" t="s">
        <v>64</v>
      </c>
      <c r="B30"/>
      <c r="C30"/>
      <c r="D30"/>
      <c r="E30"/>
      <c r="F30"/>
      <c r="G30"/>
      <c r="H30"/>
      <c r="I30"/>
      <c r="J30"/>
      <c r="K30"/>
      <c r="L30"/>
      <c r="M30"/>
      <c r="N30" s="352"/>
      <c r="O30"/>
      <c r="P30" s="13"/>
      <c r="Q30" s="13"/>
      <c r="R30" s="13"/>
      <c r="S30" s="13"/>
      <c r="T30" s="146"/>
      <c r="U30" s="146"/>
      <c r="V30" s="146"/>
      <c r="W30" s="146"/>
      <c r="X30" s="146"/>
      <c r="Y30" s="146"/>
      <c r="Z30" s="146"/>
    </row>
    <row r="31" spans="1:26" ht="40.5" customHeight="1">
      <c r="N31" s="352"/>
    </row>
    <row r="58" spans="1:1" ht="40.5" customHeight="1">
      <c r="A58" s="204"/>
    </row>
  </sheetData>
  <mergeCells count="6">
    <mergeCell ref="A7:N7"/>
    <mergeCell ref="A21:O21"/>
    <mergeCell ref="A24:O24"/>
    <mergeCell ref="A28:N28"/>
    <mergeCell ref="A26:N26"/>
    <mergeCell ref="A22:L22"/>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44" customWidth="1"/>
    <col min="2" max="4" width="10.7265625" style="44" customWidth="1"/>
    <col min="5" max="5" width="12.7265625" style="44" customWidth="1"/>
    <col min="6" max="8" width="10.54296875" style="44" customWidth="1"/>
    <col min="9" max="9" width="12.7265625" style="44" customWidth="1"/>
    <col min="10" max="12" width="10.7265625" style="44" customWidth="1"/>
    <col min="13" max="13" width="12.7265625" style="44" customWidth="1"/>
    <col min="14" max="16" width="10.7265625" style="44" customWidth="1"/>
    <col min="17" max="17" width="12.7265625" style="44" customWidth="1"/>
    <col min="18" max="20" width="10.7265625" style="44" customWidth="1"/>
    <col min="21" max="21" width="12.7265625" style="44" customWidth="1"/>
    <col min="22" max="24" width="10.7265625" style="44" customWidth="1"/>
    <col min="25" max="25" width="12.7265625" style="44" customWidth="1"/>
    <col min="26" max="16384" width="9.26953125" style="44"/>
  </cols>
  <sheetData>
    <row r="1" spans="1:25" ht="13">
      <c r="A1" s="43" t="s">
        <v>83</v>
      </c>
    </row>
    <row r="3" spans="1:25" ht="21.75" customHeight="1">
      <c r="A3" s="94">
        <v>2016</v>
      </c>
      <c r="B3" s="740" t="s">
        <v>41</v>
      </c>
      <c r="C3" s="740"/>
      <c r="D3" s="740"/>
      <c r="E3" s="740"/>
      <c r="F3" s="741" t="s">
        <v>42</v>
      </c>
      <c r="G3" s="741"/>
      <c r="H3" s="741"/>
      <c r="I3" s="741"/>
      <c r="J3" s="741" t="s">
        <v>43</v>
      </c>
      <c r="K3" s="741"/>
      <c r="L3" s="741"/>
      <c r="M3" s="741"/>
      <c r="N3" s="741" t="s">
        <v>44</v>
      </c>
      <c r="O3" s="741"/>
      <c r="P3" s="741"/>
      <c r="Q3" s="741"/>
      <c r="R3" s="741" t="s">
        <v>31</v>
      </c>
      <c r="S3" s="741"/>
      <c r="T3" s="741"/>
      <c r="U3" s="741"/>
      <c r="V3" s="741" t="s">
        <v>45</v>
      </c>
      <c r="W3" s="741"/>
      <c r="X3" s="741"/>
      <c r="Y3" s="741"/>
    </row>
    <row r="4" spans="1:25" ht="79.5" customHeight="1">
      <c r="A4" s="456" t="s">
        <v>84</v>
      </c>
      <c r="B4" s="54" t="s">
        <v>85</v>
      </c>
      <c r="C4" s="54" t="s">
        <v>86</v>
      </c>
      <c r="D4" s="54" t="s">
        <v>87</v>
      </c>
      <c r="E4" s="54" t="s">
        <v>88</v>
      </c>
      <c r="F4" s="54" t="s">
        <v>85</v>
      </c>
      <c r="G4" s="54" t="s">
        <v>86</v>
      </c>
      <c r="H4" s="54" t="s">
        <v>87</v>
      </c>
      <c r="I4" s="54" t="s">
        <v>88</v>
      </c>
      <c r="J4" s="54" t="s">
        <v>85</v>
      </c>
      <c r="K4" s="54" t="s">
        <v>86</v>
      </c>
      <c r="L4" s="54" t="s">
        <v>87</v>
      </c>
      <c r="M4" s="54" t="s">
        <v>88</v>
      </c>
      <c r="N4" s="54" t="s">
        <v>85</v>
      </c>
      <c r="O4" s="54" t="s">
        <v>86</v>
      </c>
      <c r="P4" s="54" t="s">
        <v>87</v>
      </c>
      <c r="Q4" s="54" t="s">
        <v>88</v>
      </c>
      <c r="R4" s="54" t="s">
        <v>85</v>
      </c>
      <c r="S4" s="54" t="s">
        <v>86</v>
      </c>
      <c r="T4" s="54" t="s">
        <v>87</v>
      </c>
      <c r="U4" s="54" t="s">
        <v>88</v>
      </c>
      <c r="V4" s="54" t="s">
        <v>85</v>
      </c>
      <c r="W4" s="54" t="s">
        <v>86</v>
      </c>
      <c r="X4" s="54" t="s">
        <v>87</v>
      </c>
      <c r="Y4" s="54" t="s">
        <v>88</v>
      </c>
    </row>
    <row r="5" spans="1:25" ht="13">
      <c r="A5" s="95" t="s">
        <v>89</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ht="13">
      <c r="A6" s="95" t="s">
        <v>90</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ht="13">
      <c r="A7" s="96" t="s">
        <v>91</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ht="13">
      <c r="A9" s="97" t="s">
        <v>51</v>
      </c>
      <c r="B9" s="65"/>
      <c r="C9" s="54"/>
      <c r="D9" s="54"/>
      <c r="E9" s="457"/>
      <c r="F9" s="65"/>
      <c r="G9" s="66"/>
      <c r="H9" s="67"/>
      <c r="I9" s="67"/>
      <c r="J9" s="68"/>
      <c r="K9" s="66"/>
      <c r="L9" s="67"/>
      <c r="M9" s="60"/>
      <c r="N9" s="68"/>
      <c r="O9" s="66"/>
      <c r="P9" s="67"/>
      <c r="Q9" s="60"/>
      <c r="R9" s="68"/>
      <c r="S9" s="66"/>
      <c r="T9" s="67"/>
      <c r="U9" s="60"/>
      <c r="V9" s="68"/>
      <c r="W9" s="66"/>
      <c r="X9" s="67"/>
      <c r="Y9" s="60">
        <f>SUM(W9:X9)</f>
        <v>0</v>
      </c>
    </row>
    <row r="10" spans="1:25" ht="13">
      <c r="A10" s="95" t="s">
        <v>92</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ht="13">
      <c r="A11" s="95" t="s">
        <v>93</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ht="13">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ht="13">
      <c r="A13" s="96" t="s">
        <v>91</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88</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ht="13">
      <c r="A17" s="456" t="s">
        <v>94</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ht="13">
      <c r="A18" s="99" t="s">
        <v>95</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ht="13">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ht="13">
      <c r="A20" s="100" t="s">
        <v>91</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ht="13">
      <c r="A22" s="96" t="s">
        <v>96</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ht="13">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ht="13">
      <c r="A25" s="101"/>
      <c r="B25" s="741" t="s">
        <v>59</v>
      </c>
      <c r="C25" s="741"/>
      <c r="D25" s="741"/>
      <c r="E25" s="741"/>
      <c r="F25" s="741" t="s">
        <v>66</v>
      </c>
      <c r="G25" s="741"/>
      <c r="H25" s="741"/>
      <c r="I25" s="741" t="s">
        <v>59</v>
      </c>
      <c r="J25" s="741" t="s">
        <v>67</v>
      </c>
      <c r="K25" s="741"/>
      <c r="L25" s="741"/>
      <c r="M25" s="741" t="s">
        <v>59</v>
      </c>
      <c r="N25" s="741" t="s">
        <v>61</v>
      </c>
      <c r="O25" s="741"/>
      <c r="P25" s="741"/>
      <c r="Q25" s="741" t="s">
        <v>59</v>
      </c>
      <c r="R25" s="741" t="s">
        <v>68</v>
      </c>
      <c r="S25" s="741"/>
      <c r="T25" s="741"/>
      <c r="U25" s="741" t="s">
        <v>59</v>
      </c>
      <c r="V25" s="741" t="s">
        <v>62</v>
      </c>
      <c r="W25" s="741"/>
      <c r="X25" s="741"/>
      <c r="Y25" s="741" t="s">
        <v>59</v>
      </c>
    </row>
    <row r="26" spans="1:25" ht="39">
      <c r="A26" s="456" t="s">
        <v>84</v>
      </c>
      <c r="B26" s="54" t="s">
        <v>85</v>
      </c>
      <c r="C26" s="54" t="s">
        <v>86</v>
      </c>
      <c r="D26" s="54" t="s">
        <v>87</v>
      </c>
      <c r="E26" s="54" t="s">
        <v>88</v>
      </c>
      <c r="F26" s="54" t="s">
        <v>85</v>
      </c>
      <c r="G26" s="54" t="s">
        <v>86</v>
      </c>
      <c r="H26" s="54" t="s">
        <v>87</v>
      </c>
      <c r="I26" s="54" t="s">
        <v>88</v>
      </c>
      <c r="J26" s="54" t="s">
        <v>85</v>
      </c>
      <c r="K26" s="54" t="s">
        <v>86</v>
      </c>
      <c r="L26" s="54" t="s">
        <v>87</v>
      </c>
      <c r="M26" s="54" t="s">
        <v>88</v>
      </c>
      <c r="N26" s="54" t="s">
        <v>85</v>
      </c>
      <c r="O26" s="54" t="s">
        <v>86</v>
      </c>
      <c r="P26" s="54" t="s">
        <v>87</v>
      </c>
      <c r="Q26" s="54" t="s">
        <v>88</v>
      </c>
      <c r="R26" s="54" t="s">
        <v>85</v>
      </c>
      <c r="S26" s="54" t="s">
        <v>86</v>
      </c>
      <c r="T26" s="54" t="s">
        <v>87</v>
      </c>
      <c r="U26" s="54" t="s">
        <v>88</v>
      </c>
      <c r="V26" s="54" t="s">
        <v>85</v>
      </c>
      <c r="W26" s="54" t="s">
        <v>86</v>
      </c>
      <c r="X26" s="54" t="s">
        <v>87</v>
      </c>
      <c r="Y26" s="54" t="s">
        <v>88</v>
      </c>
    </row>
    <row r="27" spans="1:25" ht="13">
      <c r="A27" s="95" t="s">
        <v>97</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ht="13">
      <c r="A28" s="95" t="s">
        <v>90</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ht="13">
      <c r="A29" s="95" t="s">
        <v>98</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ht="13">
      <c r="A30" s="95" t="s">
        <v>99</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ht="13">
      <c r="A31" s="95" t="s">
        <v>100</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ht="13">
      <c r="A32" s="95" t="s">
        <v>101</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ht="13">
      <c r="A33" s="96" t="s">
        <v>91</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ht="13">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ht="13">
      <c r="A36" s="95" t="s">
        <v>92</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ht="13">
      <c r="A37" s="95" t="s">
        <v>102</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ht="13">
      <c r="A38" s="95" t="s">
        <v>93</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ht="13">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ht="13">
      <c r="A40" s="96" t="s">
        <v>91</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88</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ht="13">
      <c r="A44" s="456" t="s">
        <v>94</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ht="13">
      <c r="A45" s="99" t="s">
        <v>95</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ht="13">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ht="13">
      <c r="A47" s="100" t="s">
        <v>91</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ht="13">
      <c r="A49" s="96" t="s">
        <v>96</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ht="13">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ht="13">
      <c r="A51" s="43" t="s">
        <v>63</v>
      </c>
      <c r="B51" s="43"/>
      <c r="C51" s="45" t="s">
        <v>103</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ht="13">
      <c r="A53" s="43" t="s">
        <v>104</v>
      </c>
      <c r="B53" s="43" t="s">
        <v>105</v>
      </c>
      <c r="D53" s="45"/>
      <c r="G53" s="45"/>
      <c r="I53" s="43"/>
      <c r="K53" s="45"/>
      <c r="M53" s="43"/>
      <c r="O53" s="45"/>
      <c r="P53" s="45"/>
      <c r="S53" s="45"/>
      <c r="T53" s="45"/>
      <c r="W53" s="45"/>
      <c r="X53" s="45"/>
    </row>
    <row r="54" spans="1:25" ht="13">
      <c r="A54" s="43" t="s">
        <v>106</v>
      </c>
      <c r="B54" s="43" t="s">
        <v>107</v>
      </c>
      <c r="D54" s="45"/>
      <c r="G54" s="45"/>
      <c r="I54" s="43"/>
      <c r="K54" s="45"/>
      <c r="M54" s="43"/>
      <c r="O54" s="45"/>
      <c r="P54" s="45"/>
      <c r="S54" s="45"/>
      <c r="T54" s="45"/>
    </row>
    <row r="55" spans="1:25" ht="13">
      <c r="A55" s="43" t="s">
        <v>108</v>
      </c>
      <c r="B55" s="43" t="s">
        <v>109</v>
      </c>
      <c r="D55" s="45"/>
      <c r="G55" s="45"/>
      <c r="I55" s="43"/>
      <c r="K55" s="45"/>
      <c r="M55" s="43"/>
      <c r="U55" s="52"/>
      <c r="V55" s="52"/>
      <c r="Y55" s="52"/>
    </row>
    <row r="56" spans="1:25" ht="13">
      <c r="A56" s="43" t="s">
        <v>110</v>
      </c>
      <c r="B56" s="43" t="s">
        <v>111</v>
      </c>
      <c r="D56" s="45"/>
      <c r="F56" s="52"/>
      <c r="I56" s="52"/>
      <c r="J56" s="52"/>
      <c r="M56" s="52"/>
      <c r="N56" s="52"/>
      <c r="Q56" s="52"/>
      <c r="R56" s="52"/>
      <c r="W56" s="45"/>
      <c r="X56" s="45"/>
    </row>
    <row r="57" spans="1:25" ht="13">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56"/>
  <sheetViews>
    <sheetView topLeftCell="A7" zoomScaleNormal="100" zoomScaleSheetLayoutView="90" workbookViewId="0">
      <selection sqref="A1:XFD1048576"/>
    </sheetView>
  </sheetViews>
  <sheetFormatPr defaultColWidth="9.26953125" defaultRowHeight="14.25" customHeight="1"/>
  <cols>
    <col min="1" max="1" width="56.7265625" style="354" customWidth="1"/>
    <col min="2" max="2" width="30" style="242" customWidth="1"/>
    <col min="3" max="3" width="15.7265625" style="356" customWidth="1"/>
    <col min="4" max="4" width="27" style="354" bestFit="1" customWidth="1"/>
    <col min="5" max="5" width="15.7265625" style="354" customWidth="1"/>
    <col min="6" max="6" width="22" style="354" customWidth="1"/>
    <col min="7" max="7" width="37" style="354" customWidth="1"/>
    <col min="8" max="16384" width="9.26953125" style="355"/>
  </cols>
  <sheetData>
    <row r="2" spans="1:14" ht="13">
      <c r="A2" s="487"/>
      <c r="C2" s="243" t="s">
        <v>39</v>
      </c>
      <c r="D2" s="487"/>
      <c r="E2" s="487"/>
      <c r="F2" s="487"/>
      <c r="G2" s="487"/>
      <c r="H2" s="488"/>
      <c r="I2" s="488"/>
      <c r="J2" s="488"/>
      <c r="K2" s="488"/>
      <c r="L2" s="488"/>
      <c r="M2" s="488"/>
      <c r="N2" s="488"/>
    </row>
    <row r="3" spans="1:14" ht="13">
      <c r="A3" s="487"/>
      <c r="C3" s="243" t="s">
        <v>181</v>
      </c>
      <c r="D3" s="487"/>
      <c r="E3" s="487"/>
      <c r="F3" s="487"/>
      <c r="G3" s="487"/>
      <c r="H3" s="488"/>
      <c r="I3" s="488"/>
      <c r="J3" s="488"/>
      <c r="K3" s="488"/>
      <c r="L3" s="488"/>
      <c r="M3" s="488"/>
      <c r="N3" s="488"/>
    </row>
    <row r="4" spans="1:14" ht="13">
      <c r="A4" s="487"/>
      <c r="C4" s="243" t="str">
        <f>'Program MW '!H3</f>
        <v>July 2021</v>
      </c>
      <c r="D4" s="487"/>
      <c r="E4" s="487"/>
      <c r="F4" s="487"/>
      <c r="G4" s="487"/>
      <c r="H4" s="488"/>
      <c r="I4" s="488"/>
      <c r="J4" s="488"/>
      <c r="K4" s="488"/>
      <c r="L4" s="488"/>
      <c r="M4" s="488"/>
      <c r="N4" s="488"/>
    </row>
    <row r="5" spans="1:14" ht="13">
      <c r="A5" s="487"/>
      <c r="C5" s="243"/>
      <c r="D5" s="487"/>
      <c r="E5" s="487"/>
      <c r="F5" s="487"/>
      <c r="G5" s="487"/>
      <c r="H5" s="488"/>
      <c r="I5" s="488"/>
      <c r="J5" s="488"/>
      <c r="K5" s="488"/>
      <c r="L5" s="488"/>
      <c r="M5" s="488"/>
      <c r="N5" s="488"/>
    </row>
    <row r="7" spans="1:14" ht="15.5">
      <c r="A7" s="742" t="s">
        <v>182</v>
      </c>
      <c r="B7" s="743"/>
      <c r="C7" s="743"/>
      <c r="D7" s="743"/>
      <c r="E7" s="743"/>
      <c r="F7" s="743"/>
      <c r="G7" s="744"/>
      <c r="H7" s="488"/>
      <c r="I7" s="488"/>
      <c r="J7" s="488"/>
      <c r="K7" s="488"/>
      <c r="L7" s="488"/>
      <c r="M7" s="488"/>
      <c r="N7" s="488"/>
    </row>
    <row r="8" spans="1:14" ht="28">
      <c r="A8" s="489" t="s">
        <v>175</v>
      </c>
      <c r="B8" s="489" t="s">
        <v>183</v>
      </c>
      <c r="C8" s="490" t="s">
        <v>178</v>
      </c>
      <c r="D8" s="489" t="s">
        <v>184</v>
      </c>
      <c r="E8" s="491" t="s">
        <v>185</v>
      </c>
      <c r="F8" s="491" t="s">
        <v>186</v>
      </c>
      <c r="G8" s="491" t="s">
        <v>187</v>
      </c>
      <c r="H8" s="488"/>
      <c r="I8" s="488"/>
      <c r="J8" s="488"/>
      <c r="K8" s="488"/>
      <c r="L8" s="488"/>
      <c r="M8" s="488"/>
      <c r="N8" s="488"/>
    </row>
    <row r="9" spans="1:14" s="488" customFormat="1" ht="14.25" customHeight="1">
      <c r="A9" s="710" t="s">
        <v>324</v>
      </c>
      <c r="B9" s="711">
        <v>1</v>
      </c>
      <c r="C9" s="712">
        <v>44364</v>
      </c>
      <c r="D9" s="713" t="s">
        <v>314</v>
      </c>
      <c r="E9" s="714">
        <v>2.0273845333333331</v>
      </c>
      <c r="F9" s="715" t="s">
        <v>325</v>
      </c>
      <c r="G9" s="711">
        <v>3</v>
      </c>
    </row>
    <row r="10" spans="1:14" s="488" customFormat="1" ht="14.25" customHeight="1">
      <c r="A10" s="710" t="s">
        <v>92</v>
      </c>
      <c r="B10" s="711">
        <v>2</v>
      </c>
      <c r="C10" s="712">
        <v>44364</v>
      </c>
      <c r="D10" s="713" t="s">
        <v>326</v>
      </c>
      <c r="E10" s="714">
        <v>0.26278600531131435</v>
      </c>
      <c r="F10" s="715" t="s">
        <v>315</v>
      </c>
      <c r="G10" s="711">
        <v>2</v>
      </c>
    </row>
    <row r="11" spans="1:14" s="488" customFormat="1" ht="14.25" customHeight="1">
      <c r="A11" s="710" t="s">
        <v>317</v>
      </c>
      <c r="B11" s="711">
        <v>3</v>
      </c>
      <c r="C11" s="712">
        <v>44362</v>
      </c>
      <c r="D11" s="713" t="s">
        <v>318</v>
      </c>
      <c r="E11" s="714">
        <v>0.69502343333333327</v>
      </c>
      <c r="F11" s="715" t="s">
        <v>319</v>
      </c>
      <c r="G11" s="711">
        <v>3</v>
      </c>
    </row>
    <row r="12" spans="1:14" s="488" customFormat="1" ht="14.25" customHeight="1">
      <c r="A12" s="710" t="s">
        <v>320</v>
      </c>
      <c r="B12" s="711">
        <v>4</v>
      </c>
      <c r="C12" s="712">
        <v>44362</v>
      </c>
      <c r="D12" s="713" t="s">
        <v>318</v>
      </c>
      <c r="E12" s="714">
        <v>0.62630815000000006</v>
      </c>
      <c r="F12" s="715" t="s">
        <v>315</v>
      </c>
      <c r="G12" s="711">
        <v>2</v>
      </c>
    </row>
    <row r="13" spans="1:14" s="488" customFormat="1" ht="14.25" customHeight="1">
      <c r="A13" s="710" t="s">
        <v>321</v>
      </c>
      <c r="B13" s="711">
        <v>5</v>
      </c>
      <c r="C13" s="712">
        <v>44362</v>
      </c>
      <c r="D13" s="713" t="s">
        <v>322</v>
      </c>
      <c r="E13" s="714">
        <v>3.0679685000000001</v>
      </c>
      <c r="F13" s="715" t="s">
        <v>315</v>
      </c>
      <c r="G13" s="711">
        <v>2</v>
      </c>
    </row>
    <row r="14" spans="1:14" s="488" customFormat="1" ht="14.25" customHeight="1">
      <c r="A14" s="710" t="s">
        <v>317</v>
      </c>
      <c r="B14" s="711">
        <v>6</v>
      </c>
      <c r="C14" s="712">
        <v>44363</v>
      </c>
      <c r="D14" s="713" t="s">
        <v>318</v>
      </c>
      <c r="E14" s="714">
        <v>0.78972344999999999</v>
      </c>
      <c r="F14" s="715" t="s">
        <v>323</v>
      </c>
      <c r="G14" s="711">
        <v>5</v>
      </c>
    </row>
    <row r="15" spans="1:14" s="488" customFormat="1" ht="14.25" customHeight="1">
      <c r="A15" s="710" t="s">
        <v>320</v>
      </c>
      <c r="B15" s="711">
        <v>7</v>
      </c>
      <c r="C15" s="712">
        <v>44363</v>
      </c>
      <c r="D15" s="713" t="s">
        <v>318</v>
      </c>
      <c r="E15" s="714">
        <v>0.51411545000000003</v>
      </c>
      <c r="F15" s="715" t="s">
        <v>315</v>
      </c>
      <c r="G15" s="711">
        <v>4</v>
      </c>
    </row>
    <row r="16" spans="1:14" s="488" customFormat="1" ht="14.25" customHeight="1">
      <c r="A16" s="710" t="s">
        <v>321</v>
      </c>
      <c r="B16" s="711">
        <v>8</v>
      </c>
      <c r="C16" s="712">
        <v>44363</v>
      </c>
      <c r="D16" s="713" t="s">
        <v>322</v>
      </c>
      <c r="E16" s="714">
        <v>2.6918065000000002</v>
      </c>
      <c r="F16" s="715" t="s">
        <v>315</v>
      </c>
      <c r="G16" s="711">
        <v>4</v>
      </c>
    </row>
    <row r="17" spans="1:7" s="488" customFormat="1" ht="14.25" customHeight="1">
      <c r="A17" s="710" t="s">
        <v>317</v>
      </c>
      <c r="B17" s="711">
        <v>9</v>
      </c>
      <c r="C17" s="712">
        <v>44364</v>
      </c>
      <c r="D17" s="713" t="s">
        <v>318</v>
      </c>
      <c r="E17" s="714">
        <v>0.85352819999999996</v>
      </c>
      <c r="F17" s="715" t="s">
        <v>323</v>
      </c>
      <c r="G17" s="711">
        <v>7</v>
      </c>
    </row>
    <row r="18" spans="1:7" s="488" customFormat="1" ht="14.25" customHeight="1">
      <c r="A18" s="710" t="s">
        <v>320</v>
      </c>
      <c r="B18" s="711">
        <v>10</v>
      </c>
      <c r="C18" s="712">
        <v>44364</v>
      </c>
      <c r="D18" s="713" t="s">
        <v>318</v>
      </c>
      <c r="E18" s="714">
        <v>0.49246373333333332</v>
      </c>
      <c r="F18" s="715" t="s">
        <v>325</v>
      </c>
      <c r="G18" s="711">
        <v>7</v>
      </c>
    </row>
    <row r="19" spans="1:7" s="488" customFormat="1" ht="14.25" customHeight="1">
      <c r="A19" s="710" t="s">
        <v>321</v>
      </c>
      <c r="B19" s="711">
        <v>11</v>
      </c>
      <c r="C19" s="712">
        <v>44364</v>
      </c>
      <c r="D19" s="713" t="s">
        <v>322</v>
      </c>
      <c r="E19" s="714">
        <v>2.6815739999999999</v>
      </c>
      <c r="F19" s="715" t="s">
        <v>325</v>
      </c>
      <c r="G19" s="711">
        <v>7</v>
      </c>
    </row>
    <row r="20" spans="1:7" s="488" customFormat="1" ht="14.25" customHeight="1">
      <c r="A20" s="710" t="s">
        <v>313</v>
      </c>
      <c r="B20" s="711">
        <v>12</v>
      </c>
      <c r="C20" s="712">
        <v>44362</v>
      </c>
      <c r="D20" s="713" t="s">
        <v>314</v>
      </c>
      <c r="E20" s="714">
        <v>0.73429339999999999</v>
      </c>
      <c r="F20" s="715" t="s">
        <v>315</v>
      </c>
      <c r="G20" s="711">
        <v>2</v>
      </c>
    </row>
    <row r="21" spans="1:7" s="488" customFormat="1" ht="14.25" customHeight="1">
      <c r="A21" s="710" t="s">
        <v>316</v>
      </c>
      <c r="B21" s="711">
        <v>13</v>
      </c>
      <c r="C21" s="712">
        <v>44362</v>
      </c>
      <c r="D21" s="713" t="s">
        <v>314</v>
      </c>
      <c r="E21" s="714">
        <v>-0.32388844999999999</v>
      </c>
      <c r="F21" s="715" t="s">
        <v>315</v>
      </c>
      <c r="G21" s="711">
        <v>2</v>
      </c>
    </row>
    <row r="22" spans="1:7" s="488" customFormat="1" ht="14.25" customHeight="1">
      <c r="A22" s="710" t="s">
        <v>313</v>
      </c>
      <c r="B22" s="711">
        <v>14</v>
      </c>
      <c r="C22" s="712">
        <v>44363</v>
      </c>
      <c r="D22" s="713" t="s">
        <v>314</v>
      </c>
      <c r="E22" s="714">
        <v>0.34984634999999997</v>
      </c>
      <c r="F22" s="715" t="s">
        <v>315</v>
      </c>
      <c r="G22" s="711">
        <v>4</v>
      </c>
    </row>
    <row r="23" spans="1:7" s="488" customFormat="1" ht="14.25" customHeight="1">
      <c r="A23" s="710" t="s">
        <v>316</v>
      </c>
      <c r="B23" s="711">
        <v>15</v>
      </c>
      <c r="C23" s="712">
        <v>44363</v>
      </c>
      <c r="D23" s="713" t="s">
        <v>314</v>
      </c>
      <c r="E23" s="714">
        <v>0.85613500000000009</v>
      </c>
      <c r="F23" s="715" t="s">
        <v>315</v>
      </c>
      <c r="G23" s="711">
        <v>4</v>
      </c>
    </row>
    <row r="24" spans="1:7" s="488" customFormat="1" ht="14.25" customHeight="1">
      <c r="A24" s="710" t="s">
        <v>313</v>
      </c>
      <c r="B24" s="711">
        <v>16</v>
      </c>
      <c r="C24" s="712">
        <v>44364</v>
      </c>
      <c r="D24" s="713" t="s">
        <v>314</v>
      </c>
      <c r="E24" s="714">
        <v>1.1166212333333334</v>
      </c>
      <c r="F24" s="715" t="s">
        <v>325</v>
      </c>
      <c r="G24" s="711">
        <v>7</v>
      </c>
    </row>
    <row r="25" spans="1:7" s="488" customFormat="1" ht="14.25" customHeight="1">
      <c r="A25" s="710" t="s">
        <v>316</v>
      </c>
      <c r="B25" s="711">
        <v>17</v>
      </c>
      <c r="C25" s="712">
        <v>44364</v>
      </c>
      <c r="D25" s="713" t="s">
        <v>314</v>
      </c>
      <c r="E25" s="714">
        <v>1.0483366333333333</v>
      </c>
      <c r="F25" s="715" t="s">
        <v>325</v>
      </c>
      <c r="G25" s="711">
        <v>7</v>
      </c>
    </row>
    <row r="26" spans="1:7" s="488" customFormat="1" ht="14.25" customHeight="1">
      <c r="A26" s="710" t="s">
        <v>317</v>
      </c>
      <c r="B26" s="711">
        <v>18</v>
      </c>
      <c r="C26" s="712">
        <v>44375</v>
      </c>
      <c r="D26" s="713" t="s">
        <v>318</v>
      </c>
      <c r="E26" s="714">
        <v>0.79716555</v>
      </c>
      <c r="F26" s="715" t="s">
        <v>327</v>
      </c>
      <c r="G26" s="711">
        <v>11</v>
      </c>
    </row>
    <row r="27" spans="1:7" s="488" customFormat="1" ht="14.25" customHeight="1">
      <c r="A27" s="710" t="s">
        <v>320</v>
      </c>
      <c r="B27" s="711">
        <v>19</v>
      </c>
      <c r="C27" s="712">
        <v>44375</v>
      </c>
      <c r="D27" s="713" t="s">
        <v>318</v>
      </c>
      <c r="E27" s="714">
        <v>0.27668389999999998</v>
      </c>
      <c r="F27" s="715" t="s">
        <v>328</v>
      </c>
      <c r="G27" s="711">
        <v>11</v>
      </c>
    </row>
    <row r="28" spans="1:7" s="488" customFormat="1" ht="14.25" customHeight="1">
      <c r="A28" s="710" t="s">
        <v>321</v>
      </c>
      <c r="B28" s="711">
        <v>20</v>
      </c>
      <c r="C28" s="712">
        <v>44375</v>
      </c>
      <c r="D28" s="713" t="s">
        <v>322</v>
      </c>
      <c r="E28" s="714">
        <v>2.7157193333333329</v>
      </c>
      <c r="F28" s="715" t="s">
        <v>325</v>
      </c>
      <c r="G28" s="711">
        <v>10</v>
      </c>
    </row>
    <row r="29" spans="1:7" s="488" customFormat="1" ht="14.25" customHeight="1">
      <c r="A29" s="710" t="s">
        <v>317</v>
      </c>
      <c r="B29" s="711">
        <v>21</v>
      </c>
      <c r="C29" s="712">
        <v>44376</v>
      </c>
      <c r="D29" s="713" t="s">
        <v>318</v>
      </c>
      <c r="E29" s="714">
        <v>0.2094193</v>
      </c>
      <c r="F29" s="715" t="s">
        <v>327</v>
      </c>
      <c r="G29" s="711">
        <v>15</v>
      </c>
    </row>
    <row r="30" spans="1:7" s="488" customFormat="1" ht="14.25" customHeight="1">
      <c r="A30" s="710" t="s">
        <v>320</v>
      </c>
      <c r="B30" s="711">
        <v>22</v>
      </c>
      <c r="C30" s="712">
        <v>44376</v>
      </c>
      <c r="D30" s="713" t="s">
        <v>318</v>
      </c>
      <c r="E30" s="714">
        <v>0.36333464999999998</v>
      </c>
      <c r="F30" s="715" t="s">
        <v>328</v>
      </c>
      <c r="G30" s="711">
        <v>15</v>
      </c>
    </row>
    <row r="31" spans="1:7" s="488" customFormat="1" ht="14.25" customHeight="1">
      <c r="A31" s="710" t="s">
        <v>321</v>
      </c>
      <c r="B31" s="711">
        <v>23</v>
      </c>
      <c r="C31" s="712">
        <v>44376</v>
      </c>
      <c r="D31" s="713" t="s">
        <v>322</v>
      </c>
      <c r="E31" s="714">
        <v>2.6900766666666667</v>
      </c>
      <c r="F31" s="715" t="s">
        <v>325</v>
      </c>
      <c r="G31" s="711">
        <v>13</v>
      </c>
    </row>
    <row r="32" spans="1:7" s="488" customFormat="1" ht="14.25" customHeight="1">
      <c r="A32" s="710" t="s">
        <v>320</v>
      </c>
      <c r="B32" s="711">
        <v>24</v>
      </c>
      <c r="C32" s="712">
        <v>44377</v>
      </c>
      <c r="D32" s="713" t="s">
        <v>318</v>
      </c>
      <c r="E32" s="714">
        <v>0.42822079999999996</v>
      </c>
      <c r="F32" s="715" t="s">
        <v>329</v>
      </c>
      <c r="G32" s="711">
        <v>17</v>
      </c>
    </row>
    <row r="33" spans="1:7" s="488" customFormat="1" ht="14.25" customHeight="1">
      <c r="A33" s="710" t="s">
        <v>317</v>
      </c>
      <c r="B33" s="711">
        <v>24</v>
      </c>
      <c r="C33" s="712">
        <v>44386</v>
      </c>
      <c r="D33" s="713" t="s">
        <v>318</v>
      </c>
      <c r="E33" s="714">
        <v>0.68832539999999998</v>
      </c>
      <c r="F33" s="715" t="s">
        <v>323</v>
      </c>
      <c r="G33" s="711">
        <v>17</v>
      </c>
    </row>
    <row r="34" spans="1:7" s="488" customFormat="1" ht="14.25" customHeight="1">
      <c r="A34" s="710" t="s">
        <v>321</v>
      </c>
      <c r="B34" s="711">
        <v>24</v>
      </c>
      <c r="C34" s="712">
        <v>44386</v>
      </c>
      <c r="D34" s="713" t="s">
        <v>322</v>
      </c>
      <c r="E34" s="714">
        <v>2.5531534999999996</v>
      </c>
      <c r="F34" s="715" t="s">
        <v>315</v>
      </c>
      <c r="G34" s="711">
        <v>15</v>
      </c>
    </row>
    <row r="35" spans="1:7" s="488" customFormat="1" ht="14.25" customHeight="1">
      <c r="A35" s="710" t="s">
        <v>317</v>
      </c>
      <c r="B35" s="711">
        <v>24</v>
      </c>
      <c r="C35" s="712">
        <v>44389</v>
      </c>
      <c r="D35" s="713" t="s">
        <v>318</v>
      </c>
      <c r="E35" s="714">
        <v>0.72287075000000001</v>
      </c>
      <c r="F35" s="715" t="s">
        <v>323</v>
      </c>
      <c r="G35" s="711">
        <v>19</v>
      </c>
    </row>
    <row r="36" spans="1:7" s="488" customFormat="1" ht="14.25" customHeight="1">
      <c r="A36" s="710" t="s">
        <v>321</v>
      </c>
      <c r="B36" s="711">
        <v>24</v>
      </c>
      <c r="C36" s="712">
        <v>44389</v>
      </c>
      <c r="D36" s="713" t="s">
        <v>322</v>
      </c>
      <c r="E36" s="714">
        <v>2.5085666666666668</v>
      </c>
      <c r="F36" s="715" t="s">
        <v>325</v>
      </c>
      <c r="G36" s="711">
        <v>18</v>
      </c>
    </row>
    <row r="37" spans="1:7" s="488" customFormat="1" ht="14.25" customHeight="1">
      <c r="A37" s="710" t="s">
        <v>324</v>
      </c>
      <c r="B37" s="711">
        <v>24</v>
      </c>
      <c r="C37" s="712">
        <v>44389</v>
      </c>
      <c r="D37" s="713" t="s">
        <v>314</v>
      </c>
      <c r="E37" s="714">
        <v>2.3349113999999993</v>
      </c>
      <c r="F37" s="715" t="s">
        <v>315</v>
      </c>
      <c r="G37" s="711">
        <v>5</v>
      </c>
    </row>
    <row r="38" spans="1:7" s="488" customFormat="1" ht="14.25" customHeight="1">
      <c r="A38" s="710" t="s">
        <v>313</v>
      </c>
      <c r="B38" s="711">
        <v>24</v>
      </c>
      <c r="C38" s="712">
        <v>44389</v>
      </c>
      <c r="D38" s="713" t="s">
        <v>314</v>
      </c>
      <c r="E38" s="714">
        <v>0.65402595000000008</v>
      </c>
      <c r="F38" s="715" t="s">
        <v>315</v>
      </c>
      <c r="G38" s="711">
        <v>9</v>
      </c>
    </row>
    <row r="39" spans="1:7" s="488" customFormat="1" ht="14.25" customHeight="1">
      <c r="A39" s="710" t="s">
        <v>316</v>
      </c>
      <c r="B39" s="711">
        <v>24</v>
      </c>
      <c r="C39" s="712">
        <v>44389</v>
      </c>
      <c r="D39" s="713" t="s">
        <v>314</v>
      </c>
      <c r="E39" s="714">
        <v>0.70323639999999998</v>
      </c>
      <c r="F39" s="715" t="s">
        <v>315</v>
      </c>
      <c r="G39" s="711">
        <v>9</v>
      </c>
    </row>
    <row r="40" spans="1:7" s="488" customFormat="1" ht="14.25" customHeight="1">
      <c r="A40" s="710" t="s">
        <v>317</v>
      </c>
      <c r="B40" s="711">
        <v>24</v>
      </c>
      <c r="C40" s="712">
        <v>44396</v>
      </c>
      <c r="D40" s="713" t="s">
        <v>318</v>
      </c>
      <c r="E40" s="714">
        <v>0.73354839999999999</v>
      </c>
      <c r="F40" s="715" t="s">
        <v>323</v>
      </c>
      <c r="G40" s="711">
        <v>21</v>
      </c>
    </row>
    <row r="41" spans="1:7" s="488" customFormat="1" ht="14.25" customHeight="1">
      <c r="A41" s="710" t="s">
        <v>321</v>
      </c>
      <c r="B41" s="711">
        <v>24</v>
      </c>
      <c r="C41" s="712">
        <v>44396</v>
      </c>
      <c r="D41" s="713" t="s">
        <v>322</v>
      </c>
      <c r="E41" s="714">
        <v>3.2947680000000004</v>
      </c>
      <c r="F41" s="715" t="s">
        <v>315</v>
      </c>
      <c r="G41" s="711">
        <v>20</v>
      </c>
    </row>
    <row r="42" spans="1:7" s="488" customFormat="1" ht="14.25" customHeight="1">
      <c r="A42" s="710" t="s">
        <v>317</v>
      </c>
      <c r="B42" s="711">
        <v>24</v>
      </c>
      <c r="C42" s="712">
        <v>44405</v>
      </c>
      <c r="D42" s="713" t="s">
        <v>318</v>
      </c>
      <c r="E42" s="714">
        <v>0.84053200000000006</v>
      </c>
      <c r="F42" s="715" t="s">
        <v>323</v>
      </c>
      <c r="G42" s="711">
        <v>23</v>
      </c>
    </row>
    <row r="43" spans="1:7" s="488" customFormat="1" ht="14.25" customHeight="1">
      <c r="A43" s="710" t="s">
        <v>321</v>
      </c>
      <c r="B43" s="711">
        <v>24</v>
      </c>
      <c r="C43" s="712">
        <v>44405</v>
      </c>
      <c r="D43" s="713" t="s">
        <v>322</v>
      </c>
      <c r="E43" s="714">
        <v>2.5504420000000003</v>
      </c>
      <c r="F43" s="715" t="s">
        <v>315</v>
      </c>
      <c r="G43" s="711">
        <v>22</v>
      </c>
    </row>
    <row r="44" spans="1:7" ht="14.25" customHeight="1">
      <c r="A44" s="710" t="s">
        <v>317</v>
      </c>
      <c r="B44" s="711">
        <v>24</v>
      </c>
      <c r="C44" s="712">
        <v>44406</v>
      </c>
      <c r="D44" s="713" t="s">
        <v>318</v>
      </c>
      <c r="E44" s="714">
        <v>0.77588670000000004</v>
      </c>
      <c r="F44" s="715" t="s">
        <v>323</v>
      </c>
      <c r="G44" s="711">
        <v>25</v>
      </c>
    </row>
    <row r="45" spans="1:7" ht="14.25" customHeight="1">
      <c r="A45" s="710" t="s">
        <v>321</v>
      </c>
      <c r="B45" s="711">
        <v>24</v>
      </c>
      <c r="C45" s="712">
        <v>44406</v>
      </c>
      <c r="D45" s="713" t="s">
        <v>322</v>
      </c>
      <c r="E45" s="714">
        <v>2.6163205</v>
      </c>
      <c r="F45" s="715" t="s">
        <v>315</v>
      </c>
      <c r="G45" s="711">
        <v>24</v>
      </c>
    </row>
    <row r="46" spans="1:7" ht="14.25" customHeight="1">
      <c r="A46" s="710" t="s">
        <v>313</v>
      </c>
      <c r="B46" s="711">
        <v>24</v>
      </c>
      <c r="C46" s="712">
        <v>44406</v>
      </c>
      <c r="D46" s="713" t="s">
        <v>314</v>
      </c>
      <c r="E46" s="714">
        <v>-0.24348183333333331</v>
      </c>
      <c r="F46" s="715" t="s">
        <v>325</v>
      </c>
      <c r="G46" s="711">
        <v>12</v>
      </c>
    </row>
    <row r="47" spans="1:7" ht="14.25" customHeight="1">
      <c r="A47" s="710" t="s">
        <v>316</v>
      </c>
      <c r="B47" s="711">
        <v>24</v>
      </c>
      <c r="C47" s="712">
        <v>44406</v>
      </c>
      <c r="D47" s="713" t="s">
        <v>314</v>
      </c>
      <c r="E47" s="714">
        <v>0.29244086666666669</v>
      </c>
      <c r="F47" s="715" t="s">
        <v>325</v>
      </c>
      <c r="G47" s="711">
        <v>12</v>
      </c>
    </row>
    <row r="48" spans="1:7" ht="14.25" customHeight="1">
      <c r="A48" s="710" t="s">
        <v>317</v>
      </c>
      <c r="B48" s="711">
        <v>24</v>
      </c>
      <c r="C48" s="712">
        <v>44407</v>
      </c>
      <c r="D48" s="713" t="s">
        <v>318</v>
      </c>
      <c r="E48" s="714">
        <v>0.76378650000000003</v>
      </c>
      <c r="F48" s="715" t="s">
        <v>327</v>
      </c>
      <c r="G48" s="711">
        <v>29</v>
      </c>
    </row>
    <row r="49" spans="1:7" ht="14.25" customHeight="1">
      <c r="A49" s="710" t="s">
        <v>321</v>
      </c>
      <c r="B49" s="711">
        <v>24</v>
      </c>
      <c r="C49" s="712">
        <v>44407</v>
      </c>
      <c r="D49" s="713" t="s">
        <v>322</v>
      </c>
      <c r="E49" s="714">
        <v>3.6944135</v>
      </c>
      <c r="F49" s="715" t="s">
        <v>328</v>
      </c>
      <c r="G49" s="711">
        <v>28</v>
      </c>
    </row>
    <row r="50" spans="1:7" ht="14.25" customHeight="1">
      <c r="A50" s="710" t="s">
        <v>324</v>
      </c>
      <c r="B50" s="711">
        <v>24</v>
      </c>
      <c r="C50" s="712">
        <v>44406</v>
      </c>
      <c r="D50" s="713" t="s">
        <v>314</v>
      </c>
      <c r="E50" s="714">
        <v>2.3803409999999992</v>
      </c>
      <c r="F50" s="715" t="s">
        <v>325</v>
      </c>
      <c r="G50" s="711">
        <v>8</v>
      </c>
    </row>
    <row r="52" spans="1:7" ht="14.25" customHeight="1">
      <c r="A52" s="492" t="s">
        <v>63</v>
      </c>
    </row>
    <row r="53" spans="1:7" ht="14.25" customHeight="1">
      <c r="A53" s="632" t="s">
        <v>351</v>
      </c>
    </row>
    <row r="54" spans="1:7" ht="14.25" customHeight="1">
      <c r="A54" s="716" t="s">
        <v>352</v>
      </c>
    </row>
    <row r="55" spans="1:7" ht="14.25" customHeight="1">
      <c r="A55" s="717" t="s">
        <v>353</v>
      </c>
    </row>
    <row r="56" spans="1:7" ht="14.25" customHeight="1">
      <c r="A56" s="438" t="s">
        <v>64</v>
      </c>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topLeftCell="A7" zoomScale="80" zoomScaleNormal="80" workbookViewId="0">
      <selection activeCell="G17" sqref="G17"/>
    </sheetView>
  </sheetViews>
  <sheetFormatPr defaultColWidth="9.26953125" defaultRowHeight="12.5"/>
  <cols>
    <col min="1" max="1" width="48" style="44" customWidth="1"/>
    <col min="2" max="3" width="13" style="44" customWidth="1"/>
    <col min="4" max="13" width="13.453125" style="44" customWidth="1"/>
    <col min="14" max="14" width="23.26953125" style="44" bestFit="1" customWidth="1"/>
    <col min="15" max="16384" width="9.26953125" style="44"/>
  </cols>
  <sheetData>
    <row r="2" spans="1:13" ht="20">
      <c r="B2" s="333" t="s">
        <v>39</v>
      </c>
      <c r="C2" s="43"/>
      <c r="D2" s="43"/>
      <c r="E2" s="334"/>
      <c r="F2" s="334"/>
      <c r="G2" s="334"/>
      <c r="H2" s="334"/>
      <c r="I2" s="334"/>
      <c r="J2" s="334"/>
      <c r="K2" s="334"/>
      <c r="L2" s="334"/>
      <c r="M2" s="334"/>
    </row>
    <row r="3" spans="1:13" ht="18">
      <c r="B3" s="745" t="s">
        <v>112</v>
      </c>
      <c r="C3" s="745"/>
      <c r="D3" s="745"/>
      <c r="E3" s="745"/>
      <c r="F3" s="745"/>
      <c r="G3" s="745"/>
      <c r="H3" s="745"/>
      <c r="I3" s="745"/>
      <c r="J3" s="745"/>
      <c r="K3" s="745"/>
      <c r="L3" s="745"/>
      <c r="M3" s="745"/>
    </row>
    <row r="4" spans="1:13" ht="18">
      <c r="A4" s="163"/>
      <c r="B4" s="43"/>
      <c r="C4" s="43"/>
      <c r="D4" s="43"/>
      <c r="E4" s="43"/>
      <c r="F4" s="335"/>
      <c r="G4" s="746" t="str">
        <f>'Program MW '!H3</f>
        <v>July 2021</v>
      </c>
      <c r="H4" s="746"/>
      <c r="I4" s="335"/>
      <c r="J4" s="43"/>
      <c r="K4" s="43"/>
      <c r="L4" s="43"/>
      <c r="M4" s="43"/>
    </row>
    <row r="5" spans="1:13">
      <c r="B5" s="199"/>
      <c r="C5" s="199"/>
      <c r="D5" s="199"/>
    </row>
    <row r="7" spans="1:13" ht="21.75" customHeight="1">
      <c r="A7" s="94"/>
      <c r="B7" s="164" t="s">
        <v>10</v>
      </c>
      <c r="C7" s="164" t="s">
        <v>28</v>
      </c>
      <c r="D7" s="164" t="s">
        <v>43</v>
      </c>
      <c r="E7" s="164" t="s">
        <v>44</v>
      </c>
      <c r="F7" s="164" t="s">
        <v>113</v>
      </c>
      <c r="G7" s="164" t="s">
        <v>45</v>
      </c>
      <c r="H7" s="164" t="s">
        <v>59</v>
      </c>
      <c r="I7" s="164" t="s">
        <v>66</v>
      </c>
      <c r="J7" s="164" t="s">
        <v>67</v>
      </c>
      <c r="K7" s="164" t="s">
        <v>61</v>
      </c>
      <c r="L7" s="164" t="s">
        <v>68</v>
      </c>
      <c r="M7" s="165" t="s">
        <v>62</v>
      </c>
    </row>
    <row r="8" spans="1:13" ht="26">
      <c r="A8" s="275" t="s">
        <v>114</v>
      </c>
      <c r="B8" s="294" t="s">
        <v>86</v>
      </c>
      <c r="C8" s="128" t="s">
        <v>86</v>
      </c>
      <c r="D8" s="128" t="s">
        <v>86</v>
      </c>
      <c r="E8" s="128" t="s">
        <v>86</v>
      </c>
      <c r="F8" s="128" t="s">
        <v>86</v>
      </c>
      <c r="G8" s="128" t="s">
        <v>86</v>
      </c>
      <c r="H8" s="128" t="s">
        <v>86</v>
      </c>
      <c r="I8" s="128" t="s">
        <v>86</v>
      </c>
      <c r="J8" s="128" t="s">
        <v>86</v>
      </c>
      <c r="K8" s="128" t="s">
        <v>86</v>
      </c>
      <c r="L8" s="128" t="s">
        <v>115</v>
      </c>
      <c r="M8" s="128" t="s">
        <v>115</v>
      </c>
    </row>
    <row r="9" spans="1:13">
      <c r="A9" s="293" t="s">
        <v>89</v>
      </c>
      <c r="B9" s="295">
        <v>1.23E-2</v>
      </c>
      <c r="C9" s="295">
        <v>1.23E-2</v>
      </c>
      <c r="D9" s="295">
        <v>9.0899999999999995E-2</v>
      </c>
      <c r="E9" s="295">
        <v>9.0899999999999995E-2</v>
      </c>
      <c r="F9" s="295">
        <v>9.0899999999999995E-2</v>
      </c>
      <c r="G9" s="295">
        <v>9.0899999999999995E-2</v>
      </c>
      <c r="H9" s="295">
        <v>0</v>
      </c>
      <c r="I9" s="295">
        <v>0</v>
      </c>
      <c r="J9" s="295">
        <v>0</v>
      </c>
      <c r="K9" s="295">
        <v>0</v>
      </c>
      <c r="L9" s="295">
        <v>0</v>
      </c>
      <c r="M9" s="295">
        <v>0</v>
      </c>
    </row>
    <row r="10" spans="1:13">
      <c r="A10" s="293" t="s">
        <v>90</v>
      </c>
      <c r="B10" s="295">
        <v>0</v>
      </c>
      <c r="C10" s="295">
        <v>0</v>
      </c>
      <c r="D10" s="295">
        <v>0</v>
      </c>
      <c r="E10" s="295">
        <v>0</v>
      </c>
      <c r="F10" s="295">
        <v>0</v>
      </c>
      <c r="G10" s="295">
        <v>0</v>
      </c>
      <c r="H10" s="295">
        <v>0</v>
      </c>
      <c r="I10" s="295">
        <v>0</v>
      </c>
      <c r="J10" s="295">
        <v>0</v>
      </c>
      <c r="K10" s="295">
        <v>0</v>
      </c>
      <c r="L10" s="295">
        <v>0</v>
      </c>
      <c r="M10" s="295">
        <v>0</v>
      </c>
    </row>
    <row r="11" spans="1:13">
      <c r="A11" s="167" t="s">
        <v>116</v>
      </c>
      <c r="B11" s="295">
        <v>0</v>
      </c>
      <c r="C11" s="295">
        <v>0</v>
      </c>
      <c r="D11" s="295">
        <v>0</v>
      </c>
      <c r="E11" s="295">
        <v>0</v>
      </c>
      <c r="F11" s="295">
        <v>0</v>
      </c>
      <c r="G11" s="295">
        <v>0</v>
      </c>
      <c r="H11" s="295">
        <v>0</v>
      </c>
      <c r="I11" s="295">
        <v>0</v>
      </c>
      <c r="J11" s="295">
        <v>0</v>
      </c>
      <c r="K11" s="295">
        <v>0</v>
      </c>
      <c r="L11" s="295">
        <v>0</v>
      </c>
      <c r="M11" s="295">
        <v>0</v>
      </c>
    </row>
    <row r="12" spans="1:13">
      <c r="A12" s="167" t="s">
        <v>117</v>
      </c>
      <c r="B12" s="295">
        <v>0</v>
      </c>
      <c r="C12" s="295">
        <v>0</v>
      </c>
      <c r="D12" s="295">
        <v>0</v>
      </c>
      <c r="E12" s="295">
        <v>0</v>
      </c>
      <c r="F12" s="295">
        <v>0</v>
      </c>
      <c r="G12" s="295">
        <v>0</v>
      </c>
      <c r="H12" s="295">
        <v>0</v>
      </c>
      <c r="I12" s="295">
        <v>0</v>
      </c>
      <c r="J12" s="295">
        <v>0</v>
      </c>
      <c r="K12" s="295">
        <v>0</v>
      </c>
      <c r="L12" s="295">
        <v>0</v>
      </c>
      <c r="M12" s="295">
        <v>0</v>
      </c>
    </row>
    <row r="13" spans="1:13" s="43" customFormat="1" ht="13">
      <c r="A13" s="166" t="s">
        <v>91</v>
      </c>
      <c r="B13" s="106">
        <f t="shared" ref="B13:G13" si="0">SUM(B9:B12)</f>
        <v>1.23E-2</v>
      </c>
      <c r="C13" s="106">
        <f t="shared" si="0"/>
        <v>1.23E-2</v>
      </c>
      <c r="D13" s="106">
        <f t="shared" si="0"/>
        <v>9.0899999999999995E-2</v>
      </c>
      <c r="E13" s="106">
        <f t="shared" si="0"/>
        <v>9.0899999999999995E-2</v>
      </c>
      <c r="F13" s="106">
        <f t="shared" ref="F13" si="1">SUM(F9:F12)</f>
        <v>9.0899999999999995E-2</v>
      </c>
      <c r="G13" s="106">
        <f t="shared" si="0"/>
        <v>9.0899999999999995E-2</v>
      </c>
      <c r="H13" s="60">
        <f t="shared" ref="H13" si="2">SUM(H9:H12)</f>
        <v>0</v>
      </c>
      <c r="I13" s="60">
        <f t="shared" ref="I13:M13" si="3">SUM(I9:I12)</f>
        <v>0</v>
      </c>
      <c r="J13" s="60">
        <f t="shared" si="3"/>
        <v>0</v>
      </c>
      <c r="K13" s="60">
        <f>SUM(K9:K12)</f>
        <v>0</v>
      </c>
      <c r="L13" s="60">
        <f>SUM(L9:L12)</f>
        <v>0</v>
      </c>
      <c r="M13" s="60">
        <f t="shared" si="3"/>
        <v>0</v>
      </c>
    </row>
    <row r="14" spans="1:13" s="51" customFormat="1" ht="13">
      <c r="A14" s="43"/>
      <c r="B14" s="47"/>
      <c r="C14" s="49"/>
      <c r="D14" s="49"/>
      <c r="E14" s="49"/>
      <c r="F14" s="49"/>
      <c r="G14" s="49"/>
    </row>
    <row r="15" spans="1:13" ht="14">
      <c r="A15" s="247" t="s">
        <v>63</v>
      </c>
      <c r="G15" s="45"/>
    </row>
    <row r="16" spans="1:13" ht="15.5">
      <c r="A16" s="368" t="s">
        <v>118</v>
      </c>
      <c r="B16" s="199"/>
      <c r="C16" s="199"/>
      <c r="D16" s="285"/>
      <c r="E16" s="285"/>
      <c r="F16" s="285"/>
      <c r="G16" s="199"/>
      <c r="H16" s="199"/>
      <c r="I16" s="199"/>
      <c r="J16" s="199"/>
      <c r="K16" s="199"/>
    </row>
    <row r="17" spans="1:14" ht="15.5">
      <c r="A17" s="367"/>
    </row>
    <row r="20" spans="1:14" ht="21.75" customHeight="1">
      <c r="A20" s="94"/>
      <c r="B20" s="164" t="s">
        <v>10</v>
      </c>
      <c r="C20" s="164" t="s">
        <v>28</v>
      </c>
      <c r="D20" s="164" t="s">
        <v>43</v>
      </c>
      <c r="E20" s="164" t="s">
        <v>44</v>
      </c>
      <c r="F20" s="164" t="s">
        <v>113</v>
      </c>
      <c r="G20" s="164" t="s">
        <v>45</v>
      </c>
      <c r="H20" s="164" t="s">
        <v>59</v>
      </c>
      <c r="I20" s="164" t="s">
        <v>66</v>
      </c>
      <c r="J20" s="164" t="s">
        <v>67</v>
      </c>
      <c r="K20" s="164" t="s">
        <v>61</v>
      </c>
      <c r="L20" s="164" t="s">
        <v>68</v>
      </c>
      <c r="M20" s="165" t="s">
        <v>62</v>
      </c>
      <c r="N20" s="337"/>
    </row>
    <row r="21" spans="1:14" ht="52">
      <c r="A21" s="274" t="s">
        <v>114</v>
      </c>
      <c r="B21" s="128" t="s">
        <v>119</v>
      </c>
      <c r="C21" s="128" t="str">
        <f>B21</f>
        <v>Technology Deployment- Residential MWs</v>
      </c>
      <c r="D21" s="128" t="str">
        <f>B21</f>
        <v>Technology Deployment- Residential MWs</v>
      </c>
      <c r="E21" s="128" t="str">
        <f t="shared" ref="E21:M21" si="4">C21</f>
        <v>Technology Deployment- Residential MWs</v>
      </c>
      <c r="F21" s="128" t="str">
        <f t="shared" si="4"/>
        <v>Technology Deployment- Residential MWs</v>
      </c>
      <c r="G21" s="128" t="str">
        <f t="shared" si="4"/>
        <v>Technology Deployment- Residential MWs</v>
      </c>
      <c r="H21" s="128" t="str">
        <f t="shared" si="4"/>
        <v>Technology Deployment- Residential MWs</v>
      </c>
      <c r="I21" s="128" t="str">
        <f t="shared" si="4"/>
        <v>Technology Deployment- Residential MWs</v>
      </c>
      <c r="J21" s="128" t="str">
        <f t="shared" si="4"/>
        <v>Technology Deployment- Residential MWs</v>
      </c>
      <c r="K21" s="128" t="str">
        <f t="shared" si="4"/>
        <v>Technology Deployment- Residential MWs</v>
      </c>
      <c r="L21" s="128" t="str">
        <f t="shared" si="4"/>
        <v>Technology Deployment- Residential MWs</v>
      </c>
      <c r="M21" s="128" t="str">
        <f t="shared" si="4"/>
        <v>Technology Deployment- Residential MWs</v>
      </c>
      <c r="N21" s="337"/>
    </row>
    <row r="22" spans="1:14">
      <c r="A22" s="167" t="s">
        <v>17</v>
      </c>
      <c r="B22" s="57">
        <f>'Program MW '!D14</f>
        <v>5.5603200000000008</v>
      </c>
      <c r="C22" s="57">
        <f>'Program MW '!G14</f>
        <v>5.5289600000000005</v>
      </c>
      <c r="D22" s="57">
        <f>'Program MW '!J14</f>
        <v>5.1198614791035659</v>
      </c>
      <c r="E22" s="57">
        <f>'Program MW '!M14</f>
        <v>5.1898279145658019</v>
      </c>
      <c r="F22" s="57">
        <f>'Program MW '!P14</f>
        <v>5.1438842895627026</v>
      </c>
      <c r="G22" s="57">
        <f>'Program MW '!S14</f>
        <v>4.3910694667994976</v>
      </c>
      <c r="H22" s="57">
        <f>'Program MW '!D36</f>
        <v>4.4907641302049166</v>
      </c>
      <c r="I22" s="57">
        <v>0</v>
      </c>
      <c r="J22" s="57">
        <v>0</v>
      </c>
      <c r="K22" s="57">
        <v>0</v>
      </c>
      <c r="L22" s="57">
        <v>0</v>
      </c>
      <c r="M22" s="57">
        <v>0</v>
      </c>
      <c r="N22" s="337"/>
    </row>
    <row r="23" spans="1:14">
      <c r="A23" s="167" t="s">
        <v>27</v>
      </c>
      <c r="B23" s="57">
        <f>'Ex post LI &amp; Eligibility Stats'!B11*1203/1000</f>
        <v>0.38496000000000002</v>
      </c>
      <c r="C23" s="57">
        <f>'Ex post LI &amp; Eligibility Stats'!C11*1269/1000</f>
        <v>0.40608</v>
      </c>
      <c r="D23" s="57">
        <f>'Ex post LI &amp; Eligibility Stats'!D11*1142/1000</f>
        <v>0.34292561930418014</v>
      </c>
      <c r="E23" s="57">
        <f>'Ex post LI &amp; Eligibility Stats'!E11*1150/1000</f>
        <v>0.34532790035009386</v>
      </c>
      <c r="F23" s="57">
        <f>'Ex post LI &amp; Eligibility Stats'!F11*1131/1000</f>
        <v>0.33962248286604879</v>
      </c>
      <c r="G23" s="57">
        <f>'Ex post LI &amp; Eligibility Stats'!G11*1000/1000</f>
        <v>0.30028513073921204</v>
      </c>
      <c r="H23" s="57">
        <f>'Ex post LI &amp; Eligibility Stats'!H11*1012/1000</f>
        <v>0.30388855230808259</v>
      </c>
      <c r="I23" s="57">
        <v>0</v>
      </c>
      <c r="J23" s="57">
        <v>0</v>
      </c>
      <c r="K23" s="57">
        <v>0</v>
      </c>
      <c r="L23" s="57">
        <v>0</v>
      </c>
      <c r="M23" s="57">
        <v>0</v>
      </c>
    </row>
    <row r="24" spans="1:14">
      <c r="A24" s="167" t="s">
        <v>117</v>
      </c>
      <c r="B24" s="57">
        <f>'Ex post LI &amp; Eligibility Stats'!B11*1929/1000</f>
        <v>0.61727999999999994</v>
      </c>
      <c r="C24" s="57">
        <f>'Ex post LI &amp; Eligibility Stats'!C11*1911/1000</f>
        <v>0.61151999999999995</v>
      </c>
      <c r="D24" s="57">
        <f>'Ex post LI &amp; Eligibility Stats'!D11*1490/1000</f>
        <v>0.44742484480142591</v>
      </c>
      <c r="E24" s="57">
        <f>'Ex post LI &amp; Eligibility Stats'!E11*1490/1000</f>
        <v>0.44742484480142591</v>
      </c>
      <c r="F24" s="57">
        <f>'Ex post LI &amp; Eligibility Stats'!F11*1490/1000</f>
        <v>0.44742484480142591</v>
      </c>
      <c r="G24" s="57">
        <f>'Ex post LI &amp; Eligibility Stats'!G11*1490/1000</f>
        <v>0.44742484480142591</v>
      </c>
      <c r="H24" s="57">
        <f>'Ex post LI &amp; Eligibility Stats'!H11*1490/1000</f>
        <v>0.44742484480142591</v>
      </c>
      <c r="I24" s="57">
        <v>0</v>
      </c>
      <c r="J24" s="57">
        <v>0</v>
      </c>
      <c r="K24" s="57">
        <v>0</v>
      </c>
      <c r="L24" s="57">
        <v>0</v>
      </c>
      <c r="M24" s="57">
        <v>0</v>
      </c>
    </row>
    <row r="25" spans="1:14" s="43" customFormat="1" ht="13">
      <c r="A25" s="166" t="s">
        <v>91</v>
      </c>
      <c r="B25" s="106">
        <f t="shared" ref="B25:H25" si="5">SUM(B22:B24)</f>
        <v>6.5625600000000013</v>
      </c>
      <c r="C25" s="60">
        <f t="shared" si="5"/>
        <v>6.5465600000000004</v>
      </c>
      <c r="D25" s="60">
        <f t="shared" si="5"/>
        <v>5.9102119432091724</v>
      </c>
      <c r="E25" s="60">
        <f t="shared" ref="E25" si="6">SUM(E22:E24)</f>
        <v>5.9825806597173221</v>
      </c>
      <c r="F25" s="60">
        <f t="shared" ref="F25" si="7">SUM(F22:F24)</f>
        <v>5.9309316172301774</v>
      </c>
      <c r="G25" s="60">
        <f t="shared" si="5"/>
        <v>5.1387794423401356</v>
      </c>
      <c r="H25" s="60">
        <f t="shared" si="5"/>
        <v>5.2420775273144251</v>
      </c>
      <c r="I25" s="60">
        <f t="shared" ref="I25:J25" si="8">SUM(I22:I24)</f>
        <v>0</v>
      </c>
      <c r="J25" s="60">
        <f t="shared" si="8"/>
        <v>0</v>
      </c>
      <c r="K25" s="60">
        <f>SUM(K22:K24)</f>
        <v>0</v>
      </c>
      <c r="L25" s="60">
        <f>SUM(L22:L24)</f>
        <v>0</v>
      </c>
      <c r="M25" s="60">
        <f t="shared" ref="M25" si="9">SUM(M22:M24)</f>
        <v>0</v>
      </c>
    </row>
    <row r="26" spans="1:14" s="51" customFormat="1" ht="13">
      <c r="A26" s="43"/>
      <c r="B26" s="47"/>
      <c r="C26" s="49"/>
      <c r="D26" s="49"/>
      <c r="E26" s="49"/>
      <c r="F26" s="49"/>
      <c r="G26" s="49"/>
    </row>
    <row r="27" spans="1:14" ht="14">
      <c r="A27" s="247" t="s">
        <v>63</v>
      </c>
      <c r="G27" s="45"/>
    </row>
    <row r="28" spans="1:14" ht="15.5">
      <c r="A28" s="366" t="s">
        <v>120</v>
      </c>
      <c r="G28" s="45"/>
    </row>
    <row r="29" spans="1:14" ht="15.5">
      <c r="A29" s="367"/>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113</v>
      </c>
      <c r="G31" s="164" t="s">
        <v>45</v>
      </c>
      <c r="H31" s="164" t="s">
        <v>59</v>
      </c>
      <c r="I31" s="164" t="s">
        <v>66</v>
      </c>
      <c r="J31" s="164" t="s">
        <v>67</v>
      </c>
      <c r="K31" s="164" t="s">
        <v>61</v>
      </c>
      <c r="L31" s="164" t="s">
        <v>68</v>
      </c>
      <c r="M31" s="165" t="s">
        <v>62</v>
      </c>
    </row>
    <row r="32" spans="1:14" ht="52">
      <c r="A32" s="274" t="s">
        <v>114</v>
      </c>
      <c r="B32" s="128" t="s">
        <v>121</v>
      </c>
      <c r="C32" s="128" t="str">
        <f>B32</f>
        <v>Technology Deployment- Commercial MWs</v>
      </c>
      <c r="D32" s="128" t="str">
        <f>B32</f>
        <v>Technology Deployment- Commercial MWs</v>
      </c>
      <c r="E32" s="128" t="str">
        <f t="shared" ref="E32" si="10">C32</f>
        <v>Technology Deployment- Commercial MWs</v>
      </c>
      <c r="F32" s="128" t="str">
        <f t="shared" ref="F32" si="11">D32</f>
        <v>Technology Deployment- Commercial MWs</v>
      </c>
      <c r="G32" s="128" t="str">
        <f t="shared" ref="G32" si="12">E32</f>
        <v>Technology Deployment- Commercial MWs</v>
      </c>
      <c r="H32" s="128" t="str">
        <f t="shared" ref="H32" si="13">F32</f>
        <v>Technology Deployment- Commercial MWs</v>
      </c>
      <c r="I32" s="128" t="s">
        <v>122</v>
      </c>
      <c r="J32" s="128" t="str">
        <f t="shared" ref="J32" si="14">H32</f>
        <v>Technology Deployment- Commercial MWs</v>
      </c>
      <c r="K32" s="128" t="str">
        <f>B32</f>
        <v>Technology Deployment- Commercial MWs</v>
      </c>
      <c r="L32" s="128" t="s">
        <v>122</v>
      </c>
      <c r="M32" s="128" t="str">
        <f t="shared" ref="M32" si="15">K32</f>
        <v>Technology Deployment- Commercial MWs</v>
      </c>
    </row>
    <row r="33" spans="1:13">
      <c r="A33" s="167" t="s">
        <v>20</v>
      </c>
      <c r="B33" s="57">
        <f>'Program MW '!D15</f>
        <v>0.32384000000000002</v>
      </c>
      <c r="C33" s="57">
        <f>'Program MW '!G15</f>
        <v>0.32384000000000002</v>
      </c>
      <c r="D33" s="57">
        <f>'Program MW '!J15</f>
        <v>0.12431036806106567</v>
      </c>
      <c r="E33" s="57">
        <f>'Program MW '!M15</f>
        <v>0.12431036806106567</v>
      </c>
      <c r="F33" s="57">
        <f>'Program MW '!P15</f>
        <v>0.11874423217773437</v>
      </c>
      <c r="G33" s="57">
        <f>'Program MW '!S15</f>
        <v>0.10946733903884888</v>
      </c>
      <c r="H33" s="57">
        <f>'Program MW '!D37</f>
        <v>0.11549731957912444</v>
      </c>
      <c r="I33" s="57">
        <v>0</v>
      </c>
      <c r="J33" s="57">
        <v>0</v>
      </c>
      <c r="K33" s="57">
        <v>0</v>
      </c>
      <c r="L33" s="57">
        <v>0</v>
      </c>
      <c r="M33" s="57">
        <v>0</v>
      </c>
    </row>
    <row r="34" spans="1:13">
      <c r="A34" s="167" t="s">
        <v>26</v>
      </c>
      <c r="B34" s="57">
        <f>'Ex post LI &amp; Eligibility Stats'!B12*741/1000</f>
        <v>0.34086</v>
      </c>
      <c r="C34" s="57">
        <f>'Ex post LI &amp; Eligibility Stats'!C12*738/1000</f>
        <v>0.33948</v>
      </c>
      <c r="D34" s="57">
        <f>'Ex post LI &amp; Eligibility Stats'!D12*483/1000</f>
        <v>0.22403696930408479</v>
      </c>
      <c r="E34" s="57">
        <f>'Ex post LI &amp; Eligibility Stats'!E12*483/1000</f>
        <v>0.22403696930408479</v>
      </c>
      <c r="F34" s="57">
        <f>'Ex post LI &amp; Eligibility Stats'!F12*472/1000</f>
        <v>0.21893467807769776</v>
      </c>
      <c r="G34" s="57">
        <f>'Ex post LI &amp; Eligibility Stats'!G12*396/1000</f>
        <v>0.18368248414993285</v>
      </c>
      <c r="H34" s="57">
        <f>'Ex post LI &amp; Eligibility Stats'!H12*398/1000</f>
        <v>0.18461017346382141</v>
      </c>
      <c r="I34" s="57">
        <v>0</v>
      </c>
      <c r="J34" s="57">
        <v>0</v>
      </c>
      <c r="K34" s="57">
        <v>0</v>
      </c>
      <c r="L34" s="57">
        <v>0</v>
      </c>
      <c r="M34" s="57">
        <v>0</v>
      </c>
    </row>
    <row r="35" spans="1:13">
      <c r="A35" s="434" t="s">
        <v>55</v>
      </c>
      <c r="B35" s="413">
        <v>0</v>
      </c>
      <c r="C35" s="413">
        <v>0</v>
      </c>
      <c r="D35" s="413">
        <v>0</v>
      </c>
      <c r="E35" s="413">
        <v>0</v>
      </c>
      <c r="F35" s="413">
        <v>0</v>
      </c>
      <c r="G35" s="413">
        <v>0</v>
      </c>
      <c r="H35" s="678">
        <v>0</v>
      </c>
      <c r="I35" s="57">
        <v>0</v>
      </c>
      <c r="J35" s="57">
        <v>0</v>
      </c>
      <c r="K35" s="57">
        <v>0</v>
      </c>
      <c r="L35" s="57">
        <v>0</v>
      </c>
      <c r="M35" s="57">
        <v>0</v>
      </c>
    </row>
    <row r="36" spans="1:13">
      <c r="A36" s="167" t="s">
        <v>89</v>
      </c>
      <c r="B36" s="57">
        <f>'Ex post LI &amp; Eligibility Stats'!B12*364/1000</f>
        <v>0.16744000000000001</v>
      </c>
      <c r="C36" s="57">
        <f>'Ex post LI &amp; Eligibility Stats'!C12*360/1000</f>
        <v>0.1656</v>
      </c>
      <c r="D36" s="57">
        <f>'Ex post LI &amp; Eligibility Stats'!D12*297/1000</f>
        <v>0.13776186311244965</v>
      </c>
      <c r="E36" s="57">
        <f>'Ex post LI &amp; Eligibility Stats'!E12*294/1000</f>
        <v>0.13637032914161681</v>
      </c>
      <c r="F36" s="57">
        <f>'Ex post LI &amp; Eligibility Stats'!F12*280/1000</f>
        <v>0.12987650394439698</v>
      </c>
      <c r="G36" s="57">
        <f>'Ex post LI &amp; Eligibility Stats'!G12*235/1000</f>
        <v>0.1090034943819046</v>
      </c>
      <c r="H36" s="57">
        <f>'Ex post LI &amp; Eligibility Stats'!H12*233/1000</f>
        <v>0.10807580506801605</v>
      </c>
      <c r="I36" s="57">
        <v>0</v>
      </c>
      <c r="J36" s="57">
        <v>0</v>
      </c>
      <c r="K36" s="57">
        <v>0</v>
      </c>
      <c r="L36" s="57">
        <v>0</v>
      </c>
      <c r="M36" s="57">
        <v>0</v>
      </c>
    </row>
    <row r="37" spans="1:13">
      <c r="A37" s="167" t="s">
        <v>90</v>
      </c>
      <c r="B37" s="57">
        <v>0</v>
      </c>
      <c r="C37" s="57">
        <v>0</v>
      </c>
      <c r="D37" s="57">
        <f>'Program MW '!F18</f>
        <v>0</v>
      </c>
      <c r="E37" s="57">
        <f>'Program MW '!G18</f>
        <v>0</v>
      </c>
      <c r="F37" s="57">
        <v>0</v>
      </c>
      <c r="G37" s="57">
        <v>0</v>
      </c>
      <c r="H37" s="57">
        <v>0</v>
      </c>
      <c r="I37" s="57">
        <v>0</v>
      </c>
      <c r="J37" s="57">
        <v>0</v>
      </c>
      <c r="K37" s="57">
        <v>0</v>
      </c>
      <c r="L37" s="57">
        <v>0</v>
      </c>
      <c r="M37" s="57">
        <v>0</v>
      </c>
    </row>
    <row r="38" spans="1:13">
      <c r="A38" s="167" t="s">
        <v>116</v>
      </c>
      <c r="B38" s="57">
        <f>'Ex post LI &amp; Eligibility Stats'!B14*570/1000</f>
        <v>2.8500000000000001E-2</v>
      </c>
      <c r="C38" s="57">
        <f>'Ex post LI &amp; Eligibility Stats'!C14*570/1000</f>
        <v>2.8500000000000001E-2</v>
      </c>
      <c r="D38" s="57">
        <f>'Program MW '!F19</f>
        <v>0</v>
      </c>
      <c r="E38" s="57">
        <f>'Program MW '!G19</f>
        <v>0</v>
      </c>
      <c r="F38" s="57">
        <v>0</v>
      </c>
      <c r="G38" s="57">
        <v>0</v>
      </c>
      <c r="H38" s="57">
        <v>0</v>
      </c>
      <c r="I38" s="57">
        <v>0</v>
      </c>
      <c r="J38" s="57">
        <v>0</v>
      </c>
      <c r="K38" s="57">
        <v>0</v>
      </c>
      <c r="L38" s="57">
        <v>0</v>
      </c>
      <c r="M38" s="57">
        <v>0</v>
      </c>
    </row>
    <row r="39" spans="1:13">
      <c r="A39" s="167" t="s">
        <v>117</v>
      </c>
      <c r="B39" s="57">
        <f>'Ex post LI &amp; Eligibility Stats'!B15*2/1000</f>
        <v>3.5999999999999997E-2</v>
      </c>
      <c r="C39" s="57">
        <f>'Ex post LI &amp; Eligibility Stats'!C15*2/1000</f>
        <v>3.5999999999999997E-2</v>
      </c>
      <c r="D39" s="57">
        <f>'Ex post LI &amp; Eligibility Stats'!D15*1/1000</f>
        <v>1.7953320000000002E-2</v>
      </c>
      <c r="E39" s="57">
        <f>'Ex post LI &amp; Eligibility Stats'!E15*1/1000</f>
        <v>1.7953320000000002E-2</v>
      </c>
      <c r="F39" s="57">
        <v>0</v>
      </c>
      <c r="G39" s="57">
        <v>0</v>
      </c>
      <c r="H39" s="57">
        <v>0</v>
      </c>
      <c r="I39" s="57">
        <v>0</v>
      </c>
      <c r="J39" s="57">
        <v>0</v>
      </c>
      <c r="K39" s="57">
        <v>0</v>
      </c>
      <c r="L39" s="57">
        <v>0</v>
      </c>
      <c r="M39" s="57">
        <v>0</v>
      </c>
    </row>
    <row r="40" spans="1:13" s="43" customFormat="1" ht="13">
      <c r="A40" s="166" t="s">
        <v>91</v>
      </c>
      <c r="B40" s="106">
        <f t="shared" ref="B40:C40" si="16">SUM(B33:B39)</f>
        <v>0.8966400000000001</v>
      </c>
      <c r="C40" s="106">
        <f t="shared" si="16"/>
        <v>0.89341999999999999</v>
      </c>
      <c r="D40" s="106">
        <f t="shared" ref="D40:M40" si="17">SUM(D33:D39)</f>
        <v>0.50406252047760014</v>
      </c>
      <c r="E40" s="106">
        <f t="shared" ref="E40" si="18">SUM(E33:E39)</f>
        <v>0.50267098650676734</v>
      </c>
      <c r="F40" s="106">
        <f t="shared" ref="F40" si="19">SUM(F33:F39)</f>
        <v>0.4675554141998291</v>
      </c>
      <c r="G40" s="106">
        <f t="shared" si="17"/>
        <v>0.40215331757068634</v>
      </c>
      <c r="H40" s="106">
        <f t="shared" si="17"/>
        <v>0.40818329811096193</v>
      </c>
      <c r="I40" s="106">
        <f t="shared" si="17"/>
        <v>0</v>
      </c>
      <c r="J40" s="106">
        <f t="shared" ref="J40" si="20">SUM(J33:J39)</f>
        <v>0</v>
      </c>
      <c r="K40" s="106">
        <f>SUM(K33:K39)</f>
        <v>0</v>
      </c>
      <c r="L40" s="106">
        <f>SUM(L33:L39)</f>
        <v>0</v>
      </c>
      <c r="M40" s="106">
        <f t="shared" si="17"/>
        <v>0</v>
      </c>
    </row>
    <row r="41" spans="1:13">
      <c r="C41" s="45"/>
      <c r="D41" s="45"/>
      <c r="E41" s="45"/>
      <c r="F41" s="45"/>
      <c r="G41" s="45"/>
    </row>
    <row r="42" spans="1:13" ht="14">
      <c r="A42" s="247" t="s">
        <v>63</v>
      </c>
      <c r="G42" s="45"/>
    </row>
    <row r="43" spans="1:13" ht="14">
      <c r="A43" s="440"/>
      <c r="B43" s="199"/>
      <c r="C43" s="199"/>
      <c r="D43" s="285"/>
      <c r="E43" s="285"/>
      <c r="F43" s="285"/>
      <c r="G43" s="199"/>
      <c r="H43" s="199"/>
      <c r="I43" s="199"/>
      <c r="J43" s="199"/>
      <c r="K43" s="199"/>
    </row>
    <row r="44" spans="1:13" ht="14">
      <c r="A44" s="248" t="s">
        <v>64</v>
      </c>
    </row>
    <row r="46" spans="1:13" ht="14.5">
      <c r="A46" s="147" t="s">
        <v>56</v>
      </c>
    </row>
    <row r="48" spans="1:13">
      <c r="A48" s="20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90" zoomScaleNormal="90" workbookViewId="0">
      <pane xSplit="1" ySplit="10" topLeftCell="B11" activePane="bottomRight" state="frozen"/>
      <selection activeCell="B55" sqref="B55"/>
      <selection pane="topRight" activeCell="B55" sqref="B55"/>
      <selection pane="bottomLeft" activeCell="B55" sqref="B55"/>
      <selection pane="bottomRight" activeCell="F27" sqref="F27"/>
    </sheetView>
  </sheetViews>
  <sheetFormatPr defaultRowHeight="12"/>
  <cols>
    <col min="1" max="1" width="84.26953125" style="263" customWidth="1"/>
    <col min="2" max="3" width="12.7265625" style="263" customWidth="1"/>
    <col min="4" max="4" width="9.453125" style="263" bestFit="1" customWidth="1"/>
    <col min="5" max="10" width="12.7265625" style="263" customWidth="1"/>
    <col min="11" max="11" width="10.7265625" style="263" customWidth="1"/>
    <col min="12" max="13" width="12.7265625" style="263" customWidth="1"/>
    <col min="14" max="15" width="16.54296875" style="263" customWidth="1"/>
    <col min="16" max="16" width="16.54296875" style="263" hidden="1" customWidth="1"/>
    <col min="17" max="17" width="16.54296875" style="263" customWidth="1"/>
    <col min="18" max="256" width="9.26953125" style="263"/>
    <col min="257" max="257" width="70" style="263" customWidth="1"/>
    <col min="258" max="269" width="12.7265625" style="263" customWidth="1"/>
    <col min="270" max="270" width="11" style="263" customWidth="1"/>
    <col min="271" max="271" width="0" style="263" hidden="1" customWidth="1"/>
    <col min="272" max="273" width="11.7265625" style="263" customWidth="1"/>
    <col min="274" max="512" width="9.26953125" style="263"/>
    <col min="513" max="513" width="70" style="263" customWidth="1"/>
    <col min="514" max="525" width="12.7265625" style="263" customWidth="1"/>
    <col min="526" max="526" width="11" style="263" customWidth="1"/>
    <col min="527" max="527" width="0" style="263" hidden="1" customWidth="1"/>
    <col min="528" max="529" width="11.7265625" style="263" customWidth="1"/>
    <col min="530" max="768" width="9.26953125" style="263"/>
    <col min="769" max="769" width="70" style="263" customWidth="1"/>
    <col min="770" max="781" width="12.7265625" style="263" customWidth="1"/>
    <col min="782" max="782" width="11" style="263" customWidth="1"/>
    <col min="783" max="783" width="0" style="263" hidden="1" customWidth="1"/>
    <col min="784" max="785" width="11.7265625" style="263" customWidth="1"/>
    <col min="786" max="1024" width="9.26953125" style="263"/>
    <col min="1025" max="1025" width="70" style="263" customWidth="1"/>
    <col min="1026" max="1037" width="12.7265625" style="263" customWidth="1"/>
    <col min="1038" max="1038" width="11" style="263" customWidth="1"/>
    <col min="1039" max="1039" width="0" style="263" hidden="1" customWidth="1"/>
    <col min="1040" max="1041" width="11.7265625" style="263" customWidth="1"/>
    <col min="1042" max="1280" width="9.26953125" style="263"/>
    <col min="1281" max="1281" width="70" style="263" customWidth="1"/>
    <col min="1282" max="1293" width="12.7265625" style="263" customWidth="1"/>
    <col min="1294" max="1294" width="11" style="263" customWidth="1"/>
    <col min="1295" max="1295" width="0" style="263" hidden="1" customWidth="1"/>
    <col min="1296" max="1297" width="11.7265625" style="263" customWidth="1"/>
    <col min="1298" max="1536" width="9.26953125" style="263"/>
    <col min="1537" max="1537" width="70" style="263" customWidth="1"/>
    <col min="1538" max="1549" width="12.7265625" style="263" customWidth="1"/>
    <col min="1550" max="1550" width="11" style="263" customWidth="1"/>
    <col min="1551" max="1551" width="0" style="263" hidden="1" customWidth="1"/>
    <col min="1552" max="1553" width="11.7265625" style="263" customWidth="1"/>
    <col min="1554" max="1792" width="9.26953125" style="263"/>
    <col min="1793" max="1793" width="70" style="263" customWidth="1"/>
    <col min="1794" max="1805" width="12.7265625" style="263" customWidth="1"/>
    <col min="1806" max="1806" width="11" style="263" customWidth="1"/>
    <col min="1807" max="1807" width="0" style="263" hidden="1" customWidth="1"/>
    <col min="1808" max="1809" width="11.7265625" style="263" customWidth="1"/>
    <col min="1810" max="2048" width="9.26953125" style="263"/>
    <col min="2049" max="2049" width="70" style="263" customWidth="1"/>
    <col min="2050" max="2061" width="12.7265625" style="263" customWidth="1"/>
    <col min="2062" max="2062" width="11" style="263" customWidth="1"/>
    <col min="2063" max="2063" width="0" style="263" hidden="1" customWidth="1"/>
    <col min="2064" max="2065" width="11.7265625" style="263" customWidth="1"/>
    <col min="2066" max="2304" width="9.26953125" style="263"/>
    <col min="2305" max="2305" width="70" style="263" customWidth="1"/>
    <col min="2306" max="2317" width="12.7265625" style="263" customWidth="1"/>
    <col min="2318" max="2318" width="11" style="263" customWidth="1"/>
    <col min="2319" max="2319" width="0" style="263" hidden="1" customWidth="1"/>
    <col min="2320" max="2321" width="11.7265625" style="263" customWidth="1"/>
    <col min="2322" max="2560" width="9.26953125" style="263"/>
    <col min="2561" max="2561" width="70" style="263" customWidth="1"/>
    <col min="2562" max="2573" width="12.7265625" style="263" customWidth="1"/>
    <col min="2574" max="2574" width="11" style="263" customWidth="1"/>
    <col min="2575" max="2575" width="0" style="263" hidden="1" customWidth="1"/>
    <col min="2576" max="2577" width="11.7265625" style="263" customWidth="1"/>
    <col min="2578" max="2816" width="9.26953125" style="263"/>
    <col min="2817" max="2817" width="70" style="263" customWidth="1"/>
    <col min="2818" max="2829" width="12.7265625" style="263" customWidth="1"/>
    <col min="2830" max="2830" width="11" style="263" customWidth="1"/>
    <col min="2831" max="2831" width="0" style="263" hidden="1" customWidth="1"/>
    <col min="2832" max="2833" width="11.7265625" style="263" customWidth="1"/>
    <col min="2834" max="3072" width="9.26953125" style="263"/>
    <col min="3073" max="3073" width="70" style="263" customWidth="1"/>
    <col min="3074" max="3085" width="12.7265625" style="263" customWidth="1"/>
    <col min="3086" max="3086" width="11" style="263" customWidth="1"/>
    <col min="3087" max="3087" width="0" style="263" hidden="1" customWidth="1"/>
    <col min="3088" max="3089" width="11.7265625" style="263" customWidth="1"/>
    <col min="3090" max="3328" width="9.26953125" style="263"/>
    <col min="3329" max="3329" width="70" style="263" customWidth="1"/>
    <col min="3330" max="3341" width="12.7265625" style="263" customWidth="1"/>
    <col min="3342" max="3342" width="11" style="263" customWidth="1"/>
    <col min="3343" max="3343" width="0" style="263" hidden="1" customWidth="1"/>
    <col min="3344" max="3345" width="11.7265625" style="263" customWidth="1"/>
    <col min="3346" max="3584" width="9.26953125" style="263"/>
    <col min="3585" max="3585" width="70" style="263" customWidth="1"/>
    <col min="3586" max="3597" width="12.7265625" style="263" customWidth="1"/>
    <col min="3598" max="3598" width="11" style="263" customWidth="1"/>
    <col min="3599" max="3599" width="0" style="263" hidden="1" customWidth="1"/>
    <col min="3600" max="3601" width="11.7265625" style="263" customWidth="1"/>
    <col min="3602" max="3840" width="9.26953125" style="263"/>
    <col min="3841" max="3841" width="70" style="263" customWidth="1"/>
    <col min="3842" max="3853" width="12.7265625" style="263" customWidth="1"/>
    <col min="3854" max="3854" width="11" style="263" customWidth="1"/>
    <col min="3855" max="3855" width="0" style="263" hidden="1" customWidth="1"/>
    <col min="3856" max="3857" width="11.7265625" style="263" customWidth="1"/>
    <col min="3858" max="4096" width="9.26953125" style="263"/>
    <col min="4097" max="4097" width="70" style="263" customWidth="1"/>
    <col min="4098" max="4109" width="12.7265625" style="263" customWidth="1"/>
    <col min="4110" max="4110" width="11" style="263" customWidth="1"/>
    <col min="4111" max="4111" width="0" style="263" hidden="1" customWidth="1"/>
    <col min="4112" max="4113" width="11.7265625" style="263" customWidth="1"/>
    <col min="4114" max="4352" width="9.26953125" style="263"/>
    <col min="4353" max="4353" width="70" style="263" customWidth="1"/>
    <col min="4354" max="4365" width="12.7265625" style="263" customWidth="1"/>
    <col min="4366" max="4366" width="11" style="263" customWidth="1"/>
    <col min="4367" max="4367" width="0" style="263" hidden="1" customWidth="1"/>
    <col min="4368" max="4369" width="11.7265625" style="263" customWidth="1"/>
    <col min="4370" max="4608" width="9.26953125" style="263"/>
    <col min="4609" max="4609" width="70" style="263" customWidth="1"/>
    <col min="4610" max="4621" width="12.7265625" style="263" customWidth="1"/>
    <col min="4622" max="4622" width="11" style="263" customWidth="1"/>
    <col min="4623" max="4623" width="0" style="263" hidden="1" customWidth="1"/>
    <col min="4624" max="4625" width="11.7265625" style="263" customWidth="1"/>
    <col min="4626" max="4864" width="9.26953125" style="263"/>
    <col min="4865" max="4865" width="70" style="263" customWidth="1"/>
    <col min="4866" max="4877" width="12.7265625" style="263" customWidth="1"/>
    <col min="4878" max="4878" width="11" style="263" customWidth="1"/>
    <col min="4879" max="4879" width="0" style="263" hidden="1" customWidth="1"/>
    <col min="4880" max="4881" width="11.7265625" style="263" customWidth="1"/>
    <col min="4882" max="5120" width="9.26953125" style="263"/>
    <col min="5121" max="5121" width="70" style="263" customWidth="1"/>
    <col min="5122" max="5133" width="12.7265625" style="263" customWidth="1"/>
    <col min="5134" max="5134" width="11" style="263" customWidth="1"/>
    <col min="5135" max="5135" width="0" style="263" hidden="1" customWidth="1"/>
    <col min="5136" max="5137" width="11.7265625" style="263" customWidth="1"/>
    <col min="5138" max="5376" width="9.26953125" style="263"/>
    <col min="5377" max="5377" width="70" style="263" customWidth="1"/>
    <col min="5378" max="5389" width="12.7265625" style="263" customWidth="1"/>
    <col min="5390" max="5390" width="11" style="263" customWidth="1"/>
    <col min="5391" max="5391" width="0" style="263" hidden="1" customWidth="1"/>
    <col min="5392" max="5393" width="11.7265625" style="263" customWidth="1"/>
    <col min="5394" max="5632" width="9.26953125" style="263"/>
    <col min="5633" max="5633" width="70" style="263" customWidth="1"/>
    <col min="5634" max="5645" width="12.7265625" style="263" customWidth="1"/>
    <col min="5646" max="5646" width="11" style="263" customWidth="1"/>
    <col min="5647" max="5647" width="0" style="263" hidden="1" customWidth="1"/>
    <col min="5648" max="5649" width="11.7265625" style="263" customWidth="1"/>
    <col min="5650" max="5888" width="9.26953125" style="263"/>
    <col min="5889" max="5889" width="70" style="263" customWidth="1"/>
    <col min="5890" max="5901" width="12.7265625" style="263" customWidth="1"/>
    <col min="5902" max="5902" width="11" style="263" customWidth="1"/>
    <col min="5903" max="5903" width="0" style="263" hidden="1" customWidth="1"/>
    <col min="5904" max="5905" width="11.7265625" style="263" customWidth="1"/>
    <col min="5906" max="6144" width="9.26953125" style="263"/>
    <col min="6145" max="6145" width="70" style="263" customWidth="1"/>
    <col min="6146" max="6157" width="12.7265625" style="263" customWidth="1"/>
    <col min="6158" max="6158" width="11" style="263" customWidth="1"/>
    <col min="6159" max="6159" width="0" style="263" hidden="1" customWidth="1"/>
    <col min="6160" max="6161" width="11.7265625" style="263" customWidth="1"/>
    <col min="6162" max="6400" width="9.26953125" style="263"/>
    <col min="6401" max="6401" width="70" style="263" customWidth="1"/>
    <col min="6402" max="6413" width="12.7265625" style="263" customWidth="1"/>
    <col min="6414" max="6414" width="11" style="263" customWidth="1"/>
    <col min="6415" max="6415" width="0" style="263" hidden="1" customWidth="1"/>
    <col min="6416" max="6417" width="11.7265625" style="263" customWidth="1"/>
    <col min="6418" max="6656" width="9.26953125" style="263"/>
    <col min="6657" max="6657" width="70" style="263" customWidth="1"/>
    <col min="6658" max="6669" width="12.7265625" style="263" customWidth="1"/>
    <col min="6670" max="6670" width="11" style="263" customWidth="1"/>
    <col min="6671" max="6671" width="0" style="263" hidden="1" customWidth="1"/>
    <col min="6672" max="6673" width="11.7265625" style="263" customWidth="1"/>
    <col min="6674" max="6912" width="9.26953125" style="263"/>
    <col min="6913" max="6913" width="70" style="263" customWidth="1"/>
    <col min="6914" max="6925" width="12.7265625" style="263" customWidth="1"/>
    <col min="6926" max="6926" width="11" style="263" customWidth="1"/>
    <col min="6927" max="6927" width="0" style="263" hidden="1" customWidth="1"/>
    <col min="6928" max="6929" width="11.7265625" style="263" customWidth="1"/>
    <col min="6930" max="7168" width="9.26953125" style="263"/>
    <col min="7169" max="7169" width="70" style="263" customWidth="1"/>
    <col min="7170" max="7181" width="12.7265625" style="263" customWidth="1"/>
    <col min="7182" max="7182" width="11" style="263" customWidth="1"/>
    <col min="7183" max="7183" width="0" style="263" hidden="1" customWidth="1"/>
    <col min="7184" max="7185" width="11.7265625" style="263" customWidth="1"/>
    <col min="7186" max="7424" width="9.26953125" style="263"/>
    <col min="7425" max="7425" width="70" style="263" customWidth="1"/>
    <col min="7426" max="7437" width="12.7265625" style="263" customWidth="1"/>
    <col min="7438" max="7438" width="11" style="263" customWidth="1"/>
    <col min="7439" max="7439" width="0" style="263" hidden="1" customWidth="1"/>
    <col min="7440" max="7441" width="11.7265625" style="263" customWidth="1"/>
    <col min="7442" max="7680" width="9.26953125" style="263"/>
    <col min="7681" max="7681" width="70" style="263" customWidth="1"/>
    <col min="7682" max="7693" width="12.7265625" style="263" customWidth="1"/>
    <col min="7694" max="7694" width="11" style="263" customWidth="1"/>
    <col min="7695" max="7695" width="0" style="263" hidden="1" customWidth="1"/>
    <col min="7696" max="7697" width="11.7265625" style="263" customWidth="1"/>
    <col min="7698" max="7936" width="9.26953125" style="263"/>
    <col min="7937" max="7937" width="70" style="263" customWidth="1"/>
    <col min="7938" max="7949" width="12.7265625" style="263" customWidth="1"/>
    <col min="7950" max="7950" width="11" style="263" customWidth="1"/>
    <col min="7951" max="7951" width="0" style="263" hidden="1" customWidth="1"/>
    <col min="7952" max="7953" width="11.7265625" style="263" customWidth="1"/>
    <col min="7954" max="8192" width="9.26953125" style="263"/>
    <col min="8193" max="8193" width="70" style="263" customWidth="1"/>
    <col min="8194" max="8205" width="12.7265625" style="263" customWidth="1"/>
    <col min="8206" max="8206" width="11" style="263" customWidth="1"/>
    <col min="8207" max="8207" width="0" style="263" hidden="1" customWidth="1"/>
    <col min="8208" max="8209" width="11.7265625" style="263" customWidth="1"/>
    <col min="8210" max="8448" width="9.26953125" style="263"/>
    <col min="8449" max="8449" width="70" style="263" customWidth="1"/>
    <col min="8450" max="8461" width="12.7265625" style="263" customWidth="1"/>
    <col min="8462" max="8462" width="11" style="263" customWidth="1"/>
    <col min="8463" max="8463" width="0" style="263" hidden="1" customWidth="1"/>
    <col min="8464" max="8465" width="11.7265625" style="263" customWidth="1"/>
    <col min="8466" max="8704" width="9.26953125" style="263"/>
    <col min="8705" max="8705" width="70" style="263" customWidth="1"/>
    <col min="8706" max="8717" width="12.7265625" style="263" customWidth="1"/>
    <col min="8718" max="8718" width="11" style="263" customWidth="1"/>
    <col min="8719" max="8719" width="0" style="263" hidden="1" customWidth="1"/>
    <col min="8720" max="8721" width="11.7265625" style="263" customWidth="1"/>
    <col min="8722" max="8960" width="9.26953125" style="263"/>
    <col min="8961" max="8961" width="70" style="263" customWidth="1"/>
    <col min="8962" max="8973" width="12.7265625" style="263" customWidth="1"/>
    <col min="8974" max="8974" width="11" style="263" customWidth="1"/>
    <col min="8975" max="8975" width="0" style="263" hidden="1" customWidth="1"/>
    <col min="8976" max="8977" width="11.7265625" style="263" customWidth="1"/>
    <col min="8978" max="9216" width="9.26953125" style="263"/>
    <col min="9217" max="9217" width="70" style="263" customWidth="1"/>
    <col min="9218" max="9229" width="12.7265625" style="263" customWidth="1"/>
    <col min="9230" max="9230" width="11" style="263" customWidth="1"/>
    <col min="9231" max="9231" width="0" style="263" hidden="1" customWidth="1"/>
    <col min="9232" max="9233" width="11.7265625" style="263" customWidth="1"/>
    <col min="9234" max="9472" width="9.26953125" style="263"/>
    <col min="9473" max="9473" width="70" style="263" customWidth="1"/>
    <col min="9474" max="9485" width="12.7265625" style="263" customWidth="1"/>
    <col min="9486" max="9486" width="11" style="263" customWidth="1"/>
    <col min="9487" max="9487" width="0" style="263" hidden="1" customWidth="1"/>
    <col min="9488" max="9489" width="11.7265625" style="263" customWidth="1"/>
    <col min="9490" max="9728" width="9.26953125" style="263"/>
    <col min="9729" max="9729" width="70" style="263" customWidth="1"/>
    <col min="9730" max="9741" width="12.7265625" style="263" customWidth="1"/>
    <col min="9742" max="9742" width="11" style="263" customWidth="1"/>
    <col min="9743" max="9743" width="0" style="263" hidden="1" customWidth="1"/>
    <col min="9744" max="9745" width="11.7265625" style="263" customWidth="1"/>
    <col min="9746" max="9984" width="9.26953125" style="263"/>
    <col min="9985" max="9985" width="70" style="263" customWidth="1"/>
    <col min="9986" max="9997" width="12.7265625" style="263" customWidth="1"/>
    <col min="9998" max="9998" width="11" style="263" customWidth="1"/>
    <col min="9999" max="9999" width="0" style="263" hidden="1" customWidth="1"/>
    <col min="10000" max="10001" width="11.7265625" style="263" customWidth="1"/>
    <col min="10002" max="10240" width="9.26953125" style="263"/>
    <col min="10241" max="10241" width="70" style="263" customWidth="1"/>
    <col min="10242" max="10253" width="12.7265625" style="263" customWidth="1"/>
    <col min="10254" max="10254" width="11" style="263" customWidth="1"/>
    <col min="10255" max="10255" width="0" style="263" hidden="1" customWidth="1"/>
    <col min="10256" max="10257" width="11.7265625" style="263" customWidth="1"/>
    <col min="10258" max="10496" width="9.26953125" style="263"/>
    <col min="10497" max="10497" width="70" style="263" customWidth="1"/>
    <col min="10498" max="10509" width="12.7265625" style="263" customWidth="1"/>
    <col min="10510" max="10510" width="11" style="263" customWidth="1"/>
    <col min="10511" max="10511" width="0" style="263" hidden="1" customWidth="1"/>
    <col min="10512" max="10513" width="11.7265625" style="263" customWidth="1"/>
    <col min="10514" max="10752" width="9.26953125" style="263"/>
    <col min="10753" max="10753" width="70" style="263" customWidth="1"/>
    <col min="10754" max="10765" width="12.7265625" style="263" customWidth="1"/>
    <col min="10766" max="10766" width="11" style="263" customWidth="1"/>
    <col min="10767" max="10767" width="0" style="263" hidden="1" customWidth="1"/>
    <col min="10768" max="10769" width="11.7265625" style="263" customWidth="1"/>
    <col min="10770" max="11008" width="9.26953125" style="263"/>
    <col min="11009" max="11009" width="70" style="263" customWidth="1"/>
    <col min="11010" max="11021" width="12.7265625" style="263" customWidth="1"/>
    <col min="11022" max="11022" width="11" style="263" customWidth="1"/>
    <col min="11023" max="11023" width="0" style="263" hidden="1" customWidth="1"/>
    <col min="11024" max="11025" width="11.7265625" style="263" customWidth="1"/>
    <col min="11026" max="11264" width="9.26953125" style="263"/>
    <col min="11265" max="11265" width="70" style="263" customWidth="1"/>
    <col min="11266" max="11277" width="12.7265625" style="263" customWidth="1"/>
    <col min="11278" max="11278" width="11" style="263" customWidth="1"/>
    <col min="11279" max="11279" width="0" style="263" hidden="1" customWidth="1"/>
    <col min="11280" max="11281" width="11.7265625" style="263" customWidth="1"/>
    <col min="11282" max="11520" width="9.26953125" style="263"/>
    <col min="11521" max="11521" width="70" style="263" customWidth="1"/>
    <col min="11522" max="11533" width="12.7265625" style="263" customWidth="1"/>
    <col min="11534" max="11534" width="11" style="263" customWidth="1"/>
    <col min="11535" max="11535" width="0" style="263" hidden="1" customWidth="1"/>
    <col min="11536" max="11537" width="11.7265625" style="263" customWidth="1"/>
    <col min="11538" max="11776" width="9.26953125" style="263"/>
    <col min="11777" max="11777" width="70" style="263" customWidth="1"/>
    <col min="11778" max="11789" width="12.7265625" style="263" customWidth="1"/>
    <col min="11790" max="11790" width="11" style="263" customWidth="1"/>
    <col min="11791" max="11791" width="0" style="263" hidden="1" customWidth="1"/>
    <col min="11792" max="11793" width="11.7265625" style="263" customWidth="1"/>
    <col min="11794" max="12032" width="9.26953125" style="263"/>
    <col min="12033" max="12033" width="70" style="263" customWidth="1"/>
    <col min="12034" max="12045" width="12.7265625" style="263" customWidth="1"/>
    <col min="12046" max="12046" width="11" style="263" customWidth="1"/>
    <col min="12047" max="12047" width="0" style="263" hidden="1" customWidth="1"/>
    <col min="12048" max="12049" width="11.7265625" style="263" customWidth="1"/>
    <col min="12050" max="12288" width="9.26953125" style="263"/>
    <col min="12289" max="12289" width="70" style="263" customWidth="1"/>
    <col min="12290" max="12301" width="12.7265625" style="263" customWidth="1"/>
    <col min="12302" max="12302" width="11" style="263" customWidth="1"/>
    <col min="12303" max="12303" width="0" style="263" hidden="1" customWidth="1"/>
    <col min="12304" max="12305" width="11.7265625" style="263" customWidth="1"/>
    <col min="12306" max="12544" width="9.26953125" style="263"/>
    <col min="12545" max="12545" width="70" style="263" customWidth="1"/>
    <col min="12546" max="12557" width="12.7265625" style="263" customWidth="1"/>
    <col min="12558" max="12558" width="11" style="263" customWidth="1"/>
    <col min="12559" max="12559" width="0" style="263" hidden="1" customWidth="1"/>
    <col min="12560" max="12561" width="11.7265625" style="263" customWidth="1"/>
    <col min="12562" max="12800" width="9.26953125" style="263"/>
    <col min="12801" max="12801" width="70" style="263" customWidth="1"/>
    <col min="12802" max="12813" width="12.7265625" style="263" customWidth="1"/>
    <col min="12814" max="12814" width="11" style="263" customWidth="1"/>
    <col min="12815" max="12815" width="0" style="263" hidden="1" customWidth="1"/>
    <col min="12816" max="12817" width="11.7265625" style="263" customWidth="1"/>
    <col min="12818" max="13056" width="9.26953125" style="263"/>
    <col min="13057" max="13057" width="70" style="263" customWidth="1"/>
    <col min="13058" max="13069" width="12.7265625" style="263" customWidth="1"/>
    <col min="13070" max="13070" width="11" style="263" customWidth="1"/>
    <col min="13071" max="13071" width="0" style="263" hidden="1" customWidth="1"/>
    <col min="13072" max="13073" width="11.7265625" style="263" customWidth="1"/>
    <col min="13074" max="13312" width="9.26953125" style="263"/>
    <col min="13313" max="13313" width="70" style="263" customWidth="1"/>
    <col min="13314" max="13325" width="12.7265625" style="263" customWidth="1"/>
    <col min="13326" max="13326" width="11" style="263" customWidth="1"/>
    <col min="13327" max="13327" width="0" style="263" hidden="1" customWidth="1"/>
    <col min="13328" max="13329" width="11.7265625" style="263" customWidth="1"/>
    <col min="13330" max="13568" width="9.26953125" style="263"/>
    <col min="13569" max="13569" width="70" style="263" customWidth="1"/>
    <col min="13570" max="13581" width="12.7265625" style="263" customWidth="1"/>
    <col min="13582" max="13582" width="11" style="263" customWidth="1"/>
    <col min="13583" max="13583" width="0" style="263" hidden="1" customWidth="1"/>
    <col min="13584" max="13585" width="11.7265625" style="263" customWidth="1"/>
    <col min="13586" max="13824" width="9.26953125" style="263"/>
    <col min="13825" max="13825" width="70" style="263" customWidth="1"/>
    <col min="13826" max="13837" width="12.7265625" style="263" customWidth="1"/>
    <col min="13838" max="13838" width="11" style="263" customWidth="1"/>
    <col min="13839" max="13839" width="0" style="263" hidden="1" customWidth="1"/>
    <col min="13840" max="13841" width="11.7265625" style="263" customWidth="1"/>
    <col min="13842" max="14080" width="9.26953125" style="263"/>
    <col min="14081" max="14081" width="70" style="263" customWidth="1"/>
    <col min="14082" max="14093" width="12.7265625" style="263" customWidth="1"/>
    <col min="14094" max="14094" width="11" style="263" customWidth="1"/>
    <col min="14095" max="14095" width="0" style="263" hidden="1" customWidth="1"/>
    <col min="14096" max="14097" width="11.7265625" style="263" customWidth="1"/>
    <col min="14098" max="14336" width="9.26953125" style="263"/>
    <col min="14337" max="14337" width="70" style="263" customWidth="1"/>
    <col min="14338" max="14349" width="12.7265625" style="263" customWidth="1"/>
    <col min="14350" max="14350" width="11" style="263" customWidth="1"/>
    <col min="14351" max="14351" width="0" style="263" hidden="1" customWidth="1"/>
    <col min="14352" max="14353" width="11.7265625" style="263" customWidth="1"/>
    <col min="14354" max="14592" width="9.26953125" style="263"/>
    <col min="14593" max="14593" width="70" style="263" customWidth="1"/>
    <col min="14594" max="14605" width="12.7265625" style="263" customWidth="1"/>
    <col min="14606" max="14606" width="11" style="263" customWidth="1"/>
    <col min="14607" max="14607" width="0" style="263" hidden="1" customWidth="1"/>
    <col min="14608" max="14609" width="11.7265625" style="263" customWidth="1"/>
    <col min="14610" max="14848" width="9.26953125" style="263"/>
    <col min="14849" max="14849" width="70" style="263" customWidth="1"/>
    <col min="14850" max="14861" width="12.7265625" style="263" customWidth="1"/>
    <col min="14862" max="14862" width="11" style="263" customWidth="1"/>
    <col min="14863" max="14863" width="0" style="263" hidden="1" customWidth="1"/>
    <col min="14864" max="14865" width="11.7265625" style="263" customWidth="1"/>
    <col min="14866" max="15104" width="9.26953125" style="263"/>
    <col min="15105" max="15105" width="70" style="263" customWidth="1"/>
    <col min="15106" max="15117" width="12.7265625" style="263" customWidth="1"/>
    <col min="15118" max="15118" width="11" style="263" customWidth="1"/>
    <col min="15119" max="15119" width="0" style="263" hidden="1" customWidth="1"/>
    <col min="15120" max="15121" width="11.7265625" style="263" customWidth="1"/>
    <col min="15122" max="15360" width="9.26953125" style="263"/>
    <col min="15361" max="15361" width="70" style="263" customWidth="1"/>
    <col min="15362" max="15373" width="12.7265625" style="263" customWidth="1"/>
    <col min="15374" max="15374" width="11" style="263" customWidth="1"/>
    <col min="15375" max="15375" width="0" style="263" hidden="1" customWidth="1"/>
    <col min="15376" max="15377" width="11.7265625" style="263" customWidth="1"/>
    <col min="15378" max="15616" width="9.26953125" style="263"/>
    <col min="15617" max="15617" width="70" style="263" customWidth="1"/>
    <col min="15618" max="15629" width="12.7265625" style="263" customWidth="1"/>
    <col min="15630" max="15630" width="11" style="263" customWidth="1"/>
    <col min="15631" max="15631" width="0" style="263" hidden="1" customWidth="1"/>
    <col min="15632" max="15633" width="11.7265625" style="263" customWidth="1"/>
    <col min="15634" max="15872" width="9.26953125" style="263"/>
    <col min="15873" max="15873" width="70" style="263" customWidth="1"/>
    <col min="15874" max="15885" width="12.7265625" style="263" customWidth="1"/>
    <col min="15886" max="15886" width="11" style="263" customWidth="1"/>
    <col min="15887" max="15887" width="0" style="263" hidden="1" customWidth="1"/>
    <col min="15888" max="15889" width="11.7265625" style="263" customWidth="1"/>
    <col min="15890" max="16128" width="9.26953125" style="263"/>
    <col min="16129" max="16129" width="70" style="263" customWidth="1"/>
    <col min="16130" max="16141" width="12.7265625" style="263" customWidth="1"/>
    <col min="16142" max="16142" width="11" style="263" customWidth="1"/>
    <col min="16143" max="16143" width="0" style="263" hidden="1" customWidth="1"/>
    <col min="16144" max="16145" width="11.7265625" style="263" customWidth="1"/>
    <col min="16146" max="16384" width="9.26953125" style="263"/>
  </cols>
  <sheetData>
    <row r="1" spans="1:17" ht="13.5" customHeight="1">
      <c r="L1" s="264"/>
      <c r="O1" s="264"/>
      <c r="P1" s="264"/>
      <c r="Q1" s="264"/>
    </row>
    <row r="2" spans="1:17" ht="13.5" customHeight="1">
      <c r="C2" s="371" t="s">
        <v>39</v>
      </c>
      <c r="L2" s="264"/>
      <c r="O2" s="264"/>
      <c r="P2" s="264"/>
      <c r="Q2" s="264"/>
    </row>
    <row r="3" spans="1:17" ht="13.5" customHeight="1">
      <c r="C3" s="371" t="s">
        <v>123</v>
      </c>
      <c r="F3" s="265"/>
      <c r="G3" s="265"/>
      <c r="H3" s="265"/>
      <c r="I3" s="265"/>
      <c r="L3" s="264"/>
      <c r="O3" s="264"/>
      <c r="P3" s="264"/>
      <c r="Q3" s="264"/>
    </row>
    <row r="4" spans="1:17" ht="13.5" customHeight="1">
      <c r="B4" s="265"/>
      <c r="C4" s="372" t="str">
        <f>'Program MW '!H3</f>
        <v>July 2021</v>
      </c>
      <c r="D4" s="265"/>
      <c r="L4" s="264"/>
      <c r="O4" s="264"/>
      <c r="P4" s="264"/>
      <c r="Q4" s="264"/>
    </row>
    <row r="5" spans="1:17" ht="13.5" customHeight="1">
      <c r="L5" s="264"/>
      <c r="O5" s="264"/>
      <c r="P5" s="264"/>
      <c r="Q5" s="264"/>
    </row>
    <row r="6" spans="1:17" s="277" customFormat="1" ht="13.5" customHeight="1"/>
    <row r="7" spans="1:17" s="277" customFormat="1" ht="18" customHeight="1">
      <c r="A7" s="306"/>
      <c r="B7" s="373" t="s">
        <v>250</v>
      </c>
      <c r="C7" s="306"/>
      <c r="D7" s="306"/>
      <c r="E7" s="306"/>
      <c r="F7" s="306"/>
      <c r="G7" s="306"/>
      <c r="H7" s="306"/>
      <c r="I7" s="306"/>
      <c r="J7" s="306"/>
      <c r="K7" s="306"/>
      <c r="L7" s="306"/>
      <c r="M7" s="306"/>
      <c r="N7" s="749" t="s">
        <v>241</v>
      </c>
      <c r="O7" s="747" t="s">
        <v>243</v>
      </c>
      <c r="P7" s="278"/>
      <c r="Q7" s="749" t="s">
        <v>124</v>
      </c>
    </row>
    <row r="8" spans="1:17" s="277" customFormat="1" ht="39" customHeight="1">
      <c r="A8" s="364"/>
      <c r="B8" s="374" t="s">
        <v>41</v>
      </c>
      <c r="C8" s="375" t="s">
        <v>42</v>
      </c>
      <c r="D8" s="375" t="s">
        <v>43</v>
      </c>
      <c r="E8" s="375" t="s">
        <v>44</v>
      </c>
      <c r="F8" s="375" t="s">
        <v>31</v>
      </c>
      <c r="G8" s="375" t="s">
        <v>45</v>
      </c>
      <c r="H8" s="375" t="s">
        <v>59</v>
      </c>
      <c r="I8" s="375" t="s">
        <v>66</v>
      </c>
      <c r="J8" s="375" t="s">
        <v>67</v>
      </c>
      <c r="K8" s="405" t="s">
        <v>125</v>
      </c>
      <c r="L8" s="375" t="s">
        <v>68</v>
      </c>
      <c r="M8" s="375" t="s">
        <v>62</v>
      </c>
      <c r="N8" s="750"/>
      <c r="O8" s="748"/>
      <c r="P8" s="279" t="s">
        <v>126</v>
      </c>
      <c r="Q8" s="750"/>
    </row>
    <row r="9" spans="1:17" s="277" customFormat="1" ht="15.5">
      <c r="A9" s="380" t="s">
        <v>127</v>
      </c>
      <c r="B9" s="363"/>
      <c r="N9" s="311"/>
      <c r="Q9" s="286"/>
    </row>
    <row r="10" spans="1:17" s="277" customFormat="1" ht="13">
      <c r="A10" s="376" t="s">
        <v>128</v>
      </c>
      <c r="B10" s="363"/>
      <c r="C10" s="363"/>
      <c r="D10" s="363"/>
      <c r="E10" s="363"/>
      <c r="F10" s="363"/>
      <c r="G10" s="363"/>
      <c r="H10" s="363"/>
      <c r="I10" s="363"/>
      <c r="J10" s="363"/>
      <c r="K10" s="363"/>
      <c r="L10" s="363"/>
      <c r="M10" s="363"/>
      <c r="N10" s="311"/>
      <c r="O10" s="362"/>
      <c r="P10" s="281"/>
      <c r="Q10" s="287"/>
    </row>
    <row r="11" spans="1:17" s="277" customFormat="1" ht="13">
      <c r="A11" s="377" t="s">
        <v>129</v>
      </c>
      <c r="B11" s="458">
        <v>11850</v>
      </c>
      <c r="C11" s="458">
        <v>31485.81</v>
      </c>
      <c r="D11" s="458">
        <v>36584.06</v>
      </c>
      <c r="E11" s="458">
        <v>25762.2</v>
      </c>
      <c r="F11" s="458">
        <v>10906.94</v>
      </c>
      <c r="G11" s="647">
        <v>9892.69</v>
      </c>
      <c r="H11" s="458">
        <v>8822.6</v>
      </c>
      <c r="I11" s="458">
        <v>0</v>
      </c>
      <c r="J11" s="458">
        <v>0</v>
      </c>
      <c r="K11" s="458">
        <v>0</v>
      </c>
      <c r="L11" s="458">
        <v>0</v>
      </c>
      <c r="M11" s="458">
        <v>0</v>
      </c>
      <c r="N11" s="549">
        <f t="shared" ref="N11:N22" si="0">SUM(B11:M11)</f>
        <v>135304.29999999999</v>
      </c>
      <c r="O11" s="550">
        <f>707141+443068+428874+N11</f>
        <v>1714387.3</v>
      </c>
      <c r="P11" s="551"/>
      <c r="Q11" s="548">
        <f>848010+857842+857842+250000</f>
        <v>2813694</v>
      </c>
    </row>
    <row r="12" spans="1:17" s="277" customFormat="1" ht="15">
      <c r="A12" s="377" t="s">
        <v>251</v>
      </c>
      <c r="B12" s="458">
        <v>0</v>
      </c>
      <c r="C12" s="458">
        <v>0</v>
      </c>
      <c r="D12" s="458">
        <v>315.39999999999998</v>
      </c>
      <c r="E12" s="458">
        <v>67.830000000000041</v>
      </c>
      <c r="F12" s="458">
        <v>335.75</v>
      </c>
      <c r="G12" s="647">
        <v>1234.9299999999998</v>
      </c>
      <c r="H12" s="458">
        <v>256.71999999999991</v>
      </c>
      <c r="I12" s="458">
        <v>0</v>
      </c>
      <c r="J12" s="458">
        <v>0</v>
      </c>
      <c r="K12" s="458">
        <v>0</v>
      </c>
      <c r="L12" s="458">
        <v>0</v>
      </c>
      <c r="M12" s="458">
        <v>0</v>
      </c>
      <c r="N12" s="545">
        <f t="shared" si="0"/>
        <v>2210.6299999999997</v>
      </c>
      <c r="O12" s="546">
        <f>7808+9482+6823+N12</f>
        <v>26323.63</v>
      </c>
      <c r="P12" s="547"/>
      <c r="Q12" s="548">
        <v>35302</v>
      </c>
    </row>
    <row r="13" spans="1:17" s="277" customFormat="1" ht="13">
      <c r="A13" s="377" t="s">
        <v>130</v>
      </c>
      <c r="B13" s="458">
        <v>0</v>
      </c>
      <c r="C13" s="458">
        <v>0</v>
      </c>
      <c r="D13" s="458">
        <v>0</v>
      </c>
      <c r="E13" s="458">
        <v>0</v>
      </c>
      <c r="F13" s="458">
        <v>0</v>
      </c>
      <c r="G13" s="647">
        <v>0</v>
      </c>
      <c r="H13" s="458">
        <v>0</v>
      </c>
      <c r="I13" s="458">
        <v>0</v>
      </c>
      <c r="J13" s="458">
        <v>0</v>
      </c>
      <c r="K13" s="458">
        <v>0</v>
      </c>
      <c r="L13" s="458">
        <v>0</v>
      </c>
      <c r="M13" s="458">
        <v>0</v>
      </c>
      <c r="N13" s="483">
        <f t="shared" si="0"/>
        <v>0</v>
      </c>
      <c r="O13" s="459">
        <f>0+N13</f>
        <v>0</v>
      </c>
      <c r="P13" s="460"/>
      <c r="Q13" s="461">
        <v>1000</v>
      </c>
    </row>
    <row r="14" spans="1:17" s="277" customFormat="1" ht="13">
      <c r="A14" s="377" t="s">
        <v>252</v>
      </c>
      <c r="B14" s="458">
        <v>0</v>
      </c>
      <c r="C14" s="458">
        <v>0</v>
      </c>
      <c r="D14" s="458">
        <v>627</v>
      </c>
      <c r="E14" s="458">
        <v>139.45000000000005</v>
      </c>
      <c r="F14" s="458">
        <v>671.5</v>
      </c>
      <c r="G14" s="647">
        <v>2469.87</v>
      </c>
      <c r="H14" s="458">
        <v>513.43999999999983</v>
      </c>
      <c r="I14" s="458">
        <v>0</v>
      </c>
      <c r="J14" s="458">
        <v>0</v>
      </c>
      <c r="K14" s="458">
        <v>0</v>
      </c>
      <c r="L14" s="458">
        <v>0</v>
      </c>
      <c r="M14" s="458">
        <v>0</v>
      </c>
      <c r="N14" s="483">
        <f t="shared" si="0"/>
        <v>4421.2599999999993</v>
      </c>
      <c r="O14" s="459">
        <f>4889+16666+13948+N14</f>
        <v>39924.26</v>
      </c>
      <c r="P14" s="460"/>
      <c r="Q14" s="461">
        <v>78149</v>
      </c>
    </row>
    <row r="15" spans="1:17" s="277" customFormat="1" ht="15">
      <c r="A15" s="377" t="s">
        <v>253</v>
      </c>
      <c r="B15" s="458">
        <v>0</v>
      </c>
      <c r="C15" s="458">
        <v>0</v>
      </c>
      <c r="D15" s="458">
        <v>1620.44</v>
      </c>
      <c r="E15" s="458">
        <v>1297.3</v>
      </c>
      <c r="F15" s="458">
        <v>1343</v>
      </c>
      <c r="G15" s="647">
        <v>4939.74</v>
      </c>
      <c r="H15" s="458">
        <v>1026.9199999999996</v>
      </c>
      <c r="I15" s="458">
        <v>0</v>
      </c>
      <c r="J15" s="458">
        <v>0</v>
      </c>
      <c r="K15" s="458">
        <v>0</v>
      </c>
      <c r="L15" s="458">
        <v>0</v>
      </c>
      <c r="M15" s="458">
        <v>0</v>
      </c>
      <c r="N15" s="483">
        <f t="shared" si="0"/>
        <v>10227.4</v>
      </c>
      <c r="O15" s="459">
        <f>49396+43751+41371+N15</f>
        <v>144745.4</v>
      </c>
      <c r="P15" s="460"/>
      <c r="Q15" s="461">
        <f>606299/2</f>
        <v>303149.5</v>
      </c>
    </row>
    <row r="16" spans="1:17" s="277" customFormat="1" ht="13">
      <c r="A16" s="377" t="s">
        <v>254</v>
      </c>
      <c r="B16" s="458">
        <v>0</v>
      </c>
      <c r="C16" s="458">
        <v>0</v>
      </c>
      <c r="D16" s="458">
        <v>3629</v>
      </c>
      <c r="E16" s="458">
        <v>203.19999999999982</v>
      </c>
      <c r="F16" s="458">
        <v>11464.3</v>
      </c>
      <c r="G16" s="647">
        <v>12349.299999999997</v>
      </c>
      <c r="H16" s="458">
        <v>2567.2100000000009</v>
      </c>
      <c r="I16" s="458">
        <v>0</v>
      </c>
      <c r="J16" s="458">
        <v>0</v>
      </c>
      <c r="K16" s="458">
        <v>0</v>
      </c>
      <c r="L16" s="458">
        <v>0</v>
      </c>
      <c r="M16" s="458">
        <v>0</v>
      </c>
      <c r="N16" s="483">
        <f t="shared" si="0"/>
        <v>30213.009999999995</v>
      </c>
      <c r="O16" s="459">
        <f>30843+118853+87496+N16</f>
        <v>267405.01</v>
      </c>
      <c r="P16" s="460"/>
      <c r="Q16" s="461">
        <v>303150</v>
      </c>
    </row>
    <row r="17" spans="1:122" s="277" customFormat="1" ht="13">
      <c r="A17" s="377" t="s">
        <v>255</v>
      </c>
      <c r="B17" s="458">
        <v>0</v>
      </c>
      <c r="C17" s="458">
        <v>0</v>
      </c>
      <c r="D17" s="458">
        <v>5494.8</v>
      </c>
      <c r="E17" s="458">
        <v>253.57999999999993</v>
      </c>
      <c r="F17" s="458">
        <v>6036.25</v>
      </c>
      <c r="G17" s="647">
        <v>18523.940000000002</v>
      </c>
      <c r="H17" s="458">
        <v>3850.8099999999977</v>
      </c>
      <c r="I17" s="458">
        <v>0</v>
      </c>
      <c r="J17" s="458">
        <v>0</v>
      </c>
      <c r="K17" s="458">
        <v>0</v>
      </c>
      <c r="L17" s="458">
        <v>0</v>
      </c>
      <c r="M17" s="458">
        <v>0</v>
      </c>
      <c r="N17" s="483">
        <f t="shared" si="0"/>
        <v>34159.380000000005</v>
      </c>
      <c r="O17" s="459">
        <f>73278+155232+113200+N17</f>
        <v>375869.38</v>
      </c>
      <c r="P17" s="460"/>
      <c r="Q17" s="461">
        <v>643043</v>
      </c>
    </row>
    <row r="18" spans="1:122" s="277" customFormat="1" ht="15">
      <c r="A18" s="378" t="s">
        <v>299</v>
      </c>
      <c r="B18" s="458">
        <v>0</v>
      </c>
      <c r="C18" s="458">
        <v>0</v>
      </c>
      <c r="D18" s="458">
        <v>2827.2</v>
      </c>
      <c r="E18" s="458">
        <v>-144.61999999999989</v>
      </c>
      <c r="F18" s="458">
        <v>2350.25</v>
      </c>
      <c r="G18" s="647">
        <v>8644.51</v>
      </c>
      <c r="H18" s="458">
        <v>2797.0399999999991</v>
      </c>
      <c r="I18" s="458">
        <v>0</v>
      </c>
      <c r="J18" s="458">
        <v>0</v>
      </c>
      <c r="K18" s="458">
        <v>0</v>
      </c>
      <c r="L18" s="458">
        <v>0</v>
      </c>
      <c r="M18" s="458">
        <v>0</v>
      </c>
      <c r="N18" s="483">
        <f t="shared" si="0"/>
        <v>16474.379999999997</v>
      </c>
      <c r="O18" s="459">
        <f>21091+92048+63087+N18</f>
        <v>192700.38</v>
      </c>
      <c r="P18" s="460"/>
      <c r="Q18" s="461">
        <v>383701</v>
      </c>
    </row>
    <row r="19" spans="1:122" s="277" customFormat="1" ht="13">
      <c r="A19" s="378" t="s">
        <v>101</v>
      </c>
      <c r="B19" s="458">
        <v>1375</v>
      </c>
      <c r="C19" s="458">
        <v>0</v>
      </c>
      <c r="D19" s="458">
        <v>9270.880000000001</v>
      </c>
      <c r="E19" s="458">
        <v>543.64999999999964</v>
      </c>
      <c r="F19" s="458">
        <v>8729.5</v>
      </c>
      <c r="G19" s="647">
        <v>32108.180000000004</v>
      </c>
      <c r="H19" s="458">
        <v>7154.8099999999986</v>
      </c>
      <c r="I19" s="458">
        <v>0</v>
      </c>
      <c r="J19" s="458">
        <v>0</v>
      </c>
      <c r="K19" s="458">
        <v>0</v>
      </c>
      <c r="L19" s="458">
        <v>0</v>
      </c>
      <c r="M19" s="458">
        <v>0</v>
      </c>
      <c r="N19" s="483">
        <f t="shared" si="0"/>
        <v>59182.020000000004</v>
      </c>
      <c r="O19" s="459">
        <f>107379+332446+264713+N19</f>
        <v>763720.02</v>
      </c>
      <c r="P19" s="460"/>
      <c r="Q19" s="461">
        <v>1102357</v>
      </c>
    </row>
    <row r="20" spans="1:122" s="277" customFormat="1" ht="15">
      <c r="A20" s="378" t="s">
        <v>300</v>
      </c>
      <c r="B20" s="458">
        <v>1375</v>
      </c>
      <c r="C20" s="458">
        <v>0</v>
      </c>
      <c r="D20" s="458">
        <v>16627.38</v>
      </c>
      <c r="E20" s="458">
        <v>-719.32000000000153</v>
      </c>
      <c r="F20" s="458">
        <v>12519</v>
      </c>
      <c r="G20" s="647">
        <v>50522.579999999994</v>
      </c>
      <c r="H20" s="458">
        <v>9465.32</v>
      </c>
      <c r="I20" s="458">
        <v>0</v>
      </c>
      <c r="J20" s="458">
        <v>0</v>
      </c>
      <c r="K20" s="458">
        <v>0</v>
      </c>
      <c r="L20" s="458">
        <v>0</v>
      </c>
      <c r="M20" s="458">
        <v>0</v>
      </c>
      <c r="N20" s="483">
        <f t="shared" si="0"/>
        <v>89789.959999999992</v>
      </c>
      <c r="O20" s="459">
        <f>210842+454257+423019+N20</f>
        <v>1177907.96</v>
      </c>
      <c r="P20" s="460"/>
      <c r="Q20" s="461">
        <v>1653537</v>
      </c>
    </row>
    <row r="21" spans="1:122" s="277" customFormat="1" ht="13">
      <c r="A21" s="378" t="s">
        <v>131</v>
      </c>
      <c r="B21" s="458">
        <v>0</v>
      </c>
      <c r="C21" s="458">
        <v>0</v>
      </c>
      <c r="D21" s="458">
        <v>0</v>
      </c>
      <c r="E21" s="458">
        <v>0</v>
      </c>
      <c r="F21" s="458">
        <v>0</v>
      </c>
      <c r="G21" s="458">
        <v>0</v>
      </c>
      <c r="H21" s="458">
        <v>0</v>
      </c>
      <c r="I21" s="458">
        <v>0</v>
      </c>
      <c r="J21" s="458">
        <v>0</v>
      </c>
      <c r="K21" s="458">
        <v>0</v>
      </c>
      <c r="L21" s="458">
        <v>0</v>
      </c>
      <c r="M21" s="458">
        <v>0</v>
      </c>
      <c r="N21" s="483">
        <f t="shared" si="0"/>
        <v>0</v>
      </c>
      <c r="O21" s="459">
        <f>2328+N21</f>
        <v>2328</v>
      </c>
      <c r="P21" s="460"/>
      <c r="Q21" s="461">
        <v>0</v>
      </c>
    </row>
    <row r="22" spans="1:122" s="277" customFormat="1" ht="13">
      <c r="A22" s="379" t="s">
        <v>132</v>
      </c>
      <c r="B22" s="458">
        <v>0</v>
      </c>
      <c r="C22" s="458">
        <v>0</v>
      </c>
      <c r="D22" s="458">
        <v>0</v>
      </c>
      <c r="E22" s="458">
        <v>0</v>
      </c>
      <c r="F22" s="458">
        <v>0</v>
      </c>
      <c r="G22" s="458">
        <v>0</v>
      </c>
      <c r="H22" s="458">
        <v>0</v>
      </c>
      <c r="I22" s="458">
        <v>0</v>
      </c>
      <c r="J22" s="458">
        <v>0</v>
      </c>
      <c r="K22" s="458">
        <v>0</v>
      </c>
      <c r="L22" s="458">
        <v>0</v>
      </c>
      <c r="M22" s="458">
        <v>0</v>
      </c>
      <c r="N22" s="483">
        <f t="shared" si="0"/>
        <v>0</v>
      </c>
      <c r="O22" s="459">
        <f>530+N22</f>
        <v>530</v>
      </c>
      <c r="P22" s="460"/>
      <c r="Q22" s="461">
        <v>50000</v>
      </c>
    </row>
    <row r="23" spans="1:122" s="282" customFormat="1" ht="15.5">
      <c r="A23" s="381" t="s">
        <v>133</v>
      </c>
      <c r="B23" s="462">
        <f t="shared" ref="B23:M23" si="1">SUM(B11:B22)</f>
        <v>14600</v>
      </c>
      <c r="C23" s="462">
        <f t="shared" si="1"/>
        <v>31485.81</v>
      </c>
      <c r="D23" s="462">
        <f t="shared" si="1"/>
        <v>76996.160000000003</v>
      </c>
      <c r="E23" s="462">
        <f t="shared" si="1"/>
        <v>27403.270000000004</v>
      </c>
      <c r="F23" s="462">
        <f t="shared" si="1"/>
        <v>54356.49</v>
      </c>
      <c r="G23" s="462">
        <f t="shared" si="1"/>
        <v>140685.74</v>
      </c>
      <c r="H23" s="462">
        <f>SUM(H11:H22)</f>
        <v>36454.869999999995</v>
      </c>
      <c r="I23" s="462">
        <f t="shared" si="1"/>
        <v>0</v>
      </c>
      <c r="J23" s="462">
        <f t="shared" si="1"/>
        <v>0</v>
      </c>
      <c r="K23" s="462">
        <f t="shared" si="1"/>
        <v>0</v>
      </c>
      <c r="L23" s="462">
        <f t="shared" si="1"/>
        <v>0</v>
      </c>
      <c r="M23" s="462">
        <f t="shared" si="1"/>
        <v>0</v>
      </c>
      <c r="N23" s="542">
        <f>SUM(N11:N22)</f>
        <v>381982.33999999997</v>
      </c>
      <c r="O23" s="463">
        <f>SUM(O11:O22)</f>
        <v>4705841.34</v>
      </c>
      <c r="P23" s="464"/>
      <c r="Q23" s="463">
        <f>SUM(Q11:Q22)</f>
        <v>7367082.5</v>
      </c>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row>
    <row r="24" spans="1:122" s="277" customFormat="1" ht="13">
      <c r="A24" s="288"/>
      <c r="B24" s="465"/>
      <c r="C24" s="466"/>
      <c r="D24" s="466"/>
      <c r="E24" s="466"/>
      <c r="F24" s="466"/>
      <c r="G24" s="466"/>
      <c r="H24" s="466"/>
      <c r="I24" s="466"/>
      <c r="J24" s="466"/>
      <c r="K24" s="466"/>
      <c r="L24" s="466"/>
      <c r="M24" s="466"/>
      <c r="N24" s="466"/>
      <c r="O24" s="466"/>
      <c r="P24" s="466"/>
      <c r="Q24" s="467"/>
    </row>
    <row r="25" spans="1:122" s="277" customFormat="1" ht="15.5">
      <c r="A25" s="382" t="s">
        <v>134</v>
      </c>
      <c r="B25" s="465"/>
      <c r="C25" s="468"/>
      <c r="D25" s="468"/>
      <c r="E25" s="468"/>
      <c r="F25" s="468"/>
      <c r="G25" s="468"/>
      <c r="H25" s="468"/>
      <c r="I25" s="468"/>
      <c r="J25" s="468"/>
      <c r="K25" s="468"/>
      <c r="L25" s="468"/>
      <c r="M25" s="468"/>
      <c r="N25" s="469"/>
      <c r="O25" s="468"/>
      <c r="P25" s="466"/>
      <c r="Q25" s="470"/>
    </row>
    <row r="26" spans="1:122" s="277" customFormat="1" ht="13">
      <c r="A26" s="378" t="s">
        <v>135</v>
      </c>
      <c r="B26" s="471">
        <v>0</v>
      </c>
      <c r="C26" s="471">
        <v>0</v>
      </c>
      <c r="D26" s="471">
        <v>0</v>
      </c>
      <c r="E26" s="471">
        <v>0</v>
      </c>
      <c r="F26" s="471">
        <v>0</v>
      </c>
      <c r="G26" s="471">
        <v>0</v>
      </c>
      <c r="H26" s="471">
        <v>0</v>
      </c>
      <c r="I26" s="471">
        <v>0</v>
      </c>
      <c r="J26" s="471">
        <v>0</v>
      </c>
      <c r="K26" s="471">
        <v>0</v>
      </c>
      <c r="L26" s="471">
        <v>0</v>
      </c>
      <c r="M26" s="471">
        <v>0</v>
      </c>
      <c r="N26" s="543">
        <f t="shared" ref="N26:N30" si="2">SUM(B26:M26)</f>
        <v>0</v>
      </c>
      <c r="O26" s="472">
        <f>0+N26</f>
        <v>0</v>
      </c>
      <c r="P26" s="466"/>
      <c r="Q26" s="467"/>
    </row>
    <row r="27" spans="1:122" s="277" customFormat="1" ht="13">
      <c r="A27" s="377" t="s">
        <v>256</v>
      </c>
      <c r="B27" s="473">
        <v>0.49</v>
      </c>
      <c r="C27" s="473">
        <v>0</v>
      </c>
      <c r="D27" s="473">
        <v>66.239999999999995</v>
      </c>
      <c r="E27" s="473">
        <v>0</v>
      </c>
      <c r="F27" s="473">
        <v>2957</v>
      </c>
      <c r="G27" s="473">
        <v>0</v>
      </c>
      <c r="H27" s="473">
        <v>0</v>
      </c>
      <c r="I27" s="473">
        <v>0</v>
      </c>
      <c r="J27" s="473">
        <v>0</v>
      </c>
      <c r="K27" s="473">
        <v>0</v>
      </c>
      <c r="L27" s="473">
        <v>0</v>
      </c>
      <c r="M27" s="473">
        <v>0</v>
      </c>
      <c r="N27" s="544">
        <f t="shared" si="2"/>
        <v>3023.73</v>
      </c>
      <c r="O27" s="459">
        <f>79348+33670+134507+N27</f>
        <v>250548.73</v>
      </c>
      <c r="P27" s="466"/>
      <c r="Q27" s="467"/>
    </row>
    <row r="28" spans="1:122" s="277" customFormat="1" ht="15">
      <c r="A28" s="377" t="s">
        <v>302</v>
      </c>
      <c r="B28" s="473">
        <v>18233.669999999998</v>
      </c>
      <c r="C28" s="473">
        <v>17764.310000000005</v>
      </c>
      <c r="D28" s="473">
        <v>17228.580000000005</v>
      </c>
      <c r="E28" s="473">
        <v>11049.689999999997</v>
      </c>
      <c r="F28" s="473">
        <v>-154.67000000000371</v>
      </c>
      <c r="G28" s="473">
        <v>7055.180000000003</v>
      </c>
      <c r="H28" s="473">
        <v>6822.5999999999976</v>
      </c>
      <c r="I28" s="473">
        <v>0</v>
      </c>
      <c r="J28" s="473">
        <v>0</v>
      </c>
      <c r="K28" s="473">
        <v>0</v>
      </c>
      <c r="L28" s="473">
        <v>0</v>
      </c>
      <c r="M28" s="473">
        <v>0</v>
      </c>
      <c r="N28" s="544">
        <f t="shared" si="2"/>
        <v>77999.360000000001</v>
      </c>
      <c r="O28" s="459">
        <f>426330+346126+260890+N28</f>
        <v>1111345.3600000001</v>
      </c>
      <c r="P28" s="466"/>
      <c r="Q28" s="467"/>
    </row>
    <row r="29" spans="1:122" s="277" customFormat="1" ht="15">
      <c r="A29" s="377" t="s">
        <v>257</v>
      </c>
      <c r="B29" s="473">
        <v>2750</v>
      </c>
      <c r="C29" s="473">
        <v>0</v>
      </c>
      <c r="D29" s="473">
        <v>40201.350000000006</v>
      </c>
      <c r="E29" s="473">
        <v>1641.0499999999979</v>
      </c>
      <c r="F29" s="473">
        <v>40492.300000000003</v>
      </c>
      <c r="G29" s="473">
        <v>130793</v>
      </c>
      <c r="H29" s="473">
        <v>26672.05</v>
      </c>
      <c r="I29" s="473">
        <v>0</v>
      </c>
      <c r="J29" s="473">
        <v>0</v>
      </c>
      <c r="K29" s="473">
        <v>0</v>
      </c>
      <c r="L29" s="473">
        <v>0</v>
      </c>
      <c r="M29" s="473">
        <v>0</v>
      </c>
      <c r="N29" s="544">
        <f t="shared" si="2"/>
        <v>242549.75</v>
      </c>
      <c r="O29" s="459">
        <f>377868+1193884+886571+N29</f>
        <v>2700872.75</v>
      </c>
      <c r="P29" s="466"/>
      <c r="Q29" s="467"/>
    </row>
    <row r="30" spans="1:122" s="277" customFormat="1" ht="15">
      <c r="A30" s="377" t="s">
        <v>258</v>
      </c>
      <c r="B30" s="630">
        <v>-6384</v>
      </c>
      <c r="C30" s="474">
        <v>13721.5</v>
      </c>
      <c r="D30" s="474">
        <v>19500</v>
      </c>
      <c r="E30" s="474">
        <v>14712.5</v>
      </c>
      <c r="F30" s="474">
        <v>11061.6</v>
      </c>
      <c r="G30" s="474">
        <v>2837.5</v>
      </c>
      <c r="H30" s="474">
        <v>2960.14</v>
      </c>
      <c r="I30" s="474">
        <v>0</v>
      </c>
      <c r="J30" s="474">
        <v>0</v>
      </c>
      <c r="K30" s="474">
        <v>0</v>
      </c>
      <c r="L30" s="474">
        <v>0</v>
      </c>
      <c r="M30" s="474">
        <v>0</v>
      </c>
      <c r="N30" s="544">
        <f t="shared" si="2"/>
        <v>58409.24</v>
      </c>
      <c r="O30" s="475">
        <f>331980+92124+160561+N30</f>
        <v>643074.24</v>
      </c>
      <c r="P30" s="466"/>
      <c r="Q30" s="467"/>
    </row>
    <row r="31" spans="1:122" s="277" customFormat="1" ht="15.5">
      <c r="A31" s="381" t="s">
        <v>136</v>
      </c>
      <c r="B31" s="476">
        <f>SUM(B26:B30)</f>
        <v>14600.16</v>
      </c>
      <c r="C31" s="477">
        <f t="shared" ref="C31:M31" si="3">SUM(C26:C30)</f>
        <v>31485.810000000005</v>
      </c>
      <c r="D31" s="477">
        <f t="shared" si="3"/>
        <v>76996.170000000013</v>
      </c>
      <c r="E31" s="477">
        <f t="shared" si="3"/>
        <v>27403.239999999994</v>
      </c>
      <c r="F31" s="477">
        <f t="shared" si="3"/>
        <v>54356.229999999996</v>
      </c>
      <c r="G31" s="477">
        <f t="shared" si="3"/>
        <v>140685.68</v>
      </c>
      <c r="H31" s="477">
        <f t="shared" si="3"/>
        <v>36454.789999999994</v>
      </c>
      <c r="I31" s="477">
        <f t="shared" si="3"/>
        <v>0</v>
      </c>
      <c r="J31" s="477">
        <f t="shared" si="3"/>
        <v>0</v>
      </c>
      <c r="K31" s="477">
        <f t="shared" si="3"/>
        <v>0</v>
      </c>
      <c r="L31" s="477">
        <f t="shared" si="3"/>
        <v>0</v>
      </c>
      <c r="M31" s="477">
        <f t="shared" si="3"/>
        <v>0</v>
      </c>
      <c r="N31" s="542">
        <f>SUM(N26:N30)</f>
        <v>381982.07999999996</v>
      </c>
      <c r="O31" s="477">
        <f>SUM(O26:O30)</f>
        <v>4705841.08</v>
      </c>
      <c r="P31" s="464"/>
      <c r="Q31" s="478"/>
    </row>
    <row r="32" spans="1:122" s="277" customFormat="1" ht="13">
      <c r="A32" s="289"/>
      <c r="B32" s="479"/>
      <c r="C32" s="480"/>
      <c r="D32" s="480"/>
      <c r="E32" s="480"/>
      <c r="F32" s="480"/>
      <c r="G32" s="480"/>
      <c r="H32" s="480"/>
      <c r="I32" s="480"/>
      <c r="J32" s="480"/>
      <c r="K32" s="480"/>
      <c r="L32" s="480"/>
      <c r="M32" s="480"/>
      <c r="N32" s="480"/>
      <c r="O32" s="480"/>
      <c r="P32" s="481"/>
      <c r="Q32" s="482"/>
    </row>
    <row r="33" spans="1:17" s="277" customFormat="1" ht="15.5">
      <c r="A33" s="382" t="s">
        <v>137</v>
      </c>
      <c r="B33" s="465"/>
      <c r="C33" s="468"/>
      <c r="D33" s="468"/>
      <c r="E33" s="468"/>
      <c r="F33" s="468"/>
      <c r="G33" s="468"/>
      <c r="H33" s="468"/>
      <c r="I33" s="468"/>
      <c r="J33" s="468"/>
      <c r="K33" s="468"/>
      <c r="L33" s="468"/>
      <c r="M33" s="468"/>
      <c r="N33" s="469"/>
      <c r="O33" s="469"/>
      <c r="P33" s="466"/>
      <c r="Q33" s="470"/>
    </row>
    <row r="34" spans="1:17" s="277" customFormat="1" ht="15">
      <c r="A34" s="377" t="s">
        <v>138</v>
      </c>
      <c r="B34" s="471">
        <v>0</v>
      </c>
      <c r="C34" s="471">
        <v>0</v>
      </c>
      <c r="D34" s="471">
        <v>0</v>
      </c>
      <c r="E34" s="471">
        <v>0</v>
      </c>
      <c r="F34" s="471">
        <v>0</v>
      </c>
      <c r="G34" s="471">
        <v>0</v>
      </c>
      <c r="H34" s="471">
        <v>0</v>
      </c>
      <c r="I34" s="471">
        <v>0</v>
      </c>
      <c r="J34" s="471">
        <v>0</v>
      </c>
      <c r="K34" s="471">
        <v>0</v>
      </c>
      <c r="L34" s="471">
        <v>0</v>
      </c>
      <c r="M34" s="471">
        <v>0</v>
      </c>
      <c r="N34" s="543">
        <f t="shared" ref="N34:N37" si="4">SUM(B34:M34)</f>
        <v>0</v>
      </c>
      <c r="O34" s="472">
        <f>0+N34</f>
        <v>0</v>
      </c>
      <c r="P34" s="466"/>
      <c r="Q34" s="467"/>
    </row>
    <row r="35" spans="1:17" s="277" customFormat="1" ht="13">
      <c r="A35" s="378" t="s">
        <v>139</v>
      </c>
      <c r="B35" s="473">
        <v>1375</v>
      </c>
      <c r="C35" s="473">
        <v>0</v>
      </c>
      <c r="D35" s="473">
        <v>13223.7</v>
      </c>
      <c r="E35" s="473">
        <v>1115.5099999999998</v>
      </c>
      <c r="F35" s="473">
        <v>12087</v>
      </c>
      <c r="G35" s="473">
        <v>44457.490000000005</v>
      </c>
      <c r="H35" s="473">
        <v>10722.029999999997</v>
      </c>
      <c r="I35" s="473">
        <v>0</v>
      </c>
      <c r="J35" s="473">
        <v>0</v>
      </c>
      <c r="K35" s="473">
        <v>0</v>
      </c>
      <c r="L35" s="473">
        <v>0</v>
      </c>
      <c r="M35" s="473">
        <v>0</v>
      </c>
      <c r="N35" s="544">
        <f t="shared" si="4"/>
        <v>82980.73000000001</v>
      </c>
      <c r="O35" s="459">
        <f>344661+585375+472450+N35</f>
        <v>1485466.73</v>
      </c>
      <c r="P35" s="466"/>
      <c r="Q35" s="467"/>
    </row>
    <row r="36" spans="1:17" s="277" customFormat="1" ht="14.25" customHeight="1">
      <c r="A36" s="377" t="s">
        <v>140</v>
      </c>
      <c r="B36" s="473">
        <v>3942.05</v>
      </c>
      <c r="C36" s="473">
        <v>9833.75</v>
      </c>
      <c r="D36" s="473">
        <v>23203.510000000002</v>
      </c>
      <c r="E36" s="473">
        <v>12722.3</v>
      </c>
      <c r="F36" s="473">
        <v>21936.25</v>
      </c>
      <c r="G36" s="473">
        <v>32695.199999999997</v>
      </c>
      <c r="H36" s="473">
        <v>10561.84</v>
      </c>
      <c r="I36" s="473">
        <v>0</v>
      </c>
      <c r="J36" s="473">
        <v>0</v>
      </c>
      <c r="K36" s="473">
        <v>0</v>
      </c>
      <c r="L36" s="473">
        <v>0</v>
      </c>
      <c r="M36" s="473">
        <v>0</v>
      </c>
      <c r="N36" s="544">
        <f t="shared" si="4"/>
        <v>114894.9</v>
      </c>
      <c r="O36" s="459">
        <f>314336+384698+349337+N36</f>
        <v>1163265.8999999999</v>
      </c>
      <c r="P36" s="466"/>
      <c r="Q36" s="467"/>
    </row>
    <row r="37" spans="1:17" s="277" customFormat="1" ht="13">
      <c r="A37" s="377" t="s">
        <v>141</v>
      </c>
      <c r="B37" s="474">
        <v>9283.14</v>
      </c>
      <c r="C37" s="474">
        <v>21652.060000000005</v>
      </c>
      <c r="D37" s="474">
        <v>40568.949999999997</v>
      </c>
      <c r="E37" s="474">
        <v>13565.46</v>
      </c>
      <c r="F37" s="474">
        <v>20333</v>
      </c>
      <c r="G37" s="474">
        <v>63533.05</v>
      </c>
      <c r="H37" s="474">
        <v>15170.999999999998</v>
      </c>
      <c r="I37" s="474">
        <v>0</v>
      </c>
      <c r="J37" s="474">
        <v>0</v>
      </c>
      <c r="K37" s="474">
        <v>0</v>
      </c>
      <c r="L37" s="474">
        <v>0</v>
      </c>
      <c r="M37" s="474">
        <v>0</v>
      </c>
      <c r="N37" s="544">
        <f t="shared" si="4"/>
        <v>184106.65999999997</v>
      </c>
      <c r="O37" s="475">
        <f>556529+695730+620743+N37</f>
        <v>2057108.66</v>
      </c>
      <c r="P37" s="466"/>
      <c r="Q37" s="467"/>
    </row>
    <row r="38" spans="1:17" s="277" customFormat="1" ht="15.5">
      <c r="A38" s="381" t="s">
        <v>142</v>
      </c>
      <c r="B38" s="476">
        <f t="shared" ref="B38:M38" si="5">SUM(B34:B37)</f>
        <v>14600.189999999999</v>
      </c>
      <c r="C38" s="477">
        <f t="shared" si="5"/>
        <v>31485.810000000005</v>
      </c>
      <c r="D38" s="477">
        <f>SUM(D34:D37)</f>
        <v>76996.160000000003</v>
      </c>
      <c r="E38" s="477">
        <f t="shared" si="5"/>
        <v>27403.269999999997</v>
      </c>
      <c r="F38" s="477">
        <f t="shared" si="5"/>
        <v>54356.25</v>
      </c>
      <c r="G38" s="477">
        <f>SUM(G34:G37)</f>
        <v>140685.74</v>
      </c>
      <c r="H38" s="477">
        <f t="shared" si="5"/>
        <v>36454.869999999995</v>
      </c>
      <c r="I38" s="477">
        <f t="shared" si="5"/>
        <v>0</v>
      </c>
      <c r="J38" s="477">
        <f t="shared" si="5"/>
        <v>0</v>
      </c>
      <c r="K38" s="477">
        <f t="shared" si="5"/>
        <v>0</v>
      </c>
      <c r="L38" s="477">
        <f t="shared" si="5"/>
        <v>0</v>
      </c>
      <c r="M38" s="477">
        <f t="shared" si="5"/>
        <v>0</v>
      </c>
      <c r="N38" s="542">
        <f>SUM(N34:N37)</f>
        <v>381982.29</v>
      </c>
      <c r="O38" s="462">
        <f>SUM(O34:O37)</f>
        <v>4705841.29</v>
      </c>
      <c r="P38" s="464">
        <f>SUM(P34:P37)</f>
        <v>0</v>
      </c>
      <c r="Q38" s="478"/>
    </row>
    <row r="39" spans="1:17" s="277" customFormat="1" ht="13">
      <c r="B39" s="280"/>
      <c r="C39" s="280"/>
      <c r="D39" s="280"/>
      <c r="E39" s="280"/>
      <c r="F39" s="280"/>
      <c r="G39" s="280"/>
      <c r="H39" s="280"/>
      <c r="I39" s="280"/>
      <c r="J39" s="280"/>
      <c r="K39" s="280"/>
      <c r="L39" s="280"/>
      <c r="M39" s="280"/>
      <c r="O39" s="280"/>
      <c r="P39" s="280"/>
      <c r="Q39" s="280"/>
    </row>
    <row r="40" spans="1:17" s="277" customFormat="1" ht="14">
      <c r="A40" s="441" t="s">
        <v>63</v>
      </c>
      <c r="B40" s="284"/>
      <c r="C40" s="284"/>
      <c r="D40" s="284"/>
      <c r="E40" s="284"/>
      <c r="F40" s="284"/>
      <c r="G40" s="284"/>
      <c r="H40" s="284"/>
      <c r="I40" s="284"/>
      <c r="J40" s="284"/>
      <c r="K40" s="284"/>
      <c r="L40" s="284"/>
      <c r="M40" s="284"/>
      <c r="N40" s="283"/>
      <c r="O40" s="552"/>
      <c r="P40" s="284"/>
      <c r="Q40" s="284"/>
    </row>
    <row r="41" spans="1:17" s="514" customFormat="1" ht="16.5">
      <c r="A41" s="312" t="s">
        <v>275</v>
      </c>
      <c r="D41" s="515"/>
      <c r="E41" s="516"/>
      <c r="F41" s="515"/>
      <c r="N41" s="513"/>
    </row>
    <row r="42" spans="1:17" ht="16.5">
      <c r="A42" s="312" t="s">
        <v>278</v>
      </c>
      <c r="D42" s="261"/>
      <c r="E42" s="210"/>
      <c r="F42" s="261"/>
      <c r="N42" s="312"/>
    </row>
    <row r="43" spans="1:17" ht="16">
      <c r="A43" s="312" t="s">
        <v>307</v>
      </c>
      <c r="D43" s="261"/>
      <c r="E43" s="210"/>
      <c r="F43" s="261"/>
      <c r="N43" s="312"/>
    </row>
    <row r="44" spans="1:17" ht="16.5">
      <c r="A44" s="312" t="s">
        <v>308</v>
      </c>
      <c r="D44" s="261"/>
      <c r="E44" s="210"/>
      <c r="F44" s="261"/>
      <c r="N44" s="323"/>
    </row>
    <row r="45" spans="1:17" ht="14">
      <c r="A45" s="235" t="s">
        <v>64</v>
      </c>
      <c r="E45" s="266"/>
      <c r="F45" s="261"/>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60"/>
  <sheetViews>
    <sheetView showGridLines="0" zoomScale="120" zoomScaleNormal="120" zoomScaleSheetLayoutView="80" workbookViewId="0">
      <pane xSplit="1" ySplit="9" topLeftCell="G25" activePane="bottomRight" state="frozen"/>
      <selection activeCell="B55" sqref="B55"/>
      <selection pane="topRight" activeCell="B55" sqref="B55"/>
      <selection pane="bottomLeft" activeCell="B55" sqref="B55"/>
      <selection pane="bottomRight" activeCell="J40" sqref="J40"/>
    </sheetView>
  </sheetViews>
  <sheetFormatPr defaultColWidth="9.26953125" defaultRowHeight="12.5"/>
  <cols>
    <col min="1" max="1" width="95.26953125" style="130" customWidth="1"/>
    <col min="2" max="2" width="13" style="130" customWidth="1"/>
    <col min="3" max="3" width="11.453125" style="130" customWidth="1"/>
    <col min="4" max="4" width="15.54296875" style="130" customWidth="1"/>
    <col min="5" max="5" width="12" style="130" customWidth="1"/>
    <col min="6" max="6" width="11.26953125" style="130" bestFit="1" customWidth="1"/>
    <col min="7" max="7" width="12.7265625" style="130" customWidth="1"/>
    <col min="8" max="8" width="11.7265625" style="130" bestFit="1" customWidth="1"/>
    <col min="9" max="9" width="11.7265625" style="130" customWidth="1"/>
    <col min="10" max="10" width="12" style="130" customWidth="1"/>
    <col min="11" max="11" width="10.7265625" style="130" customWidth="1"/>
    <col min="12" max="13" width="11.7265625" style="130" customWidth="1"/>
    <col min="14" max="14" width="24.1796875" style="130" bestFit="1" customWidth="1"/>
    <col min="15" max="15" width="16" style="517" customWidth="1"/>
    <col min="16" max="16" width="17.26953125" style="130" customWidth="1"/>
    <col min="17" max="17" width="14.7265625" style="130" customWidth="1"/>
    <col min="18" max="18" width="13.453125" style="130" bestFit="1" customWidth="1"/>
    <col min="19" max="19" width="19.54296875" style="130" bestFit="1" customWidth="1"/>
    <col min="20" max="20" width="9.26953125" style="130"/>
    <col min="21" max="21" width="8.54296875" style="130" bestFit="1" customWidth="1"/>
    <col min="22" max="22" width="12.54296875" style="130" customWidth="1"/>
    <col min="23" max="16384" width="9.26953125" style="130"/>
  </cols>
  <sheetData>
    <row r="2" spans="1:22" ht="13">
      <c r="A2" s="129"/>
      <c r="G2" s="148" t="s">
        <v>143</v>
      </c>
    </row>
    <row r="3" spans="1:22" ht="13">
      <c r="A3" s="129"/>
      <c r="G3" s="148" t="s">
        <v>144</v>
      </c>
    </row>
    <row r="4" spans="1:22" ht="13">
      <c r="A4" s="129"/>
      <c r="F4" s="197"/>
      <c r="G4" s="198" t="str">
        <f>'Program MW '!H3</f>
        <v>July 2021</v>
      </c>
      <c r="H4" s="197"/>
      <c r="I4" s="197"/>
      <c r="N4" s="677"/>
    </row>
    <row r="5" spans="1:22" ht="13">
      <c r="A5" s="129"/>
      <c r="B5" s="650"/>
      <c r="C5" s="650"/>
      <c r="D5" s="650"/>
      <c r="E5" s="650"/>
      <c r="F5" s="650"/>
      <c r="G5" s="650"/>
      <c r="H5" s="650"/>
      <c r="I5" s="650"/>
      <c r="J5" s="650"/>
      <c r="K5" s="650"/>
      <c r="L5" s="650"/>
      <c r="M5" s="650"/>
      <c r="N5" s="650"/>
    </row>
    <row r="6" spans="1:22" ht="13" thickBot="1">
      <c r="B6" s="650"/>
      <c r="C6" s="650"/>
      <c r="D6" s="650"/>
      <c r="E6" s="652"/>
      <c r="F6" s="652"/>
      <c r="G6" s="650"/>
      <c r="H6" s="650"/>
      <c r="I6" s="650"/>
      <c r="J6" s="650"/>
      <c r="K6" s="650"/>
      <c r="L6" s="650"/>
      <c r="M6" s="650"/>
      <c r="N6" s="650"/>
    </row>
    <row r="7" spans="1:22" ht="13">
      <c r="A7" s="296"/>
      <c r="B7" s="131"/>
      <c r="C7" s="131"/>
      <c r="D7" s="131"/>
      <c r="E7" s="653"/>
      <c r="F7" s="653"/>
      <c r="G7" s="131"/>
      <c r="H7" s="131"/>
      <c r="I7" s="131"/>
      <c r="J7" s="131"/>
      <c r="K7" s="131"/>
      <c r="L7" s="131"/>
      <c r="M7" s="132"/>
      <c r="N7" s="132"/>
      <c r="O7" s="518"/>
      <c r="P7" s="133"/>
      <c r="Q7" s="133"/>
      <c r="R7" s="290"/>
    </row>
    <row r="8" spans="1:22" ht="9" customHeight="1">
      <c r="A8" s="297"/>
      <c r="B8" s="134"/>
      <c r="C8" s="134"/>
      <c r="D8" s="134"/>
      <c r="E8" s="654"/>
      <c r="F8" s="654"/>
      <c r="G8" s="134"/>
      <c r="H8" s="134"/>
      <c r="I8" s="134"/>
      <c r="J8" s="134"/>
      <c r="K8" s="134"/>
      <c r="L8" s="134"/>
      <c r="M8" s="135"/>
      <c r="N8" s="135"/>
      <c r="O8" s="519"/>
      <c r="P8" s="136"/>
      <c r="Q8" s="136"/>
      <c r="R8" s="291"/>
    </row>
    <row r="9" spans="1:22" ht="57.75" customHeight="1">
      <c r="A9" s="361" t="s">
        <v>145</v>
      </c>
      <c r="B9" s="369" t="s">
        <v>41</v>
      </c>
      <c r="C9" s="259" t="s">
        <v>42</v>
      </c>
      <c r="D9" s="259" t="s">
        <v>43</v>
      </c>
      <c r="E9" s="655" t="s">
        <v>44</v>
      </c>
      <c r="F9" s="655" t="s">
        <v>31</v>
      </c>
      <c r="G9" s="259" t="s">
        <v>45</v>
      </c>
      <c r="H9" s="259" t="s">
        <v>59</v>
      </c>
      <c r="I9" s="260" t="s">
        <v>60</v>
      </c>
      <c r="J9" s="260" t="s">
        <v>67</v>
      </c>
      <c r="K9" s="259" t="s">
        <v>61</v>
      </c>
      <c r="L9" s="259" t="s">
        <v>68</v>
      </c>
      <c r="M9" s="259" t="s">
        <v>62</v>
      </c>
      <c r="N9" s="137" t="s">
        <v>241</v>
      </c>
      <c r="O9" s="520" t="s">
        <v>242</v>
      </c>
      <c r="P9" s="137" t="s">
        <v>146</v>
      </c>
      <c r="Q9" s="137" t="s">
        <v>147</v>
      </c>
      <c r="R9" s="137" t="s">
        <v>148</v>
      </c>
    </row>
    <row r="10" spans="1:22" ht="13">
      <c r="A10" s="298" t="s">
        <v>149</v>
      </c>
      <c r="B10" s="370"/>
      <c r="C10" s="15"/>
      <c r="D10" s="15"/>
      <c r="E10" s="656"/>
      <c r="F10" s="657"/>
      <c r="G10" s="256"/>
      <c r="H10" s="138"/>
      <c r="I10" s="138"/>
      <c r="J10" s="138"/>
      <c r="K10" s="138"/>
      <c r="L10" s="138"/>
      <c r="M10" s="534"/>
      <c r="N10" s="536"/>
      <c r="O10" s="521" t="s">
        <v>56</v>
      </c>
      <c r="P10" s="310"/>
      <c r="Q10" s="139"/>
      <c r="R10" s="139"/>
    </row>
    <row r="11" spans="1:22">
      <c r="A11" s="299" t="s">
        <v>150</v>
      </c>
      <c r="B11" s="601">
        <v>130414</v>
      </c>
      <c r="C11" s="601">
        <v>8364</v>
      </c>
      <c r="D11" s="601">
        <v>10848</v>
      </c>
      <c r="E11" s="619">
        <f>160254-SUM(B11:D11)</f>
        <v>10628</v>
      </c>
      <c r="F11" s="619">
        <v>12351</v>
      </c>
      <c r="G11" s="601">
        <v>13271.69</v>
      </c>
      <c r="H11" s="601">
        <v>11670.65</v>
      </c>
      <c r="I11" s="601">
        <v>0</v>
      </c>
      <c r="J11" s="601">
        <v>0</v>
      </c>
      <c r="K11" s="601">
        <v>0</v>
      </c>
      <c r="L11" s="601">
        <v>0</v>
      </c>
      <c r="M11" s="601">
        <v>0</v>
      </c>
      <c r="N11" s="613">
        <f>SUM(B11:M11)</f>
        <v>197547.34</v>
      </c>
      <c r="O11" s="603">
        <f>911161+N11</f>
        <v>1108708.3400000001</v>
      </c>
      <c r="P11" s="604">
        <v>2869200</v>
      </c>
      <c r="Q11" s="602">
        <v>0</v>
      </c>
      <c r="R11" s="537">
        <f>+O11/P11</f>
        <v>0.38641723825456575</v>
      </c>
      <c r="S11" s="563"/>
      <c r="T11" s="564"/>
      <c r="U11" s="564"/>
      <c r="V11" s="565"/>
    </row>
    <row r="12" spans="1:22">
      <c r="A12" s="299" t="s">
        <v>151</v>
      </c>
      <c r="B12" s="601">
        <v>44397</v>
      </c>
      <c r="C12" s="601">
        <v>11855</v>
      </c>
      <c r="D12" s="601">
        <f>132690-C12-B12</f>
        <v>76438</v>
      </c>
      <c r="E12" s="619">
        <f>178067-SUM(B12:D12)</f>
        <v>45377</v>
      </c>
      <c r="F12" s="619">
        <v>42134</v>
      </c>
      <c r="G12" s="601">
        <v>48670.899999999994</v>
      </c>
      <c r="H12" s="601">
        <v>50157.36</v>
      </c>
      <c r="I12" s="601">
        <v>0</v>
      </c>
      <c r="J12" s="601">
        <v>0</v>
      </c>
      <c r="K12" s="601">
        <v>0</v>
      </c>
      <c r="L12" s="601">
        <v>0</v>
      </c>
      <c r="M12" s="601">
        <v>0</v>
      </c>
      <c r="N12" s="613">
        <f t="shared" ref="N12:N15" si="0">SUM(B12:M12)</f>
        <v>319029.26</v>
      </c>
      <c r="O12" s="603">
        <f>4136392+N12</f>
        <v>4455421.26</v>
      </c>
      <c r="P12" s="604">
        <v>9020700</v>
      </c>
      <c r="Q12" s="602">
        <v>0</v>
      </c>
      <c r="R12" s="537">
        <f t="shared" ref="R12:R15" si="1">+O12/P12</f>
        <v>0.49391081179952773</v>
      </c>
      <c r="S12" s="563"/>
      <c r="T12" s="564"/>
      <c r="U12" s="564"/>
      <c r="V12" s="565"/>
    </row>
    <row r="13" spans="1:22" ht="15">
      <c r="A13" s="299" t="s">
        <v>337</v>
      </c>
      <c r="B13" s="601">
        <v>23503</v>
      </c>
      <c r="C13" s="601">
        <v>5443</v>
      </c>
      <c r="D13" s="601">
        <f>54213-C13-B13</f>
        <v>25267</v>
      </c>
      <c r="E13" s="619">
        <v>6695</v>
      </c>
      <c r="F13" s="619">
        <v>7589</v>
      </c>
      <c r="G13" s="601">
        <v>8120.4399999999987</v>
      </c>
      <c r="H13" s="601">
        <v>7570.5499999999993</v>
      </c>
      <c r="I13" s="601">
        <v>0</v>
      </c>
      <c r="J13" s="601">
        <v>0</v>
      </c>
      <c r="K13" s="601">
        <v>0</v>
      </c>
      <c r="L13" s="601">
        <v>0</v>
      </c>
      <c r="M13" s="601">
        <v>0</v>
      </c>
      <c r="N13" s="613">
        <f t="shared" si="0"/>
        <v>84187.99</v>
      </c>
      <c r="O13" s="603">
        <f>534815+N13</f>
        <v>619002.99</v>
      </c>
      <c r="P13" s="604">
        <v>4664400</v>
      </c>
      <c r="Q13" s="602">
        <v>0</v>
      </c>
      <c r="R13" s="537">
        <f t="shared" si="1"/>
        <v>0.1327079560072035</v>
      </c>
      <c r="S13" s="563"/>
      <c r="T13" s="564"/>
      <c r="U13" s="564"/>
      <c r="V13" s="565"/>
    </row>
    <row r="14" spans="1:22">
      <c r="A14" s="299" t="s">
        <v>196</v>
      </c>
      <c r="B14" s="601">
        <v>6528</v>
      </c>
      <c r="C14" s="601">
        <v>9156</v>
      </c>
      <c r="D14" s="601">
        <f>25223-C14-B14</f>
        <v>9539</v>
      </c>
      <c r="E14" s="619">
        <f>46134-SUM(B14:D14)</f>
        <v>20911</v>
      </c>
      <c r="F14" s="619">
        <v>16437</v>
      </c>
      <c r="G14" s="601">
        <v>18691.11</v>
      </c>
      <c r="H14" s="601">
        <v>31062.91</v>
      </c>
      <c r="I14" s="601">
        <v>0</v>
      </c>
      <c r="J14" s="601">
        <v>0</v>
      </c>
      <c r="K14" s="601">
        <v>0</v>
      </c>
      <c r="L14" s="601">
        <v>0</v>
      </c>
      <c r="M14" s="601">
        <v>0</v>
      </c>
      <c r="N14" s="613">
        <f t="shared" si="0"/>
        <v>112325.02</v>
      </c>
      <c r="O14" s="603">
        <f>928210+N14</f>
        <v>1040535.02</v>
      </c>
      <c r="P14" s="602">
        <v>10301202</v>
      </c>
      <c r="Q14" s="602">
        <v>0</v>
      </c>
      <c r="R14" s="537">
        <f t="shared" si="1"/>
        <v>0.10101102958664436</v>
      </c>
      <c r="S14" s="563"/>
      <c r="T14" s="564"/>
      <c r="U14" s="564"/>
      <c r="V14" s="565"/>
    </row>
    <row r="15" spans="1:22" ht="14.5">
      <c r="A15" s="300" t="s">
        <v>152</v>
      </c>
      <c r="B15" s="605">
        <v>0</v>
      </c>
      <c r="C15" s="605">
        <v>0</v>
      </c>
      <c r="D15" s="605">
        <v>0</v>
      </c>
      <c r="E15" s="658">
        <v>0</v>
      </c>
      <c r="F15" s="658">
        <v>0</v>
      </c>
      <c r="G15" s="605">
        <v>0</v>
      </c>
      <c r="H15" s="605">
        <v>0</v>
      </c>
      <c r="I15" s="605">
        <v>0</v>
      </c>
      <c r="J15" s="605">
        <v>0</v>
      </c>
      <c r="K15" s="605">
        <v>0</v>
      </c>
      <c r="L15" s="605">
        <v>0</v>
      </c>
      <c r="M15" s="605">
        <v>0</v>
      </c>
      <c r="N15" s="602">
        <f t="shared" si="0"/>
        <v>0</v>
      </c>
      <c r="O15" s="603">
        <f>15326+N15</f>
        <v>15326</v>
      </c>
      <c r="P15" s="604">
        <v>20000</v>
      </c>
      <c r="Q15" s="602">
        <v>0</v>
      </c>
      <c r="R15" s="537">
        <f t="shared" si="1"/>
        <v>0.76629999999999998</v>
      </c>
      <c r="S15" s="563"/>
      <c r="T15" s="564"/>
      <c r="U15" s="564"/>
      <c r="V15" s="565"/>
    </row>
    <row r="16" spans="1:22" ht="13">
      <c r="A16" s="301" t="s">
        <v>153</v>
      </c>
      <c r="B16" s="605">
        <f>SUM(B11:B15)</f>
        <v>204842</v>
      </c>
      <c r="C16" s="606">
        <f t="shared" ref="C16:M16" si="2">SUM(C11:C15)</f>
        <v>34818</v>
      </c>
      <c r="D16" s="606">
        <f t="shared" si="2"/>
        <v>122092</v>
      </c>
      <c r="E16" s="606">
        <f t="shared" si="2"/>
        <v>83611</v>
      </c>
      <c r="F16" s="606">
        <f t="shared" si="2"/>
        <v>78511</v>
      </c>
      <c r="G16" s="606">
        <f t="shared" si="2"/>
        <v>88754.14</v>
      </c>
      <c r="H16" s="606">
        <f t="shared" si="2"/>
        <v>100461.47</v>
      </c>
      <c r="I16" s="606">
        <f t="shared" si="2"/>
        <v>0</v>
      </c>
      <c r="J16" s="606">
        <f t="shared" si="2"/>
        <v>0</v>
      </c>
      <c r="K16" s="606">
        <f>SUM(K11:K15)</f>
        <v>0</v>
      </c>
      <c r="L16" s="606">
        <f t="shared" si="2"/>
        <v>0</v>
      </c>
      <c r="M16" s="606">
        <f t="shared" si="2"/>
        <v>0</v>
      </c>
      <c r="N16" s="607">
        <f>SUM(N11:N15)</f>
        <v>713089.61</v>
      </c>
      <c r="O16" s="608">
        <f>SUM(O11:O15)</f>
        <v>7238993.6099999994</v>
      </c>
      <c r="P16" s="609">
        <f>SUM(P11:P15)</f>
        <v>26875502</v>
      </c>
      <c r="Q16" s="610">
        <f>SUM(Q11:Q15)</f>
        <v>0</v>
      </c>
      <c r="R16" s="538">
        <f>O16/P16</f>
        <v>0.26935287050638157</v>
      </c>
      <c r="S16" s="563"/>
      <c r="T16" s="564"/>
      <c r="U16" s="564"/>
      <c r="V16" s="565"/>
    </row>
    <row r="17" spans="1:22">
      <c r="A17" s="300"/>
      <c r="B17" s="601"/>
      <c r="C17" s="611"/>
      <c r="D17" s="611"/>
      <c r="E17" s="611"/>
      <c r="F17" s="612"/>
      <c r="G17" s="611"/>
      <c r="H17" s="612"/>
      <c r="I17" s="612"/>
      <c r="J17" s="612"/>
      <c r="K17" s="612"/>
      <c r="L17" s="612"/>
      <c r="M17" s="612"/>
      <c r="N17" s="602"/>
      <c r="O17" s="613"/>
      <c r="P17" s="604"/>
      <c r="Q17" s="602"/>
      <c r="R17" s="537"/>
      <c r="S17" s="563"/>
      <c r="T17" s="564"/>
      <c r="U17" s="564"/>
      <c r="V17" s="565"/>
    </row>
    <row r="18" spans="1:22" ht="13">
      <c r="A18" s="298" t="s">
        <v>154</v>
      </c>
      <c r="B18" s="601"/>
      <c r="C18" s="611"/>
      <c r="D18" s="611"/>
      <c r="E18" s="611"/>
      <c r="F18" s="612"/>
      <c r="G18" s="611"/>
      <c r="H18" s="612"/>
      <c r="I18" s="612"/>
      <c r="J18" s="612"/>
      <c r="K18" s="612"/>
      <c r="L18" s="612"/>
      <c r="M18" s="612"/>
      <c r="N18" s="602"/>
      <c r="O18" s="613"/>
      <c r="P18" s="604"/>
      <c r="Q18" s="602"/>
      <c r="R18" s="537"/>
      <c r="S18" s="563"/>
      <c r="T18" s="564"/>
      <c r="U18" s="564"/>
      <c r="V18" s="565"/>
    </row>
    <row r="19" spans="1:22">
      <c r="A19" s="299"/>
      <c r="B19" s="601">
        <v>0</v>
      </c>
      <c r="C19" s="611">
        <v>0</v>
      </c>
      <c r="D19" s="611">
        <v>0</v>
      </c>
      <c r="E19" s="611">
        <v>0</v>
      </c>
      <c r="F19" s="611">
        <v>0</v>
      </c>
      <c r="G19" s="611">
        <v>0</v>
      </c>
      <c r="H19" s="611">
        <v>0</v>
      </c>
      <c r="I19" s="611">
        <v>0</v>
      </c>
      <c r="J19" s="611">
        <v>0</v>
      </c>
      <c r="K19" s="611">
        <v>0</v>
      </c>
      <c r="L19" s="611">
        <v>0</v>
      </c>
      <c r="M19" s="611">
        <v>0</v>
      </c>
      <c r="N19" s="602">
        <f>SUM(B19:M19)</f>
        <v>0</v>
      </c>
      <c r="O19" s="603">
        <f>0+N19</f>
        <v>0</v>
      </c>
      <c r="P19" s="604">
        <v>0</v>
      </c>
      <c r="Q19" s="602">
        <v>0</v>
      </c>
      <c r="R19" s="537">
        <v>0</v>
      </c>
      <c r="S19" s="563"/>
      <c r="T19" s="564"/>
      <c r="U19" s="564"/>
      <c r="V19" s="565"/>
    </row>
    <row r="20" spans="1:22" ht="13">
      <c r="A20" s="301" t="s">
        <v>155</v>
      </c>
      <c r="B20" s="607">
        <f t="shared" ref="B20:M20" si="3">SUM(B19:B19)</f>
        <v>0</v>
      </c>
      <c r="C20" s="614">
        <f t="shared" si="3"/>
        <v>0</v>
      </c>
      <c r="D20" s="614">
        <f t="shared" si="3"/>
        <v>0</v>
      </c>
      <c r="E20" s="614">
        <f t="shared" si="3"/>
        <v>0</v>
      </c>
      <c r="F20" s="614">
        <f t="shared" si="3"/>
        <v>0</v>
      </c>
      <c r="G20" s="614">
        <f t="shared" si="3"/>
        <v>0</v>
      </c>
      <c r="H20" s="614">
        <f t="shared" si="3"/>
        <v>0</v>
      </c>
      <c r="I20" s="614">
        <f t="shared" si="3"/>
        <v>0</v>
      </c>
      <c r="J20" s="614">
        <f t="shared" si="3"/>
        <v>0</v>
      </c>
      <c r="K20" s="614">
        <f t="shared" si="3"/>
        <v>0</v>
      </c>
      <c r="L20" s="614">
        <f t="shared" si="3"/>
        <v>0</v>
      </c>
      <c r="M20" s="614">
        <f t="shared" si="3"/>
        <v>0</v>
      </c>
      <c r="N20" s="610">
        <f>SUM(N19:N19)</f>
        <v>0</v>
      </c>
      <c r="O20" s="615">
        <f>SUM(O19:O19)</f>
        <v>0</v>
      </c>
      <c r="P20" s="609">
        <f>SUM(P19:P19)</f>
        <v>0</v>
      </c>
      <c r="Q20" s="610">
        <f>SUM(Q19:Q19)</f>
        <v>0</v>
      </c>
      <c r="R20" s="539">
        <v>0</v>
      </c>
      <c r="S20" s="563"/>
      <c r="T20" s="564"/>
      <c r="U20" s="564"/>
      <c r="V20" s="565"/>
    </row>
    <row r="21" spans="1:22" ht="13">
      <c r="A21" s="302"/>
      <c r="B21" s="601"/>
      <c r="C21" s="611"/>
      <c r="D21" s="611"/>
      <c r="E21" s="611"/>
      <c r="F21" s="611"/>
      <c r="G21" s="611"/>
      <c r="H21" s="611"/>
      <c r="I21" s="611"/>
      <c r="J21" s="611"/>
      <c r="K21" s="611"/>
      <c r="L21" s="611"/>
      <c r="M21" s="611"/>
      <c r="N21" s="602"/>
      <c r="O21" s="613"/>
      <c r="P21" s="604"/>
      <c r="Q21" s="602"/>
      <c r="R21" s="540"/>
      <c r="S21" s="563"/>
      <c r="T21" s="564"/>
      <c r="U21" s="564"/>
      <c r="V21" s="565"/>
    </row>
    <row r="22" spans="1:22" ht="13">
      <c r="A22" s="298" t="s">
        <v>156</v>
      </c>
      <c r="B22" s="601"/>
      <c r="C22" s="611"/>
      <c r="D22" s="611"/>
      <c r="E22" s="611"/>
      <c r="F22" s="612"/>
      <c r="G22" s="611"/>
      <c r="H22" s="612"/>
      <c r="I22" s="612"/>
      <c r="J22" s="612"/>
      <c r="K22" s="612"/>
      <c r="L22" s="612"/>
      <c r="M22" s="612"/>
      <c r="N22" s="602"/>
      <c r="O22" s="613"/>
      <c r="P22" s="604"/>
      <c r="Q22" s="602"/>
      <c r="R22" s="537"/>
      <c r="S22" s="563"/>
      <c r="T22" s="564"/>
      <c r="U22" s="564"/>
      <c r="V22" s="565"/>
    </row>
    <row r="23" spans="1:22" ht="14.5">
      <c r="A23" s="299" t="s">
        <v>303</v>
      </c>
      <c r="B23" s="605">
        <v>96846</v>
      </c>
      <c r="C23" s="605">
        <v>105482</v>
      </c>
      <c r="D23" s="605">
        <f>469825-C23-B23</f>
        <v>267497</v>
      </c>
      <c r="E23" s="605">
        <f>493182-SUM(B23:D23)</f>
        <v>23357</v>
      </c>
      <c r="F23" s="605">
        <v>-19352</v>
      </c>
      <c r="G23" s="605">
        <v>320557.86999999994</v>
      </c>
      <c r="H23" s="605">
        <v>14894.960000000021</v>
      </c>
      <c r="I23" s="605">
        <v>0</v>
      </c>
      <c r="J23" s="605">
        <v>0</v>
      </c>
      <c r="K23" s="605">
        <v>0</v>
      </c>
      <c r="L23" s="605">
        <v>0</v>
      </c>
      <c r="M23" s="605">
        <v>0</v>
      </c>
      <c r="N23" s="602">
        <f>SUM(B23:M23)</f>
        <v>809282.82999999984</v>
      </c>
      <c r="O23" s="603">
        <f>3846745+N23</f>
        <v>4656027.83</v>
      </c>
      <c r="P23" s="604">
        <v>8320000</v>
      </c>
      <c r="Q23" s="602">
        <v>0</v>
      </c>
      <c r="R23" s="537">
        <f t="shared" ref="R23" si="4">+O23/P23</f>
        <v>0.55961872956730774</v>
      </c>
      <c r="S23" s="563"/>
      <c r="T23" s="564"/>
      <c r="U23" s="564"/>
      <c r="V23" s="565"/>
    </row>
    <row r="24" spans="1:22" ht="13">
      <c r="A24" s="301" t="s">
        <v>157</v>
      </c>
      <c r="B24" s="605">
        <f t="shared" ref="B24:M24" si="5">SUM(B23:B23)</f>
        <v>96846</v>
      </c>
      <c r="C24" s="606">
        <f t="shared" si="5"/>
        <v>105482</v>
      </c>
      <c r="D24" s="606">
        <f t="shared" si="5"/>
        <v>267497</v>
      </c>
      <c r="E24" s="606">
        <f t="shared" si="5"/>
        <v>23357</v>
      </c>
      <c r="F24" s="606">
        <f t="shared" si="5"/>
        <v>-19352</v>
      </c>
      <c r="G24" s="606">
        <f t="shared" si="5"/>
        <v>320557.86999999994</v>
      </c>
      <c r="H24" s="606">
        <f t="shared" si="5"/>
        <v>14894.960000000021</v>
      </c>
      <c r="I24" s="606">
        <f t="shared" si="5"/>
        <v>0</v>
      </c>
      <c r="J24" s="606">
        <f t="shared" si="5"/>
        <v>0</v>
      </c>
      <c r="K24" s="606">
        <f t="shared" si="5"/>
        <v>0</v>
      </c>
      <c r="L24" s="606">
        <f t="shared" si="5"/>
        <v>0</v>
      </c>
      <c r="M24" s="606">
        <f t="shared" si="5"/>
        <v>0</v>
      </c>
      <c r="N24" s="610">
        <f>SUM(N23:N23)</f>
        <v>809282.82999999984</v>
      </c>
      <c r="O24" s="615">
        <f>O23</f>
        <v>4656027.83</v>
      </c>
      <c r="P24" s="609">
        <f>SUM(P23:P23)</f>
        <v>8320000</v>
      </c>
      <c r="Q24" s="610">
        <f>SUM(Q23:Q23)</f>
        <v>0</v>
      </c>
      <c r="R24" s="539">
        <f>O24/P24</f>
        <v>0.55961872956730774</v>
      </c>
      <c r="S24" s="563"/>
      <c r="T24" s="564"/>
      <c r="U24" s="564"/>
      <c r="V24" s="565"/>
    </row>
    <row r="25" spans="1:22" ht="13">
      <c r="A25" s="298"/>
      <c r="B25" s="601"/>
      <c r="C25" s="611"/>
      <c r="D25" s="611"/>
      <c r="E25" s="611"/>
      <c r="F25" s="612"/>
      <c r="G25" s="611"/>
      <c r="H25" s="612"/>
      <c r="I25" s="612"/>
      <c r="J25" s="612"/>
      <c r="K25" s="612"/>
      <c r="L25" s="612"/>
      <c r="M25" s="612"/>
      <c r="N25" s="602"/>
      <c r="O25" s="613"/>
      <c r="P25" s="604"/>
      <c r="Q25" s="602"/>
      <c r="R25" s="537"/>
      <c r="S25" s="563"/>
      <c r="T25" s="564"/>
      <c r="U25" s="564"/>
      <c r="V25" s="565"/>
    </row>
    <row r="26" spans="1:22" ht="13">
      <c r="A26" s="298" t="s">
        <v>158</v>
      </c>
      <c r="B26" s="601"/>
      <c r="C26" s="611"/>
      <c r="D26" s="611"/>
      <c r="E26" s="611"/>
      <c r="F26" s="612"/>
      <c r="G26" s="611"/>
      <c r="H26" s="612"/>
      <c r="I26" s="612"/>
      <c r="J26" s="612"/>
      <c r="K26" s="612"/>
      <c r="L26" s="612"/>
      <c r="M26" s="612"/>
      <c r="N26" s="602"/>
      <c r="O26" s="613"/>
      <c r="P26" s="604"/>
      <c r="Q26" s="602"/>
      <c r="R26" s="537"/>
      <c r="S26" s="563"/>
      <c r="T26" s="564"/>
      <c r="U26" s="564"/>
      <c r="V26" s="565"/>
    </row>
    <row r="27" spans="1:22">
      <c r="A27" s="299" t="s">
        <v>159</v>
      </c>
      <c r="B27" s="616">
        <v>22999</v>
      </c>
      <c r="C27" s="616">
        <v>17650</v>
      </c>
      <c r="D27" s="616">
        <v>50081</v>
      </c>
      <c r="E27" s="616">
        <v>21035</v>
      </c>
      <c r="F27" s="616">
        <v>41123</v>
      </c>
      <c r="G27" s="616">
        <v>14076.98</v>
      </c>
      <c r="H27" s="616">
        <v>15605.669999999998</v>
      </c>
      <c r="I27" s="616">
        <v>0</v>
      </c>
      <c r="J27" s="616">
        <v>0</v>
      </c>
      <c r="K27" s="616">
        <v>0</v>
      </c>
      <c r="L27" s="616">
        <v>0</v>
      </c>
      <c r="M27" s="616">
        <v>0</v>
      </c>
      <c r="N27" s="602">
        <f>SUM(B27:M27)</f>
        <v>182570.65000000002</v>
      </c>
      <c r="O27" s="603">
        <f>1326267+N27</f>
        <v>1508837.65</v>
      </c>
      <c r="P27" s="604">
        <v>3483000</v>
      </c>
      <c r="Q27" s="602">
        <v>0</v>
      </c>
      <c r="R27" s="537">
        <f t="shared" ref="R27:R29" si="6">+O27/P27</f>
        <v>0.43320058857306915</v>
      </c>
      <c r="S27" s="563"/>
      <c r="T27" s="564"/>
      <c r="U27" s="564"/>
      <c r="V27" s="565"/>
    </row>
    <row r="28" spans="1:22">
      <c r="A28" s="299" t="s">
        <v>160</v>
      </c>
      <c r="B28" s="601">
        <v>29511</v>
      </c>
      <c r="C28" s="601">
        <v>26533</v>
      </c>
      <c r="D28" s="601">
        <v>28341</v>
      </c>
      <c r="E28" s="601">
        <f>124759-SUM(B28:D28)</f>
        <v>40374</v>
      </c>
      <c r="F28" s="601">
        <v>18416</v>
      </c>
      <c r="G28" s="601">
        <v>28532.93</v>
      </c>
      <c r="H28" s="601">
        <v>28883.03</v>
      </c>
      <c r="I28" s="601">
        <v>0</v>
      </c>
      <c r="J28" s="601">
        <v>0</v>
      </c>
      <c r="K28" s="601">
        <v>0</v>
      </c>
      <c r="L28" s="601">
        <v>0</v>
      </c>
      <c r="M28" s="601">
        <v>0</v>
      </c>
      <c r="N28" s="602">
        <f>SUM(B28:M28)</f>
        <v>200590.96</v>
      </c>
      <c r="O28" s="603">
        <f>1608647+N28</f>
        <v>1809237.96</v>
      </c>
      <c r="P28" s="604">
        <v>3794000</v>
      </c>
      <c r="Q28" s="602">
        <v>0</v>
      </c>
      <c r="R28" s="537">
        <f t="shared" si="6"/>
        <v>0.47686820242488137</v>
      </c>
      <c r="S28" s="563"/>
      <c r="T28" s="564"/>
      <c r="U28" s="564"/>
      <c r="V28" s="565"/>
    </row>
    <row r="29" spans="1:22">
      <c r="A29" s="303" t="s">
        <v>161</v>
      </c>
      <c r="B29" s="605">
        <v>7417</v>
      </c>
      <c r="C29" s="605">
        <v>9018</v>
      </c>
      <c r="D29" s="605">
        <v>10206</v>
      </c>
      <c r="E29" s="605">
        <f>51904-SUM(B29:D29)</f>
        <v>25263</v>
      </c>
      <c r="F29" s="605">
        <v>7642</v>
      </c>
      <c r="G29" s="605">
        <v>10083.32</v>
      </c>
      <c r="H29" s="605">
        <v>8791.14</v>
      </c>
      <c r="I29" s="605">
        <v>0</v>
      </c>
      <c r="J29" s="605">
        <v>0</v>
      </c>
      <c r="K29" s="605">
        <v>0</v>
      </c>
      <c r="L29" s="605">
        <v>0</v>
      </c>
      <c r="M29" s="605">
        <v>0</v>
      </c>
      <c r="N29" s="602">
        <f>SUM(B29:M29)</f>
        <v>78420.460000000006</v>
      </c>
      <c r="O29" s="603">
        <f>968425+N29</f>
        <v>1046845.46</v>
      </c>
      <c r="P29" s="602">
        <v>11267000</v>
      </c>
      <c r="Q29" s="602">
        <v>0</v>
      </c>
      <c r="R29" s="537">
        <f t="shared" si="6"/>
        <v>9.2912528623413509E-2</v>
      </c>
      <c r="S29" s="563"/>
      <c r="T29" s="564"/>
      <c r="U29" s="564"/>
      <c r="V29" s="565"/>
    </row>
    <row r="30" spans="1:22" ht="13">
      <c r="A30" s="301" t="s">
        <v>162</v>
      </c>
      <c r="B30" s="605">
        <f t="shared" ref="B30:I30" si="7">SUM(B27:B29)</f>
        <v>59927</v>
      </c>
      <c r="C30" s="606">
        <f t="shared" si="7"/>
        <v>53201</v>
      </c>
      <c r="D30" s="606">
        <f t="shared" si="7"/>
        <v>88628</v>
      </c>
      <c r="E30" s="606">
        <f>SUM(E27:E29)</f>
        <v>86672</v>
      </c>
      <c r="F30" s="617">
        <f t="shared" si="7"/>
        <v>67181</v>
      </c>
      <c r="G30" s="606">
        <f t="shared" si="7"/>
        <v>52693.23</v>
      </c>
      <c r="H30" s="617">
        <f t="shared" si="7"/>
        <v>53279.839999999997</v>
      </c>
      <c r="I30" s="617">
        <f t="shared" si="7"/>
        <v>0</v>
      </c>
      <c r="J30" s="617">
        <f>SUM(J27:J29)</f>
        <v>0</v>
      </c>
      <c r="K30" s="617">
        <f>SUM(K27:K29)</f>
        <v>0</v>
      </c>
      <c r="L30" s="617">
        <f>SUM(L27:L29)</f>
        <v>0</v>
      </c>
      <c r="M30" s="617">
        <f t="shared" ref="M30:Q30" si="8">SUM(M27:M29)</f>
        <v>0</v>
      </c>
      <c r="N30" s="610">
        <f t="shared" si="8"/>
        <v>461582.07</v>
      </c>
      <c r="O30" s="615">
        <f t="shared" si="8"/>
        <v>4364921.07</v>
      </c>
      <c r="P30" s="609">
        <f>SUM(P27:P29)</f>
        <v>18544000</v>
      </c>
      <c r="Q30" s="610">
        <f t="shared" si="8"/>
        <v>0</v>
      </c>
      <c r="R30" s="539">
        <f>O30/P30</f>
        <v>0.23538185235116482</v>
      </c>
      <c r="S30" s="563"/>
      <c r="T30" s="564"/>
      <c r="U30" s="564"/>
      <c r="V30" s="565"/>
    </row>
    <row r="31" spans="1:22">
      <c r="A31" s="299"/>
      <c r="B31" s="601"/>
      <c r="C31" s="611"/>
      <c r="D31" s="611"/>
      <c r="E31" s="611"/>
      <c r="F31" s="612"/>
      <c r="G31" s="611"/>
      <c r="H31" s="612"/>
      <c r="I31" s="612"/>
      <c r="J31" s="612"/>
      <c r="K31" s="612"/>
      <c r="L31" s="612"/>
      <c r="M31" s="612"/>
      <c r="N31" s="602"/>
      <c r="O31" s="613"/>
      <c r="P31" s="604"/>
      <c r="Q31" s="602"/>
      <c r="R31" s="537"/>
      <c r="S31" s="563"/>
      <c r="T31" s="564"/>
      <c r="U31" s="564"/>
      <c r="V31" s="565"/>
    </row>
    <row r="32" spans="1:22" ht="13">
      <c r="A32" s="298" t="s">
        <v>163</v>
      </c>
      <c r="B32" s="601"/>
      <c r="C32" s="611"/>
      <c r="D32" s="611"/>
      <c r="E32" s="611"/>
      <c r="F32" s="612"/>
      <c r="G32" s="611"/>
      <c r="H32" s="612"/>
      <c r="I32" s="612"/>
      <c r="J32" s="612"/>
      <c r="K32" s="612"/>
      <c r="L32" s="612"/>
      <c r="M32" s="612"/>
      <c r="N32" s="602"/>
      <c r="O32" s="613"/>
      <c r="P32" s="604"/>
      <c r="Q32" s="602"/>
      <c r="R32" s="537"/>
      <c r="S32" s="563"/>
      <c r="T32" s="564"/>
      <c r="U32" s="564"/>
      <c r="V32" s="565"/>
    </row>
    <row r="33" spans="1:22">
      <c r="A33" s="299" t="s">
        <v>164</v>
      </c>
      <c r="B33" s="616">
        <v>0</v>
      </c>
      <c r="C33" s="616">
        <v>0</v>
      </c>
      <c r="D33" s="616">
        <v>0</v>
      </c>
      <c r="E33" s="616">
        <v>0</v>
      </c>
      <c r="F33" s="616">
        <v>0</v>
      </c>
      <c r="G33" s="616">
        <v>0</v>
      </c>
      <c r="H33" s="616">
        <v>0</v>
      </c>
      <c r="I33" s="616">
        <v>0</v>
      </c>
      <c r="J33" s="616">
        <v>0</v>
      </c>
      <c r="K33" s="616">
        <v>0</v>
      </c>
      <c r="L33" s="616">
        <v>0</v>
      </c>
      <c r="M33" s="616">
        <v>0</v>
      </c>
      <c r="N33" s="602">
        <f>SUM(B33:M33)</f>
        <v>0</v>
      </c>
      <c r="O33" s="603">
        <f>8111.66+N33</f>
        <v>8111.66</v>
      </c>
      <c r="P33" s="604">
        <v>2507000</v>
      </c>
      <c r="Q33" s="602">
        <v>0</v>
      </c>
      <c r="R33" s="537">
        <f t="shared" ref="R33:R36" si="9">+O33/P33</f>
        <v>3.2356043079377742E-3</v>
      </c>
      <c r="S33" s="563"/>
      <c r="T33" s="564"/>
      <c r="U33" s="564"/>
      <c r="V33" s="565"/>
    </row>
    <row r="34" spans="1:22">
      <c r="A34" s="299" t="s">
        <v>165</v>
      </c>
      <c r="B34" s="601">
        <v>111344</v>
      </c>
      <c r="C34" s="601">
        <v>1498</v>
      </c>
      <c r="D34" s="601">
        <f>114985-B34-C34</f>
        <v>2143</v>
      </c>
      <c r="E34" s="601">
        <f>116939-SUM(B34:D34)</f>
        <v>1954</v>
      </c>
      <c r="F34" s="601">
        <v>1678</v>
      </c>
      <c r="G34" s="601">
        <v>621.53</v>
      </c>
      <c r="H34" s="601">
        <v>3349.6</v>
      </c>
      <c r="I34" s="601">
        <v>0</v>
      </c>
      <c r="J34" s="601">
        <v>0</v>
      </c>
      <c r="K34" s="601">
        <v>0</v>
      </c>
      <c r="L34" s="601">
        <v>0</v>
      </c>
      <c r="M34" s="601">
        <v>0</v>
      </c>
      <c r="N34" s="602">
        <f>SUM(B34:M34)</f>
        <v>122588.13</v>
      </c>
      <c r="O34" s="603">
        <f>63741+N34</f>
        <v>186329.13</v>
      </c>
      <c r="P34" s="602">
        <v>500000</v>
      </c>
      <c r="Q34" s="602">
        <v>0</v>
      </c>
      <c r="R34" s="537">
        <f t="shared" si="9"/>
        <v>0.37265826000000002</v>
      </c>
      <c r="S34" s="563"/>
      <c r="T34" s="564"/>
      <c r="U34" s="564"/>
      <c r="V34" s="565"/>
    </row>
    <row r="35" spans="1:22" ht="14.5">
      <c r="A35" s="313" t="s">
        <v>345</v>
      </c>
      <c r="B35" s="601">
        <v>1681</v>
      </c>
      <c r="C35" s="601">
        <v>1873</v>
      </c>
      <c r="D35" s="601">
        <f>6233-C35-B35</f>
        <v>2679</v>
      </c>
      <c r="E35" s="601">
        <v>2442</v>
      </c>
      <c r="F35" s="601">
        <v>2098</v>
      </c>
      <c r="G35" s="601">
        <f>776.91-1</f>
        <v>775.91</v>
      </c>
      <c r="H35" s="601">
        <v>-1986.6699999999996</v>
      </c>
      <c r="I35" s="601">
        <v>0</v>
      </c>
      <c r="J35" s="601">
        <v>0</v>
      </c>
      <c r="K35" s="601">
        <v>0</v>
      </c>
      <c r="L35" s="601">
        <v>0</v>
      </c>
      <c r="M35" s="601">
        <v>0</v>
      </c>
      <c r="N35" s="602">
        <f>SUM(B35:M35)</f>
        <v>9562.24</v>
      </c>
      <c r="O35" s="603">
        <f>615021+N35</f>
        <v>624583.24</v>
      </c>
      <c r="P35" s="604">
        <v>2148000</v>
      </c>
      <c r="Q35" s="602">
        <v>0</v>
      </c>
      <c r="R35" s="537">
        <f t="shared" si="9"/>
        <v>0.29077432029795158</v>
      </c>
      <c r="S35" s="563"/>
      <c r="T35" s="564"/>
      <c r="U35" s="564"/>
      <c r="V35" s="565"/>
    </row>
    <row r="36" spans="1:22">
      <c r="A36" s="314" t="s">
        <v>166</v>
      </c>
      <c r="B36" s="605">
        <v>0</v>
      </c>
      <c r="C36" s="605">
        <v>0</v>
      </c>
      <c r="D36" s="605">
        <v>0</v>
      </c>
      <c r="E36" s="605">
        <v>0</v>
      </c>
      <c r="F36" s="605">
        <v>0</v>
      </c>
      <c r="G36" s="605">
        <v>0</v>
      </c>
      <c r="H36" s="605">
        <v>0</v>
      </c>
      <c r="I36" s="605">
        <v>0</v>
      </c>
      <c r="J36" s="605">
        <v>0</v>
      </c>
      <c r="K36" s="605">
        <v>0</v>
      </c>
      <c r="L36" s="605">
        <v>0</v>
      </c>
      <c r="M36" s="605">
        <v>0</v>
      </c>
      <c r="N36" s="602">
        <f>SUM(B36:M36)</f>
        <v>0</v>
      </c>
      <c r="O36" s="603">
        <f>36789+N36</f>
        <v>36789</v>
      </c>
      <c r="P36" s="602">
        <v>340000</v>
      </c>
      <c r="Q36" s="602">
        <v>0</v>
      </c>
      <c r="R36" s="537">
        <f t="shared" si="9"/>
        <v>0.10820294117647059</v>
      </c>
      <c r="S36" s="563"/>
      <c r="T36" s="564"/>
      <c r="U36" s="564"/>
      <c r="V36" s="565"/>
    </row>
    <row r="37" spans="1:22" ht="13">
      <c r="A37" s="301" t="s">
        <v>262</v>
      </c>
      <c r="B37" s="605">
        <f t="shared" ref="B37:Q37" si="10">SUM(B33:B36)</f>
        <v>113025</v>
      </c>
      <c r="C37" s="606">
        <f t="shared" si="10"/>
        <v>3371</v>
      </c>
      <c r="D37" s="606">
        <f t="shared" si="10"/>
        <v>4822</v>
      </c>
      <c r="E37" s="606">
        <f t="shared" si="10"/>
        <v>4396</v>
      </c>
      <c r="F37" s="606">
        <f t="shared" si="10"/>
        <v>3776</v>
      </c>
      <c r="G37" s="606">
        <f t="shared" si="10"/>
        <v>1397.44</v>
      </c>
      <c r="H37" s="606">
        <f t="shared" si="10"/>
        <v>1362.9300000000003</v>
      </c>
      <c r="I37" s="606">
        <f t="shared" si="10"/>
        <v>0</v>
      </c>
      <c r="J37" s="606">
        <f t="shared" si="10"/>
        <v>0</v>
      </c>
      <c r="K37" s="606">
        <f t="shared" si="10"/>
        <v>0</v>
      </c>
      <c r="L37" s="606">
        <f t="shared" si="10"/>
        <v>0</v>
      </c>
      <c r="M37" s="606">
        <f t="shared" si="10"/>
        <v>0</v>
      </c>
      <c r="N37" s="610">
        <f>SUM(N33:N36)</f>
        <v>132150.37</v>
      </c>
      <c r="O37" s="615">
        <f>SUM(O33:O36)</f>
        <v>855813.03</v>
      </c>
      <c r="P37" s="609">
        <f t="shared" si="10"/>
        <v>5495000</v>
      </c>
      <c r="Q37" s="610">
        <f t="shared" si="10"/>
        <v>0</v>
      </c>
      <c r="R37" s="539">
        <f>O37/P37</f>
        <v>0.15574395450409464</v>
      </c>
      <c r="S37" s="563"/>
      <c r="T37" s="564"/>
      <c r="U37" s="564"/>
      <c r="V37" s="565"/>
    </row>
    <row r="38" spans="1:22">
      <c r="A38" s="299"/>
      <c r="B38" s="601"/>
      <c r="C38" s="611"/>
      <c r="D38" s="611"/>
      <c r="E38" s="611"/>
      <c r="F38" s="612"/>
      <c r="G38" s="611"/>
      <c r="H38" s="612"/>
      <c r="I38" s="612"/>
      <c r="J38" s="612"/>
      <c r="K38" s="612"/>
      <c r="L38" s="612"/>
      <c r="M38" s="612"/>
      <c r="N38" s="602"/>
      <c r="O38" s="613"/>
      <c r="P38" s="604"/>
      <c r="Q38" s="602"/>
      <c r="R38" s="537"/>
      <c r="S38" s="563"/>
      <c r="T38" s="564"/>
      <c r="U38" s="564"/>
      <c r="V38" s="565"/>
    </row>
    <row r="39" spans="1:22" ht="13">
      <c r="A39" s="298" t="s">
        <v>167</v>
      </c>
      <c r="B39" s="601"/>
      <c r="C39" s="611"/>
      <c r="D39" s="611"/>
      <c r="E39" s="611"/>
      <c r="F39" s="612"/>
      <c r="G39" s="611"/>
      <c r="H39" s="612"/>
      <c r="I39" s="612"/>
      <c r="J39" s="612"/>
      <c r="K39" s="612"/>
      <c r="L39" s="612"/>
      <c r="M39" s="612"/>
      <c r="N39" s="602"/>
      <c r="O39" s="613"/>
      <c r="P39" s="604"/>
      <c r="Q39" s="602"/>
      <c r="R39" s="537"/>
      <c r="S39" s="563"/>
      <c r="T39" s="564"/>
      <c r="U39" s="564"/>
      <c r="V39" s="565"/>
    </row>
    <row r="40" spans="1:22">
      <c r="A40" s="299" t="s">
        <v>261</v>
      </c>
      <c r="B40" s="618">
        <v>2750</v>
      </c>
      <c r="C40" s="618">
        <v>0</v>
      </c>
      <c r="D40" s="618">
        <v>40412</v>
      </c>
      <c r="E40" s="618">
        <v>1641</v>
      </c>
      <c r="F40" s="618">
        <v>43449</v>
      </c>
      <c r="G40" s="618">
        <v>130793</v>
      </c>
      <c r="H40" s="618">
        <v>27632.190000000002</v>
      </c>
      <c r="I40" s="618">
        <v>0</v>
      </c>
      <c r="J40" s="618">
        <v>0</v>
      </c>
      <c r="K40" s="618">
        <v>0</v>
      </c>
      <c r="L40" s="618">
        <v>0</v>
      </c>
      <c r="M40" s="618">
        <v>0</v>
      </c>
      <c r="N40" s="602">
        <f>SUM(B40:M40)</f>
        <v>246677.19</v>
      </c>
      <c r="O40" s="603">
        <f>2744778+N40</f>
        <v>2991455.19</v>
      </c>
      <c r="P40" s="604">
        <v>4502000</v>
      </c>
      <c r="Q40" s="602">
        <v>0</v>
      </c>
      <c r="R40" s="537">
        <f t="shared" ref="R40" si="11">+O40/P40</f>
        <v>0.66447249888938253</v>
      </c>
      <c r="S40" s="563"/>
      <c r="T40" s="564"/>
      <c r="U40" s="564"/>
      <c r="V40" s="565"/>
    </row>
    <row r="41" spans="1:22" ht="13">
      <c r="A41" s="301" t="s">
        <v>168</v>
      </c>
      <c r="B41" s="605">
        <f t="shared" ref="B41:N41" si="12">SUM(B40:B40)</f>
        <v>2750</v>
      </c>
      <c r="C41" s="606">
        <f t="shared" si="12"/>
        <v>0</v>
      </c>
      <c r="D41" s="606">
        <f t="shared" si="12"/>
        <v>40412</v>
      </c>
      <c r="E41" s="606">
        <f t="shared" si="12"/>
        <v>1641</v>
      </c>
      <c r="F41" s="617">
        <f t="shared" si="12"/>
        <v>43449</v>
      </c>
      <c r="G41" s="606">
        <f t="shared" si="12"/>
        <v>130793</v>
      </c>
      <c r="H41" s="617">
        <f t="shared" si="12"/>
        <v>27632.190000000002</v>
      </c>
      <c r="I41" s="617">
        <f t="shared" si="12"/>
        <v>0</v>
      </c>
      <c r="J41" s="617">
        <f t="shared" si="12"/>
        <v>0</v>
      </c>
      <c r="K41" s="617">
        <f t="shared" si="12"/>
        <v>0</v>
      </c>
      <c r="L41" s="617">
        <f t="shared" si="12"/>
        <v>0</v>
      </c>
      <c r="M41" s="617">
        <f t="shared" si="12"/>
        <v>0</v>
      </c>
      <c r="N41" s="610">
        <f t="shared" si="12"/>
        <v>246677.19</v>
      </c>
      <c r="O41" s="615">
        <f>O40</f>
        <v>2991455.19</v>
      </c>
      <c r="P41" s="609">
        <f>SUM(P40)</f>
        <v>4502000</v>
      </c>
      <c r="Q41" s="610">
        <f>SUM(Q40:Q40)</f>
        <v>0</v>
      </c>
      <c r="R41" s="539">
        <f>O41/P41</f>
        <v>0.66447249888938253</v>
      </c>
      <c r="S41" s="563"/>
      <c r="T41" s="564"/>
      <c r="U41" s="564"/>
      <c r="V41" s="565"/>
    </row>
    <row r="42" spans="1:22" ht="13">
      <c r="A42" s="298"/>
      <c r="B42" s="601"/>
      <c r="C42" s="611"/>
      <c r="D42" s="611"/>
      <c r="E42" s="611"/>
      <c r="F42" s="612"/>
      <c r="G42" s="611"/>
      <c r="H42" s="612"/>
      <c r="I42" s="612"/>
      <c r="J42" s="612"/>
      <c r="K42" s="612"/>
      <c r="L42" s="612"/>
      <c r="M42" s="612"/>
      <c r="N42" s="602"/>
      <c r="O42" s="619"/>
      <c r="P42" s="620"/>
      <c r="Q42" s="602"/>
      <c r="R42" s="537"/>
      <c r="S42" s="563"/>
      <c r="T42" s="564"/>
      <c r="U42" s="564"/>
      <c r="V42" s="565"/>
    </row>
    <row r="43" spans="1:22" ht="13">
      <c r="A43" s="298" t="s">
        <v>169</v>
      </c>
      <c r="B43" s="601"/>
      <c r="C43" s="611"/>
      <c r="D43" s="611"/>
      <c r="E43" s="611"/>
      <c r="F43" s="612"/>
      <c r="G43" s="611"/>
      <c r="H43" s="612"/>
      <c r="I43" s="612"/>
      <c r="J43" s="612"/>
      <c r="K43" s="612"/>
      <c r="L43" s="612"/>
      <c r="M43" s="612"/>
      <c r="N43" s="602"/>
      <c r="O43" s="619"/>
      <c r="P43" s="604"/>
      <c r="Q43" s="602"/>
      <c r="R43" s="537"/>
      <c r="S43" s="563"/>
      <c r="T43" s="564"/>
      <c r="U43" s="564"/>
      <c r="V43" s="565"/>
    </row>
    <row r="44" spans="1:22" ht="14.5">
      <c r="A44" s="299" t="s">
        <v>260</v>
      </c>
      <c r="B44" s="601">
        <v>37208</v>
      </c>
      <c r="C44" s="601">
        <v>42548</v>
      </c>
      <c r="D44" s="601">
        <f>137335-C44-B44</f>
        <v>57579</v>
      </c>
      <c r="E44" s="601">
        <f>188884-SUM(B44:D44)</f>
        <v>51549</v>
      </c>
      <c r="F44" s="601">
        <v>49262</v>
      </c>
      <c r="G44" s="601">
        <v>42520.360000000015</v>
      </c>
      <c r="H44" s="601">
        <v>37597.159999999996</v>
      </c>
      <c r="I44" s="601">
        <v>0</v>
      </c>
      <c r="J44" s="601">
        <v>0</v>
      </c>
      <c r="K44" s="601">
        <v>0</v>
      </c>
      <c r="L44" s="601">
        <v>0</v>
      </c>
      <c r="M44" s="601">
        <v>0</v>
      </c>
      <c r="N44" s="602">
        <f>SUM(B44:M44)</f>
        <v>318263.51999999996</v>
      </c>
      <c r="O44" s="603">
        <f>1537662+N44</f>
        <v>1855925.52</v>
      </c>
      <c r="P44" s="621">
        <f>4095000-166000</f>
        <v>3929000</v>
      </c>
      <c r="Q44" s="602">
        <v>-166000</v>
      </c>
      <c r="R44" s="537">
        <f t="shared" ref="R44:R47" si="13">+O44/P44</f>
        <v>0.47236587426826165</v>
      </c>
      <c r="S44" s="563"/>
      <c r="T44" s="564"/>
      <c r="U44" s="564"/>
      <c r="V44" s="565"/>
    </row>
    <row r="45" spans="1:22" s="197" customFormat="1" ht="14.5">
      <c r="A45" s="300" t="s">
        <v>259</v>
      </c>
      <c r="B45" s="601">
        <v>120524</v>
      </c>
      <c r="C45" s="601">
        <v>107796</v>
      </c>
      <c r="D45" s="601">
        <f>380534-C45-B45</f>
        <v>152214</v>
      </c>
      <c r="E45" s="601">
        <f>530558-SUM(B45:D45)</f>
        <v>150024</v>
      </c>
      <c r="F45" s="601">
        <v>74804</v>
      </c>
      <c r="G45" s="601">
        <v>506283.61000000004</v>
      </c>
      <c r="H45" s="601">
        <v>38850.829999999994</v>
      </c>
      <c r="I45" s="601">
        <v>0</v>
      </c>
      <c r="J45" s="601">
        <v>0</v>
      </c>
      <c r="K45" s="601">
        <v>0</v>
      </c>
      <c r="L45" s="601">
        <v>0</v>
      </c>
      <c r="M45" s="601">
        <v>0</v>
      </c>
      <c r="N45" s="604">
        <f>SUM(B45:M45)</f>
        <v>1150496.4400000002</v>
      </c>
      <c r="O45" s="603">
        <f>5262171+N45</f>
        <v>6412667.4400000004</v>
      </c>
      <c r="P45" s="621">
        <f>7948000+566000</f>
        <v>8514000</v>
      </c>
      <c r="Q45" s="604">
        <v>566000</v>
      </c>
      <c r="R45" s="541">
        <f t="shared" si="13"/>
        <v>0.75319091378905334</v>
      </c>
      <c r="S45" s="563"/>
      <c r="T45" s="564"/>
      <c r="U45" s="564"/>
      <c r="V45" s="565"/>
    </row>
    <row r="46" spans="1:22">
      <c r="A46" s="299" t="s">
        <v>239</v>
      </c>
      <c r="B46" s="601">
        <v>23262</v>
      </c>
      <c r="C46" s="601">
        <v>81327</v>
      </c>
      <c r="D46" s="601">
        <f>174323-C46-B46</f>
        <v>69734</v>
      </c>
      <c r="E46" s="601">
        <f>223736-SUM(B46:D46)</f>
        <v>49413</v>
      </c>
      <c r="F46" s="601">
        <v>35721</v>
      </c>
      <c r="G46" s="601">
        <v>33500.620000000003</v>
      </c>
      <c r="H46" s="601">
        <v>87598.66</v>
      </c>
      <c r="I46" s="601">
        <v>0</v>
      </c>
      <c r="J46" s="601">
        <v>0</v>
      </c>
      <c r="K46" s="601">
        <v>0</v>
      </c>
      <c r="L46" s="601">
        <v>0</v>
      </c>
      <c r="M46" s="601">
        <v>0</v>
      </c>
      <c r="N46" s="602">
        <f>SUM(B46:M46)</f>
        <v>380556.28</v>
      </c>
      <c r="O46" s="603">
        <f>2125875+N46</f>
        <v>2506431.2800000003</v>
      </c>
      <c r="P46" s="622">
        <f>5600600-400000</f>
        <v>5200600</v>
      </c>
      <c r="Q46" s="602">
        <v>-400000</v>
      </c>
      <c r="R46" s="537">
        <f t="shared" si="13"/>
        <v>0.48195040572241671</v>
      </c>
      <c r="S46" s="563"/>
      <c r="T46" s="564"/>
      <c r="U46" s="564"/>
      <c r="V46" s="565"/>
    </row>
    <row r="47" spans="1:22">
      <c r="A47" s="299" t="s">
        <v>171</v>
      </c>
      <c r="B47" s="601">
        <v>3379</v>
      </c>
      <c r="C47" s="601">
        <v>24799</v>
      </c>
      <c r="D47" s="601">
        <v>0</v>
      </c>
      <c r="E47" s="629">
        <f>28178-SUM(B47:D47)</f>
        <v>0</v>
      </c>
      <c r="F47" s="601">
        <v>0</v>
      </c>
      <c r="G47" s="601">
        <v>103866.39</v>
      </c>
      <c r="H47" s="601">
        <v>0</v>
      </c>
      <c r="I47" s="601">
        <v>0</v>
      </c>
      <c r="J47" s="601">
        <v>0</v>
      </c>
      <c r="K47" s="601">
        <v>0</v>
      </c>
      <c r="L47" s="601">
        <v>0</v>
      </c>
      <c r="M47" s="601">
        <v>0</v>
      </c>
      <c r="N47" s="602">
        <f>SUM(B47:M47)</f>
        <v>132044.39000000001</v>
      </c>
      <c r="O47" s="603">
        <f>239456+N47</f>
        <v>371500.39</v>
      </c>
      <c r="P47" s="623">
        <v>1000000</v>
      </c>
      <c r="Q47" s="602">
        <v>0</v>
      </c>
      <c r="R47" s="537">
        <f t="shared" si="13"/>
        <v>0.37150039000000001</v>
      </c>
      <c r="S47" s="563"/>
      <c r="T47" s="564"/>
      <c r="U47" s="564"/>
      <c r="V47" s="565"/>
    </row>
    <row r="48" spans="1:22" ht="13">
      <c r="A48" s="301" t="s">
        <v>172</v>
      </c>
      <c r="B48" s="607">
        <f>SUM(B44:B47)</f>
        <v>184373</v>
      </c>
      <c r="C48" s="614">
        <f t="shared" ref="C48:M48" si="14">SUM(C44:C47)</f>
        <v>256470</v>
      </c>
      <c r="D48" s="614">
        <f t="shared" si="14"/>
        <v>279527</v>
      </c>
      <c r="E48" s="614">
        <f t="shared" si="14"/>
        <v>250986</v>
      </c>
      <c r="F48" s="614">
        <f t="shared" si="14"/>
        <v>159787</v>
      </c>
      <c r="G48" s="614">
        <f>SUM(G44:G47)</f>
        <v>686170.9800000001</v>
      </c>
      <c r="H48" s="614">
        <f t="shared" si="14"/>
        <v>164046.65</v>
      </c>
      <c r="I48" s="614">
        <f t="shared" si="14"/>
        <v>0</v>
      </c>
      <c r="J48" s="614">
        <f t="shared" si="14"/>
        <v>0</v>
      </c>
      <c r="K48" s="614">
        <f t="shared" si="14"/>
        <v>0</v>
      </c>
      <c r="L48" s="614">
        <f t="shared" si="14"/>
        <v>0</v>
      </c>
      <c r="M48" s="614">
        <f t="shared" si="14"/>
        <v>0</v>
      </c>
      <c r="N48" s="610">
        <f>N47+N46+N45+N44</f>
        <v>1981360.6300000004</v>
      </c>
      <c r="O48" s="615">
        <f>SUM(O44:O47)</f>
        <v>11146524.630000003</v>
      </c>
      <c r="P48" s="609">
        <f>SUM(P44:P47)</f>
        <v>18643600</v>
      </c>
      <c r="Q48" s="610">
        <f>SUM(Q44:Q47)</f>
        <v>0</v>
      </c>
      <c r="R48" s="539">
        <f>O48/P48</f>
        <v>0.59787404953978862</v>
      </c>
      <c r="S48" s="563"/>
      <c r="T48" s="564"/>
      <c r="U48" s="564"/>
      <c r="V48" s="564"/>
    </row>
    <row r="49" spans="1:22" ht="13">
      <c r="A49" s="298"/>
      <c r="B49" s="601"/>
      <c r="C49" s="611"/>
      <c r="D49" s="611"/>
      <c r="E49" s="611"/>
      <c r="F49" s="612"/>
      <c r="G49" s="611"/>
      <c r="H49" s="612"/>
      <c r="I49" s="612"/>
      <c r="J49" s="612"/>
      <c r="K49" s="612"/>
      <c r="L49" s="612"/>
      <c r="M49" s="612"/>
      <c r="N49" s="602"/>
      <c r="O49" s="613"/>
      <c r="P49" s="604"/>
      <c r="Q49" s="602"/>
      <c r="R49" s="537"/>
      <c r="S49" s="563"/>
      <c r="T49" s="564"/>
      <c r="U49" s="564"/>
      <c r="V49" s="564"/>
    </row>
    <row r="50" spans="1:22" ht="15" customHeight="1">
      <c r="A50" s="304" t="s">
        <v>173</v>
      </c>
      <c r="B50" s="607">
        <f>B48+B41+B37+B30+B24+B20+B16</f>
        <v>661763</v>
      </c>
      <c r="C50" s="614">
        <f>C48+C41+C37+C30+C24+C20+C16</f>
        <v>453342</v>
      </c>
      <c r="D50" s="614">
        <f t="shared" ref="D50:M50" si="15">D48+D41+D37+D30+D24+D20+D16</f>
        <v>802978</v>
      </c>
      <c r="E50" s="614">
        <f t="shared" si="15"/>
        <v>450663</v>
      </c>
      <c r="F50" s="614">
        <f t="shared" si="15"/>
        <v>333352</v>
      </c>
      <c r="G50" s="614">
        <f t="shared" si="15"/>
        <v>1280366.6599999999</v>
      </c>
      <c r="H50" s="614">
        <f>H48+H41+H37+H30+H24+H20+H16</f>
        <v>361678.04000000004</v>
      </c>
      <c r="I50" s="614">
        <f t="shared" si="15"/>
        <v>0</v>
      </c>
      <c r="J50" s="614">
        <f t="shared" si="15"/>
        <v>0</v>
      </c>
      <c r="K50" s="614">
        <f t="shared" si="15"/>
        <v>0</v>
      </c>
      <c r="L50" s="614">
        <f t="shared" si="15"/>
        <v>0</v>
      </c>
      <c r="M50" s="614">
        <f t="shared" si="15"/>
        <v>0</v>
      </c>
      <c r="N50" s="610">
        <f>N48+N41+N37+N30+N24+N20+N16</f>
        <v>4344142.7</v>
      </c>
      <c r="O50" s="615">
        <f>O48+O41+O37+O30+O24+O20+O16</f>
        <v>31253735.359999999</v>
      </c>
      <c r="P50" s="624">
        <f>P48+P41+P37+P30+P24+P20+P16</f>
        <v>82380102</v>
      </c>
      <c r="Q50" s="624">
        <f>Q16+Q30+Q48</f>
        <v>0</v>
      </c>
      <c r="R50" s="539">
        <f>O50/P50</f>
        <v>0.37938451884898128</v>
      </c>
      <c r="S50" s="563"/>
      <c r="T50" s="564"/>
      <c r="U50" s="564"/>
      <c r="V50" s="565"/>
    </row>
    <row r="51" spans="1:22" ht="15" customHeight="1">
      <c r="A51" s="305"/>
      <c r="B51" s="485"/>
      <c r="C51" s="484"/>
      <c r="D51" s="484"/>
      <c r="E51" s="484"/>
      <c r="F51" s="484"/>
      <c r="G51" s="486"/>
      <c r="H51" s="484"/>
      <c r="I51" s="484"/>
      <c r="J51" s="484"/>
      <c r="K51" s="484"/>
      <c r="L51" s="484"/>
      <c r="M51" s="484"/>
      <c r="N51" s="484"/>
      <c r="O51" s="522"/>
      <c r="P51" s="484" t="s">
        <v>56</v>
      </c>
      <c r="Q51" s="484"/>
      <c r="R51" s="535"/>
      <c r="S51" s="563"/>
      <c r="T51" s="564"/>
      <c r="U51" s="564"/>
      <c r="V51" s="564"/>
    </row>
    <row r="52" spans="1:22" ht="10.5" customHeight="1" thickBot="1">
      <c r="A52" s="202"/>
      <c r="B52" s="200"/>
      <c r="C52" s="140"/>
      <c r="D52" s="140"/>
      <c r="E52" s="140"/>
      <c r="F52" s="140"/>
      <c r="G52" s="140"/>
      <c r="H52" s="140"/>
      <c r="I52" s="140"/>
      <c r="J52" s="140"/>
      <c r="K52" s="140"/>
      <c r="L52" s="140"/>
      <c r="M52" s="140"/>
      <c r="N52" s="140"/>
      <c r="O52" s="523"/>
      <c r="P52" s="141"/>
      <c r="Q52" s="141"/>
      <c r="R52" s="292"/>
    </row>
    <row r="53" spans="1:22">
      <c r="A53" s="197"/>
      <c r="G53" s="249"/>
      <c r="P53" s="249" t="s">
        <v>56</v>
      </c>
    </row>
    <row r="54" spans="1:22" ht="14">
      <c r="A54" s="262" t="s">
        <v>63</v>
      </c>
      <c r="B54" s="197"/>
      <c r="N54" s="336"/>
      <c r="P54" s="130" t="s">
        <v>56</v>
      </c>
    </row>
    <row r="55" spans="1:22" s="562" customFormat="1" ht="16">
      <c r="A55" s="312" t="s">
        <v>304</v>
      </c>
      <c r="O55" s="625"/>
    </row>
    <row r="56" spans="1:22" s="562" customFormat="1" ht="16.5">
      <c r="A56" s="312" t="s">
        <v>305</v>
      </c>
      <c r="O56" s="625"/>
    </row>
    <row r="57" spans="1:22" ht="16.5">
      <c r="A57" s="312" t="s">
        <v>306</v>
      </c>
    </row>
    <row r="58" spans="1:22" ht="16.5">
      <c r="A58" s="312" t="s">
        <v>359</v>
      </c>
    </row>
    <row r="59" spans="1:22" ht="16.5">
      <c r="A59" s="312" t="s">
        <v>358</v>
      </c>
    </row>
    <row r="60" spans="1:22" ht="14">
      <c r="A60" s="235" t="s">
        <v>64</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7RCVYNPDDY4V-1526832976-120</_dlc_DocId>
    <_dlc_DocIdUrl xmlns="9bf079a2-8838-46e4-a25e-754293e27338">
      <Url>https://sempra.sharepoint.com/teams/sdgecp/po/drps/_layouts/15/DocIdRedir.aspx?ID=7RCVYNPDDY4V-1526832976-120</Url>
      <Description>7RCVYNPDDY4V-1526832976-120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2.xml><?xml version="1.0" encoding="utf-8"?>
<ds:datastoreItem xmlns:ds="http://schemas.openxmlformats.org/officeDocument/2006/customXml" ds:itemID="{DB64F0E2-3735-4A4B-B446-01E723C0F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CE5A5-034A-44C5-96B1-1FD952A1C468}">
  <ds:schemaRefs>
    <ds:schemaRef ds:uri="http://schemas.microsoft.com/office/infopath/2007/PartnerControls"/>
    <ds:schemaRef ds:uri="http://purl.org/dc/terms/"/>
    <ds:schemaRef ds:uri="http://schemas.microsoft.com/office/2006/documentManagement/types"/>
    <ds:schemaRef ds:uri="9bf079a2-8838-46e4-a25e-754293e27338"/>
    <ds:schemaRef ds:uri="http://schemas.openxmlformats.org/package/2006/metadata/core-properties"/>
    <ds:schemaRef ds:uri="http://purl.org/dc/elements/1.1/"/>
    <ds:schemaRef ds:uri="http://schemas.microsoft.com/office/2006/metadata/properties"/>
    <ds:schemaRef ds:uri="3186f035-0cdb-442a-b3b5-e1bf8686ba54"/>
    <ds:schemaRef ds:uri="http://www.w3.org/XML/1998/namespace"/>
    <ds:schemaRef ds:uri="http://purl.org/dc/dcmitype/"/>
  </ds:schemaRefs>
</ds:datastoreItem>
</file>

<file path=customXml/itemProps4.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Business Unit Reporting</vt:lpstr>
      <vt:lpstr>Program MW </vt:lpstr>
      <vt:lpstr>Ex ante LI &amp; Eligibility Stats</vt:lpstr>
      <vt:lpstr>Ex post LI &amp; Eligibility Stats</vt:lpstr>
      <vt:lpstr>TA-TI Distribution@</vt:lpstr>
      <vt:lpstr>Event Summary</vt:lpstr>
      <vt:lpstr>Auto DR (TI) &amp; Tech Deployment</vt:lpstr>
      <vt:lpstr>Marketing</vt:lpstr>
      <vt:lpstr>DRP Expenditures</vt:lpstr>
      <vt:lpstr>Fund Shift Log</vt:lpstr>
      <vt:lpstr>SDGE Costs - AMDRMA Balance</vt:lpstr>
      <vt:lpstr>SDGE Costs -GRC </vt:lpstr>
      <vt:lpstr>SDGE Costs -DPDRMA</vt:lpstr>
      <vt:lpstr>SDGE Costs -ELRP</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-ELRP'!Print_Area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Pitsko, Kenneth C</cp:lastModifiedBy>
  <cp:revision/>
  <dcterms:created xsi:type="dcterms:W3CDTF">2013-01-03T17:03:43Z</dcterms:created>
  <dcterms:modified xsi:type="dcterms:W3CDTF">2021-08-20T01:08:08Z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701eb0b2-545b-40bc-b625-d237db0816f1</vt:lpwstr>
  </property>
  <property fmtid="{D5CDD505-2E9C-101B-9397-08002B2CF9AE}" pid="8" name="SharedWithUsers">
    <vt:lpwstr>212;#Valdivieso, Guillermo</vt:lpwstr>
  </property>
  <property fmtid="{D5CDD505-2E9C-101B-9397-08002B2CF9AE}" pid="9" name="CofWorkbookId">
    <vt:lpwstr>2b7e742a-4021-41b9-893e-ae973cce985b</vt:lpwstr>
  </property>
</Properties>
</file>