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6.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sempra.sharepoint.com/teams/gassystemplanningoir/Shared Documents/G. Distribution Cost Ruling/SDG&amp;E Package/"/>
    </mc:Choice>
  </mc:AlternateContent>
  <xr:revisionPtr revIDLastSave="125" documentId="8_{F1A97B0E-82B4-46CD-BD86-1C346E577F6B}" xr6:coauthVersionLast="47" xr6:coauthVersionMax="47" xr10:uidLastSave="{3EDD7A73-4786-4AA5-973C-1146EC460671}"/>
  <bookViews>
    <workbookView xWindow="-28920" yWindow="-120" windowWidth="29040" windowHeight="15720" activeTab="5" xr2:uid="{79446AAD-70E6-4E1D-B48D-92C43DFA041E}"/>
  </bookViews>
  <sheets>
    <sheet name="Summary" sheetId="2" r:id="rId1"/>
    <sheet name="Costs by Operating District" sheetId="4" r:id="rId2"/>
    <sheet name="Utility-Wide Costs by Program" sheetId="7" r:id="rId3"/>
    <sheet name="Directions" sheetId="12" r:id="rId4"/>
    <sheet name="Definitions" sheetId="1" r:id="rId5"/>
    <sheet name="Definitions of Other Misc Costs" sheetId="10" r:id="rId6"/>
  </sheets>
  <definedNames>
    <definedName name="_ftn1" localSheetId="1">'Costs by Operating District'!$A$14</definedName>
    <definedName name="_ftn1" localSheetId="5">'Definitions of Other Misc Costs'!#REF!</definedName>
    <definedName name="_ftn1" localSheetId="0">Summary!$A$14</definedName>
    <definedName name="_ftn1" localSheetId="2">'Utility-Wide Costs by Program'!#REF!</definedName>
    <definedName name="_ftn2" localSheetId="1">'Costs by Operating District'!$A$15</definedName>
    <definedName name="_ftn2" localSheetId="5">'Definitions of Other Misc Costs'!#REF!</definedName>
    <definedName name="_ftn2" localSheetId="0">Summary!$A$15</definedName>
    <definedName name="_ftn2" localSheetId="2">'Utility-Wide Costs by Program'!#REF!</definedName>
    <definedName name="_ftn4" localSheetId="4">Definitions!$B$33</definedName>
    <definedName name="_ftn5" localSheetId="4">Definitions!$B$34</definedName>
    <definedName name="_ftn6" localSheetId="4">Definitions!$B$35</definedName>
    <definedName name="_ftn7" localSheetId="4">Definitions!$B$36</definedName>
    <definedName name="_ftnref1" localSheetId="1">'Costs by Operating District'!$E$3</definedName>
    <definedName name="_ftnref1" localSheetId="5">'Definitions of Other Misc Costs'!#REF!</definedName>
    <definedName name="_ftnref1" localSheetId="0">Summary!$E$3</definedName>
    <definedName name="_ftnref1" localSheetId="2">'Utility-Wide Costs by Program'!$E$3</definedName>
    <definedName name="_ftnref10" localSheetId="4">Definitions!$B$23</definedName>
    <definedName name="_ftnref11" localSheetId="4">Definitions!$B$25</definedName>
    <definedName name="_ftnref2" localSheetId="1">'Costs by Operating District'!$E$7</definedName>
    <definedName name="_ftnref2" localSheetId="5">'Definitions of Other Misc Costs'!#REF!</definedName>
    <definedName name="_ftnref2" localSheetId="0">Summary!$E$7</definedName>
    <definedName name="_ftnref2" localSheetId="2">'Utility-Wide Costs by Program'!#REF!</definedName>
    <definedName name="_ftnref3" localSheetId="4">Definitions!$B$14</definedName>
    <definedName name="_ftnref4" localSheetId="4">Definitions!$B$15</definedName>
    <definedName name="_ftnref5" localSheetId="4">Definitions!$B$16</definedName>
    <definedName name="_ftnref6" localSheetId="4">Definitions!$B$17</definedName>
    <definedName name="_ftnref7" localSheetId="4">Definitions!$B$18</definedName>
    <definedName name="_ftnref8" localSheetId="4">Definitions!$B$21</definedName>
    <definedName name="_ftnref9" localSheetId="4">Definitions!$B$22</definedName>
    <definedName name="_xlnm.Print_Area" localSheetId="2">'Utility-Wide Costs by Program'!$A$1:$K$23</definedName>
    <definedName name="_xlnm.Print_Area" localSheetId="0">Summary!$A$1:$E$18</definedName>
    <definedName name="_xlnm.Print_Area" localSheetId="1">'Costs by Operating District'!$A$1:$K$31</definedName>
    <definedName name="_xlnm.Print_Area" localSheetId="3">Directions!$B$1:$B$8</definedName>
    <definedName name="_xlnm.Print_Area" localSheetId="4">Definitions!$B$1:$B$40</definedName>
    <definedName name="_xlnm.Print_Area" localSheetId="5">'Definitions of Other Misc Costs'!$A$1:$C$7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7" l="1"/>
  <c r="I22" i="4"/>
  <c r="H22" i="4"/>
  <c r="G22" i="4"/>
  <c r="F22" i="4"/>
  <c r="E22" i="4"/>
  <c r="I21" i="4"/>
  <c r="H21" i="4"/>
  <c r="G21" i="4"/>
  <c r="F21" i="4"/>
  <c r="E21" i="4"/>
  <c r="I20" i="4"/>
  <c r="H20" i="4"/>
  <c r="G20" i="4"/>
  <c r="F20" i="4"/>
  <c r="E20" i="4"/>
  <c r="I19" i="4"/>
  <c r="H19" i="4"/>
  <c r="G19" i="4"/>
  <c r="F19" i="4"/>
  <c r="E19" i="4"/>
  <c r="I6" i="4"/>
  <c r="H6" i="4"/>
  <c r="G6" i="4"/>
  <c r="F6" i="4"/>
  <c r="E6" i="4"/>
  <c r="I11" i="7"/>
  <c r="H11" i="7"/>
  <c r="G11" i="7"/>
  <c r="F11" i="7"/>
  <c r="E11" i="7"/>
  <c r="E12" i="7"/>
  <c r="F12" i="7"/>
  <c r="G12" i="7"/>
  <c r="H12" i="7"/>
  <c r="I12" i="7"/>
  <c r="I13" i="7"/>
  <c r="H13" i="7"/>
  <c r="G13" i="7"/>
  <c r="F13" i="7"/>
  <c r="E13" i="7"/>
  <c r="I14" i="7"/>
  <c r="H14" i="7"/>
  <c r="G14" i="7"/>
  <c r="F14" i="7"/>
  <c r="E14" i="7"/>
  <c r="E3" i="4" l="1"/>
  <c r="F3" i="4"/>
  <c r="H2" i="4"/>
  <c r="I2" i="4"/>
  <c r="I9" i="7"/>
  <c r="I3" i="7" s="1"/>
  <c r="I4" i="7"/>
  <c r="K17" i="7"/>
  <c r="K16" i="7"/>
  <c r="K15" i="7"/>
  <c r="K14" i="7"/>
  <c r="K13" i="7"/>
  <c r="K12" i="7"/>
  <c r="K11" i="7"/>
  <c r="K9" i="7" s="1"/>
  <c r="K5" i="7"/>
  <c r="K6" i="7"/>
  <c r="K4" i="7" s="1"/>
  <c r="H7" i="7"/>
  <c r="G7" i="7"/>
  <c r="F8" i="7"/>
  <c r="H8" i="7"/>
  <c r="G8" i="7"/>
  <c r="F7" i="7"/>
  <c r="K24" i="4"/>
  <c r="K23" i="4"/>
  <c r="D10" i="2" s="1"/>
  <c r="K22" i="4"/>
  <c r="K21" i="4"/>
  <c r="K20" i="4"/>
  <c r="K19" i="4"/>
  <c r="K16" i="4"/>
  <c r="K15" i="4"/>
  <c r="K14" i="4"/>
  <c r="K13" i="4"/>
  <c r="D6" i="2" s="1"/>
  <c r="K8" i="4"/>
  <c r="K7" i="4"/>
  <c r="K5" i="4"/>
  <c r="K4" i="4"/>
  <c r="D7" i="2" s="1"/>
  <c r="G2" i="4"/>
  <c r="G9" i="7"/>
  <c r="H9" i="7"/>
  <c r="G4" i="7"/>
  <c r="F17" i="4"/>
  <c r="F11" i="4" s="1"/>
  <c r="G17" i="4"/>
  <c r="G11" i="4" s="1"/>
  <c r="H17" i="4"/>
  <c r="H10" i="4" s="1"/>
  <c r="I17" i="4"/>
  <c r="I10" i="4" s="1"/>
  <c r="G3" i="4"/>
  <c r="G12" i="4"/>
  <c r="H12" i="4"/>
  <c r="I12" i="4"/>
  <c r="E17" i="4"/>
  <c r="E11" i="4" s="1"/>
  <c r="D11" i="2"/>
  <c r="F12" i="4"/>
  <c r="E12" i="4"/>
  <c r="F9" i="7"/>
  <c r="F4" i="7"/>
  <c r="H4" i="7"/>
  <c r="E4" i="7"/>
  <c r="I3" i="4"/>
  <c r="E2" i="4"/>
  <c r="F2" i="4"/>
  <c r="K6" i="4"/>
  <c r="H3" i="4"/>
  <c r="F2" i="7" l="1"/>
  <c r="F3" i="7"/>
  <c r="H2" i="7"/>
  <c r="H3" i="7"/>
  <c r="G2" i="7"/>
  <c r="G3" i="7"/>
  <c r="E3" i="7"/>
  <c r="E2" i="7"/>
  <c r="K2" i="7"/>
  <c r="I2" i="7"/>
  <c r="K12" i="4"/>
  <c r="K3" i="4"/>
  <c r="K2" i="4"/>
  <c r="D3" i="2" s="1"/>
  <c r="D5" i="2"/>
  <c r="H11" i="4"/>
  <c r="F10" i="4"/>
  <c r="I11" i="4"/>
  <c r="K17" i="4"/>
  <c r="K7" i="7"/>
  <c r="K3" i="7" s="1"/>
  <c r="K8" i="7"/>
  <c r="E10" i="4"/>
  <c r="G10" i="4"/>
  <c r="D8" i="2" l="1"/>
  <c r="K10" i="4"/>
  <c r="K11" i="4"/>
  <c r="D4" i="2"/>
  <c r="D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tc={3D6B4F96-D81D-4270-8044-973899D664A8}</author>
  </authors>
  <commentList>
    <comment ref="B16" authorId="0" shapeId="0" xr:uid="{3D6B4F96-D81D-4270-8044-973899D664A8}">
      <text>
        <t>[Threaded comment]
Your version of Excel allows you to read this threaded comment; however, any edits to it will get removed if the file is opened in a newer version of Excel. Learn more: https://go.microsoft.com/fwlink/?linkid=870924
Comment:
    Because terms like “district” can refer to different sizes and be so confusing, and utilities may be tempted to use different ones, I think it’s useful to list them in the footnotes.</t>
      </text>
    </comment>
  </commentList>
</comments>
</file>

<file path=xl/sharedStrings.xml><?xml version="1.0" encoding="utf-8"?>
<sst xmlns="http://schemas.openxmlformats.org/spreadsheetml/2006/main" count="296" uniqueCount="206">
  <si>
    <t>Row ID</t>
  </si>
  <si>
    <t>Program Category</t>
  </si>
  <si>
    <t>Row Name</t>
  </si>
  <si>
    <t>Value</t>
  </si>
  <si>
    <t>Definition [3]</t>
  </si>
  <si>
    <t>A1</t>
  </si>
  <si>
    <t>Main and service replacement programs</t>
  </si>
  <si>
    <t>Cost per service, for main programs</t>
  </si>
  <si>
    <t>Average cost of gas distribution main and service replacement activities, per service. Also shown in next table, row B8, final column.</t>
  </si>
  <si>
    <t>A2</t>
  </si>
  <si>
    <t>Service-only replacement programs [4]</t>
  </si>
  <si>
    <t>Cost per service replaced, for services only</t>
  </si>
  <si>
    <t xml:space="preserve">Average cost of replacing gas distribution services only.[1]  Also shown in next table, row B1, final column. </t>
  </si>
  <si>
    <t>A3</t>
  </si>
  <si>
    <t>Cost per main mile replaced</t>
  </si>
  <si>
    <t>Average cost of gas distribution main and service replacement activities, per mile of main. Also shown in next table, row B9, final column.</t>
  </si>
  <si>
    <t>A4</t>
  </si>
  <si>
    <t>Services per project, for main programs</t>
  </si>
  <si>
    <t>Average number of services in a single work order.  Also shown in next table, row B10, final column.</t>
  </si>
  <si>
    <t>A5</t>
  </si>
  <si>
    <t>Main program projects per year</t>
  </si>
  <si>
    <t>Average work orders per year, totaled across the utility’s main and service replacement programs. Also shown in next table, row B11, final column.</t>
  </si>
  <si>
    <t>A6</t>
  </si>
  <si>
    <t>Service-only replacement programs</t>
  </si>
  <si>
    <t>Services replaced per year, when services only</t>
  </si>
  <si>
    <t>Average number of services replaced by service-only replacement programs.[2] Also shown in next table, row B3, final column.</t>
  </si>
  <si>
    <t>A7</t>
  </si>
  <si>
    <t>Both main and service and service-only replacement programs</t>
  </si>
  <si>
    <t>Annual pipeline replacement expenditures</t>
  </si>
  <si>
    <t>Total cost across gas distribution replacement programs. Sum of next table’s B5 and B15, final column.</t>
  </si>
  <si>
    <t>A8</t>
  </si>
  <si>
    <t>NA</t>
  </si>
  <si>
    <t>Maintenance cost per service [5]</t>
  </si>
  <si>
    <r>
      <t>Average cost of gas distribution pipeline maintenance</t>
    </r>
    <r>
      <rPr>
        <sz val="12"/>
        <color rgb="FF000000"/>
        <rFont val="Book Antiqua"/>
        <family val="1"/>
      </rPr>
      <t>, per service, not including replacement costs. Also shown in later table, cell G1.</t>
    </r>
  </si>
  <si>
    <t>A9</t>
  </si>
  <si>
    <t>Project planning period, for main programs</t>
  </si>
  <si>
    <r>
      <rPr>
        <sz val="12"/>
        <color rgb="FF000000"/>
        <rFont val="Book Antiqua"/>
      </rPr>
      <t>Average days between the date that the project was identified for replacement and the date that replacement activities broke ground. Also shown in next t</t>
    </r>
    <r>
      <rPr>
        <sz val="12"/>
        <rFont val="Book Antiqua"/>
        <family val="1"/>
      </rPr>
      <t>able, row B21</t>
    </r>
    <r>
      <rPr>
        <sz val="12"/>
        <color rgb="FF000000"/>
        <rFont val="Book Antiqua"/>
      </rPr>
      <t>, final column.</t>
    </r>
  </si>
  <si>
    <t>A10</t>
  </si>
  <si>
    <t>Project planning period, for services only</t>
  </si>
  <si>
    <t>Average days between the date that the service(s) was identified for replacement and the date that replacement activities broke ground. Also shown in next table, row B6, final column.</t>
  </si>
  <si>
    <t>[1]  [Note: Footnote From Template] Programs which replace both mains and services sometimes replace services alone, but including those projects would be more challenging to include in this calculation.</t>
  </si>
  <si>
    <t xml:space="preserve">[2]  [Note: Footnote From Template] Note this will be less than the total services replaced annually because mains and services programs can also includes projects which only replace services.  However, it would be more challenging to include those in this calculation. </t>
  </si>
  <si>
    <t xml:space="preserve">[3] All values are calculated as defined in the "Definition" column for every field that includes a cell calculation or equivalent field in "Definition."	</t>
  </si>
  <si>
    <t xml:space="preserve">[4] Because SDG&amp;E does not have service-only programs, costs may also include activities related to main replacements.
 </t>
  </si>
  <si>
    <t>[5] Maintenance costs include activity codes for O&amp;M Maintenance [MAT Codes: Leak Survey 670,672,671,673 :  CP:603,604,631,633,658,659 Pipeline Ops: 744, and all leak repair orders] District" All O&amp;M leak repairs].  Included damage prevention mark-out costs from FERC 874.3 and 874.31 on Damage Prevention cost centers.</t>
  </si>
  <si>
    <t>Definition [5]</t>
  </si>
  <si>
    <t xml:space="preserve">North Coast </t>
  </si>
  <si>
    <t xml:space="preserve">Northeast </t>
  </si>
  <si>
    <t xml:space="preserve">Metro </t>
  </si>
  <si>
    <t xml:space="preserve">Beach Cities </t>
  </si>
  <si>
    <t xml:space="preserve">Eastern </t>
  </si>
  <si>
    <t>…</t>
  </si>
  <si>
    <t xml:space="preserve">Totals or Averages Across All Operating Districts </t>
  </si>
  <si>
    <t>B1</t>
  </si>
  <si>
    <t xml:space="preserve">Average cost of replacing gas distribution services only.[1]  Calculated by dividing B5 by B3. </t>
  </si>
  <si>
    <t>B2</t>
  </si>
  <si>
    <t>Cost per service mile replaced, for services only</t>
  </si>
  <si>
    <t>Average cost of service-only replacement activities, per mile of main. Calculated by dividing B5 by B4.</t>
  </si>
  <si>
    <t>B3</t>
  </si>
  <si>
    <t>Average number of services replaced by service-only replacement programs.[2]</t>
  </si>
  <si>
    <t>B4</t>
  </si>
  <si>
    <t>Service-only replacement programs[4]</t>
  </si>
  <si>
    <t>Service miles replaced, when services only</t>
  </si>
  <si>
    <t>Total miles of service replaced by service-only replacement programs.</t>
  </si>
  <si>
    <t>B5</t>
  </si>
  <si>
    <t>Total costs, for service-only programs</t>
  </si>
  <si>
    <t>Total costs of service-only replacement programs. Calculated by summing costs for service-only replacement program work orders using cost definitions for the four cost groups “Internal Labor and Related Costs,” “External Labor and Related Costs,” “Materials,” and “Other Misc Costs.”</t>
  </si>
  <si>
    <t>B6</t>
  </si>
  <si>
    <t>Average days between the date that the service(s) was identified for replacement and the date that replacement activities broke ground.</t>
  </si>
  <si>
    <t>B7</t>
  </si>
  <si>
    <t>Project time to completion, for services only</t>
  </si>
  <si>
    <t>Average days between the date that the project was identified for replacement and the date that the replaced service(s) was placed in operation.</t>
  </si>
  <si>
    <t>[skip row]</t>
  </si>
  <si>
    <t>B8</t>
  </si>
  <si>
    <t>Average cost of gas distribution main and service replacement activities, per service. Calculated by dividing B15 by B12.</t>
  </si>
  <si>
    <t>B9</t>
  </si>
  <si>
    <t>Average cost of gas distribution main and service replacement activities, per mile of main. Calculated by dividing B15 by B13.</t>
  </si>
  <si>
    <t>B10</t>
  </si>
  <si>
    <r>
      <t xml:space="preserve">Average number of services in a single work order.  Calculated by dividing B12 by B11. </t>
    </r>
    <r>
      <rPr>
        <sz val="8"/>
        <rFont val="Book Antiqua"/>
        <family val="1"/>
      </rPr>
      <t> </t>
    </r>
  </si>
  <si>
    <t>B11</t>
  </si>
  <si>
    <t>Main and service replacement programs [3]</t>
  </si>
  <si>
    <t>Average work orders per year, totaled across the utility’s main and service replacement programs.</t>
  </si>
  <si>
    <t>B12</t>
  </si>
  <si>
    <t>Services addressed by main programs</t>
  </si>
  <si>
    <t xml:space="preserve">Total services connected to mains replaced by main and service replacement programs, whether or not the service was replaced by the project. </t>
  </si>
  <si>
    <t>B13</t>
  </si>
  <si>
    <t>Main miles replaced</t>
  </si>
  <si>
    <t>Total miles of main replaced by main and service replacement program work orders.</t>
  </si>
  <si>
    <t>B14</t>
  </si>
  <si>
    <t>Service miles replaced, for main programs</t>
  </si>
  <si>
    <t>Total miles of service replaced by main and service replacement program work orders.</t>
  </si>
  <si>
    <t>B15</t>
  </si>
  <si>
    <t>Total costs, for main programs</t>
  </si>
  <si>
    <r>
      <t>Total costs of main and service replacement program work orders. Calculated by summing B17, B18, B19 and B20.</t>
    </r>
    <r>
      <rPr>
        <i/>
        <sz val="12"/>
        <rFont val="Book Antiqua"/>
        <family val="1"/>
      </rPr>
      <t xml:space="preserve"> </t>
    </r>
  </si>
  <si>
    <t>B16</t>
  </si>
  <si>
    <t>Cost Group</t>
  </si>
  <si>
    <t>B17</t>
  </si>
  <si>
    <t>Internal Labor and Related Costs</t>
  </si>
  <si>
    <t>Sum of salaries of utility employees; benefits (health, retirement, disability, etc.) associated with utility employee labor; employee travel costs, including meals, lodging, mileage, per diem, incidentals, and any other travel costs; and payroll taxes.</t>
  </si>
  <si>
    <t>B18</t>
  </si>
  <si>
    <t>External Labor and Related Costs</t>
  </si>
  <si>
    <t>Combine “external labor” and contracts costs.  Includes contracts for services and for employees.  Include equipment rental here.</t>
  </si>
  <si>
    <t>B19</t>
  </si>
  <si>
    <t>Materials</t>
  </si>
  <si>
    <t>Cost of pipe, valves, fittings, regulators, and other materials installed at the project.</t>
  </si>
  <si>
    <t>B20</t>
  </si>
  <si>
    <t>Other Misc Costs</t>
  </si>
  <si>
    <t xml:space="preserve">Sum of costs in the cost categories “Fleet,” “Permitting,” “AFUDC,” “Land,” “Other,” and “Administrative &amp; General Costs” as defined in “Definitions of Other Misc Costs.” </t>
  </si>
  <si>
    <t>B21</t>
  </si>
  <si>
    <t>Average days between the date that the project was identified for replacement and the date that replacement activities broke ground.</t>
  </si>
  <si>
    <t>B22</t>
  </si>
  <si>
    <t>Project time to completion, for main programs</t>
  </si>
  <si>
    <t>Average days between the date that the project was identified for replacement and the date that the replacement equipment was placed in operation.</t>
  </si>
  <si>
    <t>[1]  [Note: Footnote From Template] Programs which replace both mains and services sometimes replace services alone, but including those projects would be onerous to include in this calculation.</t>
  </si>
  <si>
    <t xml:space="preserve">[2]  [Note: Footnote From Template] Note this will be an undercount because mains and services programs can also includes projects which only replace services.  However, it would be more challenging to include those in this calculation. </t>
  </si>
  <si>
    <t>[3] Budget Codes: 508- Gas Distribution Leak Repair Unplanned, 514- RAMP Vintage Steel Replacement (1965-present), 19564- RAMP Vintage Steel Replacement (1934 to 1964), 19565- RAMP Vintage Steel Replacement (1933 and older), 546 DIMP.</t>
  </si>
  <si>
    <t>[4] Budget Codes: 551 with Notification Description of CP 10 and 19563 for DCRR jobs.</t>
  </si>
  <si>
    <t xml:space="preserve">[5] All values are calculated as defined in the "Definition" column for every field that includes a cell calculation or equivalent field in "Definition."	</t>
  </si>
  <si>
    <t>Definition [4]</t>
  </si>
  <si>
    <t xml:space="preserve">Gas Distribution Leak Repair- Unplanned (BC 508) </t>
  </si>
  <si>
    <t xml:space="preserve">RAMP- Vintage Steel Replacement (1965-present) (BC 514) </t>
  </si>
  <si>
    <t xml:space="preserve">RAMP- Vintage Steel Replacement (1934 to 1964) (BC 19564) </t>
  </si>
  <si>
    <t xml:space="preserve">RAMP- Vintage Steel Replacement (1933 and older) (BC 19565) </t>
  </si>
  <si>
    <t xml:space="preserve">546 DIMP </t>
  </si>
  <si>
    <t>Totals or Averages Across All Programs</t>
  </si>
  <si>
    <t>C1</t>
  </si>
  <si>
    <t>Average cost of gas distribution main and service replacement activities, per service. Calculated by dividing C8 by C5.</t>
  </si>
  <si>
    <t>C2</t>
  </si>
  <si>
    <t>Average cost of gas distribution main and service replacement activities, per mile of main. Calculated by dividing C8 by C6.</t>
  </si>
  <si>
    <t>C3</t>
  </si>
  <si>
    <t xml:space="preserve">Average number of services in a single work order.  Calculated by dividing C5 by C4. </t>
  </si>
  <si>
    <t>C4</t>
  </si>
  <si>
    <t>Average work orders per year, totalled across the utility’s main and service replacement programs.</t>
  </si>
  <si>
    <t>C5</t>
  </si>
  <si>
    <t>C6</t>
  </si>
  <si>
    <t>C7</t>
  </si>
  <si>
    <t>C8</t>
  </si>
  <si>
    <r>
      <rPr>
        <sz val="12"/>
        <color rgb="FF000000"/>
        <rFont val="Book Antiqua"/>
        <family val="1"/>
      </rPr>
      <t>Total costs of main and service replacement program work orders. Calculated by summing C9, C10, C11, and C12.</t>
    </r>
    <r>
      <rPr>
        <i/>
        <sz val="12"/>
        <color rgb="FF000000"/>
        <rFont val="Book Antiqua"/>
        <family val="1"/>
      </rPr>
      <t xml:space="preserve"> </t>
    </r>
  </si>
  <si>
    <t>C9</t>
  </si>
  <si>
    <t>C10</t>
  </si>
  <si>
    <t>C11</t>
  </si>
  <si>
    <t>C12</t>
  </si>
  <si>
    <t>C13</t>
  </si>
  <si>
    <t>Costs Excluded from Budget Code</t>
  </si>
  <si>
    <t>Include any and all costs that are recorded within C9, C10, C11 or C12 and are not recorded within the program's budget code for rate case purposes. For example, this may include field capital support for some utilities. Thus, this total, if not zero, will overlap with the cost categories shown above.</t>
  </si>
  <si>
    <t>C14</t>
  </si>
  <si>
    <t>C15</t>
  </si>
  <si>
    <t xml:space="preserve">[4] All values are calculated as defined in the "Definition" column for every field that includes a cell calculation or equivalent field in "Definition."				</t>
  </si>
  <si>
    <t>Summary</t>
  </si>
  <si>
    <r>
      <rPr>
        <sz val="13"/>
        <color rgb="FF000000"/>
        <rFont val="Book Antiqua"/>
        <family val="1"/>
      </rPr>
      <t>a.</t>
    </r>
    <r>
      <rPr>
        <sz val="7"/>
        <color rgb="FF000000"/>
        <rFont val="Times New Roman"/>
        <family val="1"/>
      </rPr>
      <t xml:space="preserve">    </t>
    </r>
    <r>
      <rPr>
        <sz val="13"/>
        <color rgb="FF000000"/>
        <rFont val="Book Antiqua"/>
        <family val="1"/>
      </rPr>
      <t>In the tab “Summary,” provide the rows of information shown. In the first column, provide the Row ID, as shown; in the second column, provide the Program Category, as shown; in the third column, provide the Row Name, as shown; in the fourth column, provide the value, calculated as described in the definition, averaged across the years; and in the fifth column, provide the Definition, as shown.</t>
    </r>
  </si>
  <si>
    <t>Costs by Operating District</t>
  </si>
  <si>
    <t>b.   	In the tab “Costs by Operating District,” provide the program accomplishments and costs shown (rows), broken down by operating district (columns).  In the first four columns, provide the Row ID, Program Category, Row Name and Definition, as shown. Next provide a column for each operating district, with the heading stating the district’s name and ID number, and in it, include only the information for work orders in that operating district. In the last column, provide the information across all operating districts (totals unless definition is an average, in which case provide average across all operating districts). For each row, include only information for the programs specified in the “Program Category." 
Values for B8 through B15 in the last column should match with values for C1 througch C8 in the last column in the tab “Utility-Wide Costs by Program.”</t>
  </si>
  <si>
    <t>Utility-Wide Costs by Program</t>
  </si>
  <si>
    <t xml:space="preserve">c.   	In the tab, “Utility-Wide Costs by Program,” provide the program accomplishments and costs shown (rows), broken down by programs (columns).  In the first four columns, provide the Row ID, Program Category, Row Name and Definition, as shown.  Next provide a column for each program, and in it, include only the information for work orders in that program.  Include all the costs for work orders associated with the program, even if these costs are not recorded under the work order or program.  In the last column, provide the information across all programs (totals unless definition is an average, in which case provide average across all programs shown in preceding columns). </t>
  </si>
  <si>
    <r>
      <t>1.</t>
    </r>
    <r>
      <rPr>
        <i/>
        <sz val="13"/>
        <color theme="1"/>
        <rFont val="Times New Roman"/>
        <family val="1"/>
      </rPr>
      <t xml:space="preserve">    </t>
    </r>
    <r>
      <rPr>
        <i/>
        <sz val="13"/>
        <color theme="1"/>
        <rFont val="Book Antiqua"/>
        <family val="1"/>
      </rPr>
      <t>Definitions</t>
    </r>
  </si>
  <si>
    <t>For the data required in this template, use the following definitions unless otherwise stated:</t>
  </si>
  <si>
    <t>a.    Data time period: Annual for calendar years 2021-2024, averaged across these four years.</t>
  </si>
  <si>
    <t xml:space="preserve">b.    Main and service replacement programs: </t>
  </si>
  <si>
    <t>                                              i.     PG&amp;E: Plastic Pipeline Replacement Program (MAT Code 14D) (which covers aldyl-A); Gas Pipeline Replacement Program (14A) (which covers pre-1941 steel); Reliability Main Replacement Program (50A)</t>
  </si>
  <si>
    <t>                                             ii.     SoCalGas/SDG&amp;E: Vintage Integrity Plastic Plan (within Budget Code 277); Bare Steel Replacement Plan (within 277) (which covers pre-1972 steel without cathodic protection); Main Replacement Programs (252, 253, 255, 267, 278[1])</t>
  </si>
  <si>
    <t>                                           iii.     Southwest Gas: Targeted Pipe Replacement Program (which covers Driscopipe 7000 plastic[2]) (within budget code 9636); Vintage Steel Program (which covers pre-1961 steel) (within 9636 and 9605)</t>
  </si>
  <si>
    <t>c.     Service-only replacement programs:</t>
  </si>
  <si>
    <t>                                              i.     PG&amp;E: Reliability Service Replacement Program (50B)</t>
  </si>
  <si>
    <t>                                              ii.     SoCalGas/SDG&amp;E: Service Replacement Programs (256, 257, 258, 260)</t>
  </si>
  <si>
    <t xml:space="preserve">                                              iii.     Southwest Gas: Customer-Owned Yard Line Program (school and non-school locations)  </t>
  </si>
  <si>
    <t>                                              iv.     Regulator station replacement programs: PG&amp;E: Regulator Station Rebuilds (50C)</t>
  </si>
  <si>
    <t>                                              v.     SoCalGas/SDG&amp;E: rebuilds/replacements within Regulator Stations Program (within budget code 265; exclude non-replacement activities not addressed here)</t>
  </si>
  <si>
    <t xml:space="preserve">d.    Operating Districts:[3] </t>
  </si>
  <si>
    <t>                                              i.         PG&amp;E: provide name and number of 18 divisions.[4]</t>
  </si>
  <si>
    <t>                                              ii.         SoCalGas: provide name and number of about 50 gas districts.[5]</t>
  </si>
  <si>
    <t>                                              iii.     SDG&amp;E: provide name and number of 5 districts.[6]</t>
  </si>
  <si>
    <t>                                              iv.     Southwest Gas: provide name and number of 7 districts.[7]</t>
  </si>
  <si>
    <t>e.     Work order: Common identifier used by the gas utility to track gas infrastructure work at a given location. For example, the replacement of five adjacent services and the mains serving them typically would be tracked as one work order. The term “project” is also used in this document to refer to a work order.</t>
  </si>
  <si>
    <t>f.      Costs: Provide the costs for all work orders associated with the program, as recorded for the applicable years. That is, state the amount totaled across the program’s work orders. Include costs under the year they were incurred.  Include all the costs described in the cost category, regardless of what budget code they are recorded under.</t>
  </si>
  <si>
    <t>g.    Pressure District: Set of customer meters, services and mains that together depends on one or more gas distribution regulator stations, and not on other gas distribution regulator stations.[8]  Note that operating districts and pressure districts are not the same.</t>
  </si>
  <si>
    <t xml:space="preserve">                                              i.     SoCalGas: about 750 pressure systems.[9] </t>
  </si>
  <si>
    <t>                                              ii.     PG&amp;E: about 1200 hydraulically independent systems.[10]</t>
  </si>
  <si>
    <t>                                              iii.     Southwest Gas: Fewer systems due to smaller footprint in California.</t>
  </si>
  <si>
    <t>h.    Pressure Category: Describes the pressure in a pressure district or the outgoing pressure from a regulator station that serves a pressure district.[11]</t>
  </si>
  <si>
    <t>                                              i.     Medium-pressure: pressure of 1 through 60 psig, and the regulator station is not “HPR-type”</t>
  </si>
  <si>
    <t>                                              ii.     Low-pressure: pressure less than 1 psig</t>
  </si>
  <si>
    <t xml:space="preserve">[1] Workpaper includes these codes within work group 252. Southern California Gas Company, submitted in SoCalGas General Rate Case A.22-05-015 for years 2024-2027, Work Unit/Activity Level Estimates, SCG-04-CWP-R_Mario_Aguirre-Gas_Distribution_49456.pdf, pp. 45 &amp;ff. </t>
  </si>
  <si>
    <t>[2] Driscopipe 7000 was installed in 1974-1980. See Prepared Direct Testimony of Kevin Lang on behalf of Southwest Gas Corporation, submitted in Southwest Gas General Rate Case A.22-05-015, August 2019, https://docs.cpuc.ca.gov/PublishedDocs/SupDoc/A1908015/2695/338276400.pdf, p. 5.</t>
  </si>
  <si>
    <t>[3] Consistent definitions were used for Operating District in Gas System Census Tract Data, filed by gas utilities in response to Administrative Law Judge’s Ruling Seeking Data from Gas Utilities in R.24-09-012, January 13, 14, and 17, 2024, posted on the CPUC’s R.24-09-012 webpage, https://www.cpuc.ca.gov/industries-and-topics/natural-gas/long-term-gas-planning-rulemaking. See definitions in Administrative Law Judge’s Ruling Seeking Revised Data from Gas Utilities in R.20-01-007, September 22, 2022, https://www.cpuc.ca.gov/-/media/cpuc-website/divisions/energy-division/documents/natural-gas/long-term-gas-planning-oir/rulings/revisedgassystemdataruling09212022.pdf, also available on the CPUC’s R.20-01-007 webpage, https://www.cpuc.ca.gov/industries-and-topics/natural-gas/long-term-gas-planning-rulemaking-closed.</t>
  </si>
  <si>
    <t xml:space="preserve">[4] PG&amp;E’s 18 Divisions have been reported as: Diablo, East Bay, Mission, Peninsula, De Anza, San Jose, San Francisco, Central Coast, Fresno, Kern, Stockton, Yosemite, North Bay, Sonoma, Humboldt, Northern Valley, Sacramento, and Sierra. For 14A and 14D distribution pipeline replacement contracts, these divisions are used as bid areas, while for some other contract types they may be combined into 8 larger bid areas. </t>
  </si>
  <si>
    <t>[5] SoCalGas’ 50 districts have been reported as: Orange Coast – Azusa, Anaheim, Alhambra, Aliso Viejo, Downey, Garden Grove, Industry, La Jolla, Pasadena, Santa Ana, Whittier (group 1); Inland – Beaumont, Corona, Chino, Fontana, Murrieta, Ramona, Redlands, Rim Forest, Riverside, San Bernardino (group 2); Inland Desert – Blythe, El Centro, Palm Desert, Yucca Valley (group 3); Lower Los Angeles – 182nd, Belvedere, Crenshaw, Compton, Hollywood, Huntington Park, Juanita, Santa Monica, San Pedro (group 4); Upper Los Angeles/SFV – Branford, Canoga Park, Chatsworth, Glendale, Lancaster, Mojave, Simi Valley, Saticoy, Valencia (group 5); Central Coast - Goleta, Ventura/Oxnard, Santa Barbara, Santa Maria, San Luis Obispo, Templeton (group 6); and San Juaquin Valley – Bakersfield, and Visalia (group 7). The groupings are used for some contract cost purposes.</t>
  </si>
  <si>
    <t>[6] SDG&amp;E’s five districts are Beach Cities, Eastern, Metro, North Coast, and Northeast.</t>
  </si>
  <si>
    <t>[7] Southwest Gas’ seven districts are: District 11-Barstow; District 12-Victorville; District 13-Big Bear;  District 14-North Lake Tahoe; District 15-Truckee; District 16-South Lake Tahoe; District 19-Needles.</t>
  </si>
  <si>
    <t xml:space="preserve">[8] Pressure districts are also discussed in Recommendations for SB 1221 California Natural Gas System Mapping, CPUC Energy Division Staff Proposal, February 20, 2025, https://docs.cpuc.ca.gov/PublishedDocs/Efile/G000/M556/K897/556897432.PDF, p. 15.  For additional background on pressure zones, see DeWitte, Tom and Coolidge, Tom, Understanding Pressure Zones, April 2024, https://community.esri.com/t5/gas-and-pipeline-blog/understanding-pressure-zones/ba-p/1416830. </t>
  </si>
  <si>
    <t xml:space="preserve">[9] SoCalGas provided pressure district data including meters served and overlapping census tracts per ruling in proceeding R.20-01-007, now available as “demand nodes csv” and “May 20 demand nodes csv” on the “Long Term Gas Planning Rulemaking-Closed” webpage,  https://www.cpuc.ca.gov/industries-and-topics/natural-gas/long-term-gas-planning-rulemaking-closed. </t>
  </si>
  <si>
    <t xml:space="preserve">[10] Recommendations for SB 1221 California Natural Gas System Mapping, p. 15. See also Gas System Census Tract Data Notes, filed by PG&amp;E in response to Administrative Law Judge’s Ruling Seeking Data from Gas Utilities in R.24-09-012, January 13, 2024, https://www.cpuc.ca.gov/-/media/cpuc-website/divisions/energy-division/documents/natural-gas/long-term-gas-planning-oir/pge/gassystemcensustractdatanotes_pgne.pdf, p. B-18, also posted on the CPUC’s R.24-09-012 webpage, https://www.cpuc.ca.gov/industries-and-topics/natural-gas/long-term-gas-planning-rulemaking. </t>
  </si>
  <si>
    <t>[11] Exclude HPR-type regulators from this analysis. “HPR-type” means reduces to pressure of 1 through 60 psig and is an “HPR-type” regulator station or a district served by such a station. “HPR-type” refers to a regulator station that uses any of the following spring-operated regulators: Fisher 621, Fisher 627, Fisher 630, Reliance Model HPR 10, Reliance Model HPR 20, Reliance Model HPR 268, Rockwell 141, Rockwell 141A, Rockwell 041, Sprague/Itron B35. HPR-type regulators are excluded because they are smaller and simpler than medium-pressure and low-pressure regulators. These definitions align with regulator station categories proposed in Appendix B Direction to Utilities Draft for Comment,  https://docs.cpuc.ca.gov/PublishedDocs/Efile/G000/M556/K897/556897318.PDF. Transmission-level regulator stations are not included.</t>
  </si>
  <si>
    <t>Cost Category</t>
  </si>
  <si>
    <t>Definition</t>
  </si>
  <si>
    <t>Fleet</t>
  </si>
  <si>
    <t>Use of utility-owned vehicles.</t>
  </si>
  <si>
    <t>Permitting</t>
  </si>
  <si>
    <t>Costs of acquiring local permits.</t>
  </si>
  <si>
    <t>AFUDC</t>
  </si>
  <si>
    <t>Allowance funds used during construction. Refers to the costs of construction-related borrowing.</t>
  </si>
  <si>
    <t>Land</t>
  </si>
  <si>
    <t>Payments for easements or right-of-way.</t>
  </si>
  <si>
    <t>Other</t>
  </si>
  <si>
    <t>Include utility-owned and utility-rented building and facilities overhead; taxes other than payroll; discounts from contractors; minor materials, e.g. fuel, office supplies and safety equipment; shipping and hazardous waste costs; and other minor costs associated with these activities. Also include these gas distribution replacement activities’ share of the cost of capital tools, e.g., pipe cutting and tapping equipment.</t>
  </si>
  <si>
    <t>Administrative &amp; General Costs</t>
  </si>
  <si>
    <t>Exclude permitting. Include other capitalized A&amp;G costs. Note this tends to be a relatively large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</si>
</sst>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5" formatCode="_(&quot;$&quot;* #,##0.000_);_(&quot;$&quot;* \(#,##0.000\);_(&quot;$&quot;* &quot;-&quot;??_);_(@_)"/>
  </numFmts>
  <fonts count="29">
    <font>
      <sz val="11"/>
      <color theme="1"/>
      <name val="Aptos Narrow"/>
      <family val="2"/>
      <scheme val="minor"/>
    </font>
    <font>
      <sz val="12"/>
      <color theme="1"/>
      <name val="Book Antiqua"/>
      <family val="1"/>
    </font>
    <font>
      <b/>
      <sz val="12"/>
      <color rgb="FF000000"/>
      <name val="Book Antiqua"/>
      <family val="1"/>
    </font>
    <font>
      <sz val="12"/>
      <color rgb="FF000000"/>
      <name val="Book Antiqua"/>
      <family val="1"/>
    </font>
    <font>
      <i/>
      <sz val="12"/>
      <color theme="1"/>
      <name val="Book Antiqua"/>
      <family val="1"/>
    </font>
    <font>
      <u/>
      <sz val="11"/>
      <color theme="10"/>
      <name val="Aptos Narrow"/>
      <family val="2"/>
      <scheme val="minor"/>
    </font>
    <font>
      <b/>
      <sz val="12"/>
      <color theme="1"/>
      <name val="Book Antiqua"/>
      <family val="1"/>
    </font>
    <font>
      <sz val="13"/>
      <color theme="1"/>
      <name val="Book Antiqua"/>
      <family val="1"/>
    </font>
    <font>
      <i/>
      <sz val="13"/>
      <color theme="1"/>
      <name val="Book Antiqua"/>
      <family val="1"/>
    </font>
    <font>
      <i/>
      <sz val="13"/>
      <color theme="1"/>
      <name val="Times New Roman"/>
      <family val="1"/>
    </font>
    <font>
      <sz val="11"/>
      <name val="Book Antiqua"/>
      <family val="1"/>
    </font>
    <font>
      <i/>
      <sz val="12"/>
      <color rgb="FF000000"/>
      <name val="Book Antiqua"/>
      <family val="1"/>
    </font>
    <font>
      <sz val="13"/>
      <color rgb="FF000000"/>
      <name val="Book Antiqua"/>
      <family val="1"/>
    </font>
    <font>
      <sz val="7"/>
      <color rgb="FF000000"/>
      <name val="Times New Roman"/>
      <family val="1"/>
    </font>
    <font>
      <sz val="11"/>
      <color theme="1"/>
      <name val="Aptos Narrow"/>
      <family val="2"/>
      <scheme val="minor"/>
    </font>
    <font>
      <b/>
      <sz val="12"/>
      <name val="Book Antiqua"/>
      <family val="1"/>
    </font>
    <font>
      <sz val="12"/>
      <name val="Book Antiqua"/>
      <family val="1"/>
    </font>
    <font>
      <i/>
      <sz val="12"/>
      <name val="Book Antiqua"/>
      <family val="1"/>
    </font>
    <font>
      <u/>
      <sz val="11"/>
      <name val="Aptos Narrow"/>
      <family val="2"/>
      <scheme val="minor"/>
    </font>
    <font>
      <sz val="8"/>
      <name val="Book Antiqua"/>
      <family val="1"/>
    </font>
    <font>
      <sz val="11"/>
      <name val="Aptos Narrow"/>
      <family val="2"/>
      <scheme val="minor"/>
    </font>
    <font>
      <sz val="12"/>
      <color rgb="FF000000"/>
      <name val="Book Antiqua"/>
    </font>
    <font>
      <u/>
      <sz val="11"/>
      <color theme="10"/>
      <name val="Book Antiqua"/>
    </font>
    <font>
      <sz val="12"/>
      <name val="Book Antiqua"/>
    </font>
    <font>
      <u/>
      <sz val="12"/>
      <name val="Book Antiqua"/>
    </font>
    <font>
      <sz val="12"/>
      <color theme="1"/>
      <name val="Book Antiqua"/>
    </font>
    <font>
      <u/>
      <sz val="12"/>
      <color theme="1"/>
      <name val="Book Antiqua"/>
    </font>
    <font>
      <u/>
      <sz val="11"/>
      <color theme="1"/>
      <name val="Aptos Narrow"/>
      <family val="2"/>
      <scheme val="minor"/>
    </font>
    <font>
      <u/>
      <sz val="12"/>
      <color theme="10"/>
      <name val="Book Antiqua"/>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medium">
        <color indexed="64"/>
      </bottom>
      <diagonal/>
    </border>
  </borders>
  <cellStyleXfs count="4">
    <xf numFmtId="0" fontId="0" fillId="0" borderId="0"/>
    <xf numFmtId="0" fontId="5" fillId="0" borderId="0" applyNumberFormat="0" applyFill="0" applyBorder="0" applyAlignment="0" applyProtection="0"/>
    <xf numFmtId="44" fontId="14" fillId="0" borderId="0" applyFont="0" applyFill="0" applyBorder="0" applyAlignment="0" applyProtection="0"/>
    <xf numFmtId="43" fontId="14" fillId="0" borderId="0" applyFont="0" applyFill="0" applyBorder="0" applyAlignment="0" applyProtection="0"/>
  </cellStyleXfs>
  <cellXfs count="56">
    <xf numFmtId="0" fontId="0" fillId="0" borderId="0" xfId="0"/>
    <xf numFmtId="0" fontId="1" fillId="0" borderId="0" xfId="0" applyFont="1"/>
    <xf numFmtId="0" fontId="1" fillId="0" borderId="2" xfId="0" applyFont="1" applyBorder="1" applyAlignment="1">
      <alignment vertical="center" wrapText="1"/>
    </xf>
    <xf numFmtId="0" fontId="4" fillId="0" borderId="2" xfId="0" applyFont="1" applyBorder="1" applyAlignment="1">
      <alignment vertical="center" wrapText="1"/>
    </xf>
    <xf numFmtId="0" fontId="3" fillId="0" borderId="2" xfId="0" applyFont="1" applyBorder="1" applyAlignment="1">
      <alignment vertical="center" wrapText="1"/>
    </xf>
    <xf numFmtId="0" fontId="0" fillId="0" borderId="0" xfId="0" applyAlignment="1">
      <alignment wrapText="1"/>
    </xf>
    <xf numFmtId="0" fontId="1" fillId="0" borderId="0" xfId="0" applyFont="1" applyAlignment="1">
      <alignment wrapText="1"/>
    </xf>
    <xf numFmtId="0" fontId="6" fillId="0" borderId="1" xfId="0" applyFont="1" applyBorder="1" applyAlignment="1">
      <alignment vertical="center" wrapText="1"/>
    </xf>
    <xf numFmtId="0" fontId="8"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wrapText="1" indent="12"/>
    </xf>
    <xf numFmtId="0" fontId="10" fillId="0" borderId="0" xfId="1" applyFont="1" applyAlignment="1">
      <alignment horizontal="left" vertical="top" wrapText="1"/>
    </xf>
    <xf numFmtId="0" fontId="12" fillId="0" borderId="0" xfId="0" applyFont="1" applyAlignment="1">
      <alignment horizontal="left" vertical="center" wrapText="1" indent="12"/>
    </xf>
    <xf numFmtId="0" fontId="2" fillId="0" borderId="3" xfId="0" applyFont="1" applyBorder="1" applyAlignment="1">
      <alignment vertical="center" wrapText="1"/>
    </xf>
    <xf numFmtId="44" fontId="3" fillId="0" borderId="3" xfId="0" applyNumberFormat="1" applyFont="1" applyBorder="1" applyAlignment="1">
      <alignment vertical="center" wrapText="1"/>
    </xf>
    <xf numFmtId="164" fontId="3" fillId="0" borderId="3" xfId="0" applyNumberFormat="1" applyFont="1" applyBorder="1" applyAlignment="1">
      <alignment vertical="center" wrapText="1"/>
    </xf>
    <xf numFmtId="0" fontId="1" fillId="0" borderId="3" xfId="0" applyFont="1" applyBorder="1" applyAlignment="1">
      <alignment vertical="center" wrapText="1"/>
    </xf>
    <xf numFmtId="0" fontId="4" fillId="0" borderId="3" xfId="0" applyFont="1" applyBorder="1" applyAlignment="1">
      <alignment vertical="center" wrapText="1"/>
    </xf>
    <xf numFmtId="0" fontId="3" fillId="0" borderId="3" xfId="0" applyFont="1" applyBorder="1" applyAlignment="1">
      <alignment vertical="center" wrapText="1"/>
    </xf>
    <xf numFmtId="44" fontId="3" fillId="0" borderId="3" xfId="2" applyFont="1" applyFill="1" applyBorder="1" applyAlignment="1">
      <alignment vertical="center" wrapText="1"/>
    </xf>
    <xf numFmtId="165" fontId="3" fillId="0" borderId="3" xfId="2" applyNumberFormat="1" applyFont="1" applyFill="1" applyBorder="1" applyAlignment="1">
      <alignment vertical="center" wrapText="1"/>
    </xf>
    <xf numFmtId="164" fontId="5" fillId="0" borderId="3" xfId="1" applyNumberFormat="1" applyFill="1" applyBorder="1" applyAlignment="1">
      <alignment vertical="center" wrapText="1"/>
    </xf>
    <xf numFmtId="0" fontId="15" fillId="0" borderId="3" xfId="0" applyFont="1" applyBorder="1" applyAlignment="1">
      <alignment vertical="center" wrapText="1"/>
    </xf>
    <xf numFmtId="0" fontId="16" fillId="0" borderId="0" xfId="0" applyFont="1" applyAlignment="1">
      <alignment wrapText="1"/>
    </xf>
    <xf numFmtId="0" fontId="16" fillId="0" borderId="3" xfId="0" applyFont="1" applyBorder="1" applyAlignment="1">
      <alignment vertical="center" wrapText="1"/>
    </xf>
    <xf numFmtId="0" fontId="17" fillId="0" borderId="3" xfId="0" applyFont="1" applyBorder="1" applyAlignment="1">
      <alignment vertical="center" wrapText="1"/>
    </xf>
    <xf numFmtId="44" fontId="16" fillId="0" borderId="3" xfId="2" applyFont="1" applyFill="1" applyBorder="1" applyAlignment="1">
      <alignment vertical="center" wrapText="1"/>
    </xf>
    <xf numFmtId="44" fontId="16" fillId="0" borderId="3" xfId="0" applyNumberFormat="1" applyFont="1" applyBorder="1" applyAlignment="1">
      <alignment vertical="center" wrapText="1"/>
    </xf>
    <xf numFmtId="164" fontId="16" fillId="0" borderId="3" xfId="0" applyNumberFormat="1" applyFont="1" applyBorder="1" applyAlignment="1">
      <alignment vertical="center" wrapText="1"/>
    </xf>
    <xf numFmtId="0" fontId="18" fillId="0" borderId="3" xfId="1" applyFont="1" applyFill="1" applyBorder="1" applyAlignment="1">
      <alignment vertical="center" wrapText="1"/>
    </xf>
    <xf numFmtId="43" fontId="16" fillId="0" borderId="3" xfId="3" applyFont="1" applyFill="1" applyBorder="1" applyAlignment="1">
      <alignment vertical="center" wrapText="1"/>
    </xf>
    <xf numFmtId="0" fontId="20" fillId="0" borderId="0" xfId="0" applyFont="1" applyAlignment="1">
      <alignment wrapText="1"/>
    </xf>
    <xf numFmtId="44" fontId="4" fillId="0" borderId="3" xfId="2" applyFont="1" applyFill="1" applyBorder="1" applyAlignment="1">
      <alignment vertical="center" wrapText="1"/>
    </xf>
    <xf numFmtId="44" fontId="1" fillId="0" borderId="3" xfId="2" applyFont="1" applyFill="1" applyBorder="1" applyAlignment="1">
      <alignment vertical="center" wrapText="1"/>
    </xf>
    <xf numFmtId="164" fontId="1" fillId="0" borderId="3" xfId="0" applyNumberFormat="1" applyFont="1" applyBorder="1" applyAlignment="1">
      <alignment vertical="center" wrapText="1"/>
    </xf>
    <xf numFmtId="164" fontId="4" fillId="0" borderId="3" xfId="0" applyNumberFormat="1" applyFont="1" applyBorder="1" applyAlignment="1">
      <alignment vertical="center" wrapText="1"/>
    </xf>
    <xf numFmtId="0" fontId="22" fillId="0" borderId="3" xfId="1" applyFont="1" applyBorder="1" applyAlignment="1">
      <alignment vertical="center" wrapText="1"/>
    </xf>
    <xf numFmtId="0" fontId="23" fillId="0" borderId="3" xfId="0" applyFont="1" applyBorder="1" applyAlignment="1">
      <alignment vertical="center" wrapText="1"/>
    </xf>
    <xf numFmtId="0" fontId="23" fillId="0" borderId="0" xfId="0" applyFont="1" applyAlignment="1">
      <alignment horizontal="left" vertical="top" wrapText="1"/>
    </xf>
    <xf numFmtId="0" fontId="16" fillId="0" borderId="0" xfId="0" applyFont="1" applyAlignment="1">
      <alignment vertical="top" wrapText="1"/>
    </xf>
    <xf numFmtId="0" fontId="25" fillId="0" borderId="3" xfId="0" applyFont="1" applyBorder="1" applyAlignment="1">
      <alignment vertical="center" wrapText="1"/>
    </xf>
    <xf numFmtId="0" fontId="28" fillId="0" borderId="3" xfId="1" applyFont="1" applyBorder="1" applyAlignment="1">
      <alignment vertical="center" wrapText="1"/>
    </xf>
    <xf numFmtId="44" fontId="16" fillId="0" borderId="3" xfId="2" applyFont="1" applyBorder="1" applyAlignment="1">
      <alignment vertical="center" wrapText="1"/>
    </xf>
    <xf numFmtId="0" fontId="1" fillId="2" borderId="3" xfId="0" applyFont="1" applyFill="1" applyBorder="1" applyAlignment="1">
      <alignment vertical="center" wrapText="1"/>
    </xf>
    <xf numFmtId="164" fontId="3" fillId="2" borderId="3" xfId="0" applyNumberFormat="1" applyFont="1" applyFill="1" applyBorder="1" applyAlignment="1">
      <alignment vertical="center" wrapText="1"/>
    </xf>
    <xf numFmtId="0" fontId="3" fillId="2" borderId="3" xfId="0" applyFont="1" applyFill="1" applyBorder="1" applyAlignment="1">
      <alignment vertical="center" wrapText="1"/>
    </xf>
    <xf numFmtId="0" fontId="6" fillId="0" borderId="4" xfId="0" applyFont="1" applyBorder="1" applyAlignment="1">
      <alignment vertical="center" wrapText="1"/>
    </xf>
    <xf numFmtId="0" fontId="1" fillId="0" borderId="5" xfId="0" applyFont="1" applyBorder="1" applyAlignment="1">
      <alignment vertical="center" wrapText="1"/>
    </xf>
    <xf numFmtId="0" fontId="5" fillId="0" borderId="0" xfId="1" applyAlignment="1">
      <alignment horizontal="left" vertical="top" wrapText="1"/>
    </xf>
    <xf numFmtId="0" fontId="27" fillId="0" borderId="0" xfId="1" applyFont="1" applyAlignment="1">
      <alignment horizontal="left" vertical="top" wrapText="1"/>
    </xf>
    <xf numFmtId="0" fontId="24" fillId="0" borderId="0" xfId="1" applyFont="1" applyAlignment="1">
      <alignment horizontal="left" vertical="top" wrapText="1"/>
    </xf>
    <xf numFmtId="0" fontId="26" fillId="0" borderId="0" xfId="0" applyFont="1" applyAlignment="1">
      <alignment horizontal="left" vertical="top"/>
    </xf>
    <xf numFmtId="0" fontId="26" fillId="0" borderId="0" xfId="0" applyFont="1" applyAlignment="1">
      <alignment horizontal="left" vertical="top" wrapText="1"/>
    </xf>
    <xf numFmtId="0" fontId="10" fillId="0" borderId="0" xfId="1" applyFont="1" applyAlignment="1">
      <alignment horizontal="left" vertical="top" wrapText="1"/>
    </xf>
    <xf numFmtId="0" fontId="10" fillId="0" borderId="0" xfId="1" applyFont="1" applyFill="1" applyAlignment="1">
      <alignment horizontal="left" vertical="top" wrapText="1"/>
    </xf>
    <xf numFmtId="0" fontId="7" fillId="0" borderId="0" xfId="0" applyFont="1" applyFill="1" applyAlignment="1">
      <alignment horizontal="left" vertical="center" wrapText="1"/>
    </xf>
  </cellXfs>
  <cellStyles count="4">
    <cellStyle name="Comma" xfId="3" builtinId="3"/>
    <cellStyle name="Currency" xfId="2" builtinId="4"/>
    <cellStyle name="Hyperlink" xfId="1" builtinId="8"/>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Hlavka, Eileen" id="{B0B6F5F9-CC76-4ED4-AAB1-47B712A717F5}" userId="S::Eileen.Hlavka@cpuc.ca.gov::711e84c9-4f10-4577-ba28-180b6d6641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6" dT="2025-09-04T23:55:48.23" personId="{B0B6F5F9-CC76-4ED4-AAB1-47B712A717F5}" id="{3D6B4F96-D81D-4270-8044-973899D664A8}">
    <text>Because terms like “district” can refer to different sizes and be so confusing, and utilities may be tempted to use different ones, I think it’s useful to list them in the footnotes.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5.bin"/><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19239-6118-4AA1-878E-87BB49B56D47}">
  <dimension ref="A1:E18"/>
  <sheetViews>
    <sheetView zoomScaleNormal="100" workbookViewId="0">
      <pane ySplit="1" topLeftCell="A15" activePane="bottomLeft" state="frozen"/>
      <selection pane="bottomLeft"/>
    </sheetView>
  </sheetViews>
  <sheetFormatPr defaultColWidth="8.7109375" defaultRowHeight="15.75"/>
  <cols>
    <col min="1" max="2" width="13.42578125" style="6" customWidth="1"/>
    <col min="3" max="3" width="14.5703125" style="6" customWidth="1"/>
    <col min="4" max="4" width="17.85546875" style="6" bestFit="1" customWidth="1"/>
    <col min="5" max="5" width="31.85546875" style="6" customWidth="1"/>
    <col min="6" max="16384" width="8.7109375" style="1"/>
  </cols>
  <sheetData>
    <row r="1" spans="1:5" ht="33">
      <c r="A1" s="13" t="s">
        <v>0</v>
      </c>
      <c r="B1" s="13" t="s">
        <v>1</v>
      </c>
      <c r="C1" s="13" t="s">
        <v>2</v>
      </c>
      <c r="D1" s="13" t="s">
        <v>3</v>
      </c>
      <c r="E1" s="13" t="s">
        <v>4</v>
      </c>
    </row>
    <row r="2" spans="1:5" ht="78.75">
      <c r="A2" s="16" t="s">
        <v>5</v>
      </c>
      <c r="B2" s="16" t="s">
        <v>6</v>
      </c>
      <c r="C2" s="17" t="s">
        <v>7</v>
      </c>
      <c r="D2" s="32">
        <f>'Costs by Operating District'!K10</f>
        <v>24694.335449635619</v>
      </c>
      <c r="E2" s="18" t="s">
        <v>8</v>
      </c>
    </row>
    <row r="3" spans="1:5" ht="78.75">
      <c r="A3" s="16" t="s">
        <v>9</v>
      </c>
      <c r="B3" s="41" t="s">
        <v>10</v>
      </c>
      <c r="C3" s="17" t="s">
        <v>11</v>
      </c>
      <c r="D3" s="32">
        <f>'Costs by Operating District'!K2</f>
        <v>116511.2227586207</v>
      </c>
      <c r="E3" s="18" t="s">
        <v>12</v>
      </c>
    </row>
    <row r="4" spans="1:5" ht="94.5">
      <c r="A4" s="16" t="s">
        <v>13</v>
      </c>
      <c r="B4" s="16" t="s">
        <v>6</v>
      </c>
      <c r="C4" s="16" t="s">
        <v>14</v>
      </c>
      <c r="D4" s="33">
        <f>'Costs by Operating District'!K11</f>
        <v>2841311.0162017294</v>
      </c>
      <c r="E4" s="18" t="s">
        <v>15</v>
      </c>
    </row>
    <row r="5" spans="1:5" ht="63">
      <c r="A5" s="16" t="s">
        <v>16</v>
      </c>
      <c r="B5" s="16" t="s">
        <v>6</v>
      </c>
      <c r="C5" s="16" t="s">
        <v>17</v>
      </c>
      <c r="D5" s="34">
        <f>'Costs by Operating District'!K12</f>
        <v>16.976525821596244</v>
      </c>
      <c r="E5" s="18" t="s">
        <v>18</v>
      </c>
    </row>
    <row r="6" spans="1:5" ht="94.5">
      <c r="A6" s="16" t="s">
        <v>19</v>
      </c>
      <c r="B6" s="16" t="s">
        <v>6</v>
      </c>
      <c r="C6" s="16" t="s">
        <v>20</v>
      </c>
      <c r="D6" s="34">
        <f>'Costs by Operating District'!K13</f>
        <v>905.25</v>
      </c>
      <c r="E6" s="18" t="s">
        <v>21</v>
      </c>
    </row>
    <row r="7" spans="1:5" ht="78.75">
      <c r="A7" s="16" t="s">
        <v>22</v>
      </c>
      <c r="B7" s="16" t="s">
        <v>23</v>
      </c>
      <c r="C7" s="16" t="s">
        <v>24</v>
      </c>
      <c r="D7" s="34">
        <f>'Costs by Operating District'!K4</f>
        <v>43.5</v>
      </c>
      <c r="E7" s="18" t="s">
        <v>25</v>
      </c>
    </row>
    <row r="8" spans="1:5" ht="94.5">
      <c r="A8" s="16" t="s">
        <v>26</v>
      </c>
      <c r="B8" s="16" t="s">
        <v>27</v>
      </c>
      <c r="C8" s="16" t="s">
        <v>28</v>
      </c>
      <c r="D8" s="33">
        <f>SUM('Costs by Operating District'!K6, 'Costs by Operating District'!K17)</f>
        <v>384570785.38000017</v>
      </c>
      <c r="E8" s="18" t="s">
        <v>29</v>
      </c>
    </row>
    <row r="9" spans="1:5" ht="94.5">
      <c r="A9" s="16" t="s">
        <v>30</v>
      </c>
      <c r="B9" s="16" t="s">
        <v>31</v>
      </c>
      <c r="C9" s="41" t="s">
        <v>32</v>
      </c>
      <c r="D9" s="32">
        <v>16.150237027893606</v>
      </c>
      <c r="E9" s="16" t="s">
        <v>33</v>
      </c>
    </row>
    <row r="10" spans="1:5" ht="110.25">
      <c r="A10" s="16" t="s">
        <v>34</v>
      </c>
      <c r="B10" s="16" t="s">
        <v>6</v>
      </c>
      <c r="C10" s="17" t="s">
        <v>35</v>
      </c>
      <c r="D10" s="35">
        <f>'Costs by Operating District'!K23</f>
        <v>48.490976000000003</v>
      </c>
      <c r="E10" s="18" t="s">
        <v>36</v>
      </c>
    </row>
    <row r="11" spans="1:5" ht="110.25">
      <c r="A11" s="16" t="s">
        <v>37</v>
      </c>
      <c r="B11" s="16" t="s">
        <v>23</v>
      </c>
      <c r="C11" s="17" t="s">
        <v>38</v>
      </c>
      <c r="D11" s="35">
        <f>'Costs by Operating District'!K7</f>
        <v>499.70712000000003</v>
      </c>
      <c r="E11" s="18" t="s">
        <v>39</v>
      </c>
    </row>
    <row r="12" spans="1:5">
      <c r="A12" s="5"/>
      <c r="B12" s="5"/>
      <c r="C12" s="5"/>
      <c r="D12" s="5"/>
      <c r="E12" s="5"/>
    </row>
    <row r="13" spans="1:5">
      <c r="A13" s="5"/>
      <c r="B13" s="5"/>
      <c r="C13" s="5"/>
      <c r="D13" s="5"/>
      <c r="E13" s="5"/>
    </row>
    <row r="14" spans="1:5" ht="48.75" customHeight="1">
      <c r="A14" s="48" t="s">
        <v>40</v>
      </c>
      <c r="B14" s="48"/>
      <c r="C14" s="48"/>
      <c r="D14" s="48"/>
      <c r="E14" s="48"/>
    </row>
    <row r="15" spans="1:5" ht="47.45" customHeight="1">
      <c r="A15" s="48" t="s">
        <v>41</v>
      </c>
      <c r="B15" s="48"/>
      <c r="C15" s="48"/>
      <c r="D15" s="48"/>
      <c r="E15" s="48"/>
    </row>
    <row r="16" spans="1:5" ht="41.25" customHeight="1">
      <c r="A16" s="49" t="s">
        <v>42</v>
      </c>
      <c r="B16" s="49"/>
      <c r="C16" s="49"/>
      <c r="D16" s="49"/>
      <c r="E16" s="49"/>
    </row>
    <row r="17" spans="1:5" ht="39" customHeight="1">
      <c r="A17" s="49" t="s">
        <v>43</v>
      </c>
      <c r="B17" s="49"/>
      <c r="C17" s="49"/>
      <c r="D17" s="49"/>
      <c r="E17" s="49"/>
    </row>
    <row r="18" spans="1:5" ht="69" customHeight="1">
      <c r="A18" s="49" t="s">
        <v>44</v>
      </c>
      <c r="B18" s="49"/>
      <c r="C18" s="49"/>
      <c r="D18" s="49"/>
      <c r="E18" s="49"/>
    </row>
  </sheetData>
  <mergeCells count="5">
    <mergeCell ref="A14:E14"/>
    <mergeCell ref="A15:E15"/>
    <mergeCell ref="A16:E16"/>
    <mergeCell ref="A17:E17"/>
    <mergeCell ref="A18:E18"/>
  </mergeCells>
  <conditionalFormatting sqref="E2:E1048576">
    <cfRule type="containsText" dxfId="2" priority="1" operator="containsText" text="Calculated">
      <formula>NOT(ISERROR(SEARCH("Calculated",E2)))</formula>
    </cfRule>
  </conditionalFormatting>
  <hyperlinks>
    <hyperlink ref="A14" location="_ftnref1" display="_ftnref1" xr:uid="{AB48F987-8E73-4913-82E7-C27B8A8874F0}"/>
    <hyperlink ref="A15" location="_ftnref2" display="_ftnref2" xr:uid="{9BB3D5F0-5B8A-4DEC-B974-B9D07A666DFE}"/>
    <hyperlink ref="E3" location="_ftn1" display="_ftn1" xr:uid="{73BE6466-791B-436C-9473-BC201CBFAAC8}"/>
    <hyperlink ref="E7" location="_ftn2" display="_ftn2" xr:uid="{6F7B1A5F-D444-44AC-9B57-2CF6C279F18F}"/>
    <hyperlink ref="E1" location="'Summary'!A16" display="Definition [3]" xr:uid="{257D08DD-06D6-4EAF-8C13-CA36FC0E58EB}"/>
    <hyperlink ref="B3" location="'Summary'!A17" display="Service-only replacement programs [4]" xr:uid="{69D4B21E-189D-4507-BA1A-0C1AD43BAC67}"/>
    <hyperlink ref="C9" location="'Summary'!A18" display="Maintenance cost per service [5]" xr:uid="{5FFCEAEB-F91E-4F6D-9EEA-0DC7AF095D57}"/>
  </hyperlinks>
  <printOptions horizontalCentered="1"/>
  <pageMargins left="0.25" right="0.25" top="0.75" bottom="0.75" header="0.3" footer="0.3"/>
  <pageSetup fitToWidth="0" fitToHeight="0"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A4DAA-6BB7-4D45-A241-8B7EBF70B2D9}">
  <sheetPr>
    <pageSetUpPr fitToPage="1"/>
  </sheetPr>
  <dimension ref="A1:K31"/>
  <sheetViews>
    <sheetView zoomScaleNormal="100" workbookViewId="0">
      <pane ySplit="1" topLeftCell="A2" activePane="bottomLeft" state="frozen"/>
      <selection pane="bottomLeft"/>
    </sheetView>
  </sheetViews>
  <sheetFormatPr defaultColWidth="8.7109375" defaultRowHeight="15.75"/>
  <cols>
    <col min="1" max="1" width="11.140625" style="23" customWidth="1"/>
    <col min="2" max="2" width="16.7109375" style="23" customWidth="1"/>
    <col min="3" max="3" width="14.85546875" style="23" customWidth="1"/>
    <col min="4" max="4" width="32.140625" style="23" customWidth="1"/>
    <col min="5" max="7" width="16.7109375" style="23" bestFit="1" customWidth="1"/>
    <col min="8" max="8" width="17.85546875" style="23" bestFit="1" customWidth="1"/>
    <col min="9" max="9" width="16.7109375" style="23" bestFit="1" customWidth="1"/>
    <col min="10" max="10" width="7.42578125" style="23" customWidth="1"/>
    <col min="11" max="11" width="17" style="23" customWidth="1"/>
    <col min="12" max="16384" width="8.7109375" style="23"/>
  </cols>
  <sheetData>
    <row r="1" spans="1:11" ht="102" customHeight="1">
      <c r="A1" s="22" t="s">
        <v>0</v>
      </c>
      <c r="B1" s="22" t="s">
        <v>1</v>
      </c>
      <c r="C1" s="22" t="s">
        <v>2</v>
      </c>
      <c r="D1" s="22" t="s">
        <v>45</v>
      </c>
      <c r="E1" s="22" t="s">
        <v>46</v>
      </c>
      <c r="F1" s="22" t="s">
        <v>47</v>
      </c>
      <c r="G1" s="22" t="s">
        <v>48</v>
      </c>
      <c r="H1" s="22" t="s">
        <v>49</v>
      </c>
      <c r="I1" s="22" t="s">
        <v>50</v>
      </c>
      <c r="J1" s="22" t="s">
        <v>51</v>
      </c>
      <c r="K1" s="22" t="s">
        <v>52</v>
      </c>
    </row>
    <row r="2" spans="1:11" ht="63">
      <c r="A2" s="24" t="s">
        <v>53</v>
      </c>
      <c r="B2" s="37" t="s">
        <v>23</v>
      </c>
      <c r="C2" s="25" t="s">
        <v>11</v>
      </c>
      <c r="D2" s="24" t="s">
        <v>54</v>
      </c>
      <c r="E2" s="26">
        <f>E6/E4</f>
        <v>57660.573333333334</v>
      </c>
      <c r="F2" s="26">
        <f t="shared" ref="F2:I2" si="0">F6/F4</f>
        <v>110311.25714285714</v>
      </c>
      <c r="G2" s="26">
        <f t="shared" si="0"/>
        <v>127626.88378947368</v>
      </c>
      <c r="H2" s="26">
        <f t="shared" si="0"/>
        <v>133505.46344827587</v>
      </c>
      <c r="I2" s="26">
        <f t="shared" si="0"/>
        <v>72062.94</v>
      </c>
      <c r="J2" s="24"/>
      <c r="K2" s="27">
        <f>K6/K4</f>
        <v>116511.2227586207</v>
      </c>
    </row>
    <row r="3" spans="1:11" ht="63">
      <c r="A3" s="24" t="s">
        <v>55</v>
      </c>
      <c r="B3" s="37" t="s">
        <v>23</v>
      </c>
      <c r="C3" s="24" t="s">
        <v>56</v>
      </c>
      <c r="D3" s="24" t="s">
        <v>57</v>
      </c>
      <c r="E3" s="26">
        <f>E6/E5</f>
        <v>1313120.3441295547</v>
      </c>
      <c r="F3" s="26">
        <f t="shared" ref="F3:I3" si="1">F6/F5</f>
        <v>2151884.622097115</v>
      </c>
      <c r="G3" s="26">
        <f t="shared" si="1"/>
        <v>2703477.0692115589</v>
      </c>
      <c r="H3" s="26">
        <f t="shared" si="1"/>
        <v>2578501.0801210897</v>
      </c>
      <c r="I3" s="26">
        <f t="shared" si="1"/>
        <v>2753226.1022388632</v>
      </c>
      <c r="J3" s="24"/>
      <c r="K3" s="27">
        <f>K6/K5</f>
        <v>2539989.5496348687</v>
      </c>
    </row>
    <row r="4" spans="1:11" ht="63">
      <c r="A4" s="24" t="s">
        <v>58</v>
      </c>
      <c r="B4" s="36" t="s">
        <v>10</v>
      </c>
      <c r="C4" s="24" t="s">
        <v>24</v>
      </c>
      <c r="D4" s="24" t="s">
        <v>59</v>
      </c>
      <c r="E4" s="28">
        <v>2.25</v>
      </c>
      <c r="F4" s="28">
        <v>5.25</v>
      </c>
      <c r="G4" s="28">
        <v>23.75</v>
      </c>
      <c r="H4" s="28">
        <v>7.25</v>
      </c>
      <c r="I4" s="28">
        <v>5</v>
      </c>
      <c r="J4" s="24"/>
      <c r="K4" s="28">
        <f>SUM(E4:I4)</f>
        <v>43.5</v>
      </c>
    </row>
    <row r="5" spans="1:11" ht="63">
      <c r="A5" s="24" t="s">
        <v>60</v>
      </c>
      <c r="B5" s="36" t="s">
        <v>61</v>
      </c>
      <c r="C5" s="24" t="s">
        <v>62</v>
      </c>
      <c r="D5" s="24" t="s">
        <v>63</v>
      </c>
      <c r="E5" s="28">
        <v>9.8799999999999999E-2</v>
      </c>
      <c r="F5" s="28">
        <v>0.26912878787878786</v>
      </c>
      <c r="G5" s="28">
        <v>1.1212</v>
      </c>
      <c r="H5" s="28">
        <v>0.37537878787878787</v>
      </c>
      <c r="I5" s="28">
        <v>0.13086999999999999</v>
      </c>
      <c r="J5" s="28"/>
      <c r="K5" s="28">
        <f>SUM(E5:I5)</f>
        <v>1.9953775757575756</v>
      </c>
    </row>
    <row r="6" spans="1:11" ht="173.25">
      <c r="A6" s="24" t="s">
        <v>64</v>
      </c>
      <c r="B6" s="36" t="s">
        <v>10</v>
      </c>
      <c r="C6" s="24" t="s">
        <v>65</v>
      </c>
      <c r="D6" s="24" t="s">
        <v>66</v>
      </c>
      <c r="E6" s="26">
        <f>129.73629*1000</f>
        <v>129736.29</v>
      </c>
      <c r="F6" s="26">
        <f>579.1341*1000</f>
        <v>579134.1</v>
      </c>
      <c r="G6" s="26">
        <f>3031.13849*1000</f>
        <v>3031138.4899999998</v>
      </c>
      <c r="H6" s="26">
        <f>967.91461*1000</f>
        <v>967914.61</v>
      </c>
      <c r="I6" s="26">
        <f>360.3147*1000</f>
        <v>360314.7</v>
      </c>
      <c r="J6" s="24"/>
      <c r="K6" s="27">
        <f>SUM(E6:I6)</f>
        <v>5068238.1900000004</v>
      </c>
    </row>
    <row r="7" spans="1:11" ht="78.75">
      <c r="A7" s="24" t="s">
        <v>67</v>
      </c>
      <c r="B7" s="36" t="s">
        <v>10</v>
      </c>
      <c r="C7" s="25" t="s">
        <v>38</v>
      </c>
      <c r="D7" s="24" t="s">
        <v>68</v>
      </c>
      <c r="E7" s="28">
        <v>604.88800000000003</v>
      </c>
      <c r="F7" s="28">
        <v>580.08330000000001</v>
      </c>
      <c r="G7" s="28">
        <v>258.52300000000002</v>
      </c>
      <c r="H7" s="28">
        <v>505.20800000000003</v>
      </c>
      <c r="I7" s="28">
        <v>549.83330000000001</v>
      </c>
      <c r="J7" s="29"/>
      <c r="K7" s="28">
        <f>AVERAGE(E7:I7)</f>
        <v>499.70712000000003</v>
      </c>
    </row>
    <row r="8" spans="1:11" ht="94.5">
      <c r="A8" s="24" t="s">
        <v>69</v>
      </c>
      <c r="B8" s="36" t="s">
        <v>10</v>
      </c>
      <c r="C8" s="24" t="s">
        <v>70</v>
      </c>
      <c r="D8" s="24" t="s">
        <v>71</v>
      </c>
      <c r="E8" s="28">
        <v>884.22220000000004</v>
      </c>
      <c r="F8" s="28">
        <v>779.25</v>
      </c>
      <c r="G8" s="28">
        <v>1047.6980000000001</v>
      </c>
      <c r="H8" s="28">
        <v>888.45830000000001</v>
      </c>
      <c r="I8" s="28">
        <v>874.1</v>
      </c>
      <c r="J8" s="24"/>
      <c r="K8" s="28">
        <f>AVERAGE(E8:I8)</f>
        <v>894.74570000000017</v>
      </c>
    </row>
    <row r="9" spans="1:11" ht="31.5">
      <c r="A9" s="24" t="s">
        <v>72</v>
      </c>
      <c r="B9" s="37"/>
      <c r="C9" s="24"/>
      <c r="D9" s="24"/>
      <c r="E9" s="24"/>
      <c r="F9" s="24"/>
      <c r="G9" s="24"/>
      <c r="H9" s="24"/>
      <c r="I9" s="24"/>
      <c r="J9" s="24"/>
      <c r="K9" s="24"/>
    </row>
    <row r="10" spans="1:11" ht="78.75">
      <c r="A10" s="24" t="s">
        <v>73</v>
      </c>
      <c r="B10" s="37" t="s">
        <v>6</v>
      </c>
      <c r="C10" s="25" t="s">
        <v>7</v>
      </c>
      <c r="D10" s="24" t="s">
        <v>74</v>
      </c>
      <c r="E10" s="30">
        <f>E17/E14</f>
        <v>21834.368454916217</v>
      </c>
      <c r="F10" s="30">
        <f t="shared" ref="F10:I10" si="2">F17/F14</f>
        <v>21988.205572298815</v>
      </c>
      <c r="G10" s="30">
        <f t="shared" si="2"/>
        <v>27620.216177963568</v>
      </c>
      <c r="H10" s="30">
        <f t="shared" si="2"/>
        <v>24245.102880988514</v>
      </c>
      <c r="I10" s="30">
        <f t="shared" si="2"/>
        <v>28072.172721153886</v>
      </c>
      <c r="J10" s="24"/>
      <c r="K10" s="42">
        <f>K17/K14</f>
        <v>24694.335449635619</v>
      </c>
    </row>
    <row r="11" spans="1:11" ht="78.75">
      <c r="A11" s="24" t="s">
        <v>75</v>
      </c>
      <c r="B11" s="37" t="s">
        <v>6</v>
      </c>
      <c r="C11" s="24" t="s">
        <v>14</v>
      </c>
      <c r="D11" s="24" t="s">
        <v>76</v>
      </c>
      <c r="E11" s="30">
        <f>E17/E15</f>
        <v>2292286.7082104506</v>
      </c>
      <c r="F11" s="30">
        <f t="shared" ref="F11:I11" si="3">F17/F15</f>
        <v>2435066.5097287321</v>
      </c>
      <c r="G11" s="30">
        <f t="shared" si="3"/>
        <v>3599365.8889450943</v>
      </c>
      <c r="H11" s="30">
        <f t="shared" si="3"/>
        <v>2969878.6369792088</v>
      </c>
      <c r="I11" s="30">
        <f t="shared" si="3"/>
        <v>2777572.032156792</v>
      </c>
      <c r="J11" s="24"/>
      <c r="K11" s="42">
        <f>K17/K15</f>
        <v>2841311.0162017294</v>
      </c>
    </row>
    <row r="12" spans="1:11" ht="63">
      <c r="A12" s="24" t="s">
        <v>77</v>
      </c>
      <c r="B12" s="37" t="s">
        <v>6</v>
      </c>
      <c r="C12" s="24" t="s">
        <v>17</v>
      </c>
      <c r="D12" s="24" t="s">
        <v>78</v>
      </c>
      <c r="E12" s="30">
        <f>E14/E13</f>
        <v>13.039881831610044</v>
      </c>
      <c r="F12" s="30">
        <f t="shared" ref="F12:I12" si="4">F14/F13</f>
        <v>34.464088397790057</v>
      </c>
      <c r="G12" s="30">
        <f t="shared" si="4"/>
        <v>10.523173605655931</v>
      </c>
      <c r="H12" s="30">
        <f t="shared" si="4"/>
        <v>24.901484480431847</v>
      </c>
      <c r="I12" s="30">
        <f t="shared" si="4"/>
        <v>14.647887323943662</v>
      </c>
      <c r="J12" s="24"/>
      <c r="K12" s="28">
        <f>K14/K13</f>
        <v>16.976525821596244</v>
      </c>
    </row>
    <row r="13" spans="1:11" ht="100.5" customHeight="1">
      <c r="A13" s="24" t="s">
        <v>79</v>
      </c>
      <c r="B13" s="36" t="s">
        <v>80</v>
      </c>
      <c r="C13" s="24" t="s">
        <v>20</v>
      </c>
      <c r="D13" s="24" t="s">
        <v>81</v>
      </c>
      <c r="E13" s="28">
        <v>169.25</v>
      </c>
      <c r="F13" s="28">
        <v>90.5</v>
      </c>
      <c r="G13" s="28">
        <v>318.25</v>
      </c>
      <c r="H13" s="28">
        <v>185.25</v>
      </c>
      <c r="I13" s="28">
        <v>142</v>
      </c>
      <c r="J13" s="24"/>
      <c r="K13" s="28">
        <f>SUM(E13:I13)</f>
        <v>905.25</v>
      </c>
    </row>
    <row r="14" spans="1:11" ht="99.75" customHeight="1">
      <c r="A14" s="24" t="s">
        <v>82</v>
      </c>
      <c r="B14" s="36" t="s">
        <v>80</v>
      </c>
      <c r="C14" s="24" t="s">
        <v>83</v>
      </c>
      <c r="D14" s="24" t="s">
        <v>84</v>
      </c>
      <c r="E14" s="24">
        <v>2207</v>
      </c>
      <c r="F14" s="24">
        <v>3119</v>
      </c>
      <c r="G14" s="24">
        <v>3349</v>
      </c>
      <c r="H14" s="24">
        <v>4613</v>
      </c>
      <c r="I14" s="24">
        <v>2080</v>
      </c>
      <c r="J14" s="24"/>
      <c r="K14" s="24">
        <f>SUM(E14:I14)</f>
        <v>15368</v>
      </c>
    </row>
    <row r="15" spans="1:11" ht="96.75" customHeight="1">
      <c r="A15" s="24" t="s">
        <v>85</v>
      </c>
      <c r="B15" s="36" t="s">
        <v>80</v>
      </c>
      <c r="C15" s="24" t="s">
        <v>86</v>
      </c>
      <c r="D15" s="24" t="s">
        <v>87</v>
      </c>
      <c r="E15" s="28">
        <v>21.021999999999998</v>
      </c>
      <c r="F15" s="28">
        <v>28.164000000000001</v>
      </c>
      <c r="G15" s="28">
        <v>25.699000000000002</v>
      </c>
      <c r="H15" s="28">
        <v>37.658999999999999</v>
      </c>
      <c r="I15" s="28">
        <v>21.021999999999998</v>
      </c>
      <c r="J15" s="28"/>
      <c r="K15" s="28">
        <f>SUM(E15:I15)</f>
        <v>133.566</v>
      </c>
    </row>
    <row r="16" spans="1:11" ht="100.5" customHeight="1">
      <c r="A16" s="24" t="s">
        <v>88</v>
      </c>
      <c r="B16" s="36" t="s">
        <v>80</v>
      </c>
      <c r="C16" s="24" t="s">
        <v>89</v>
      </c>
      <c r="D16" s="24" t="s">
        <v>90</v>
      </c>
      <c r="E16" s="28">
        <v>20.946000000000002</v>
      </c>
      <c r="F16" s="28">
        <v>28.751999999999999</v>
      </c>
      <c r="G16" s="28">
        <v>30.408000000000001</v>
      </c>
      <c r="H16" s="28">
        <v>33.506</v>
      </c>
      <c r="I16" s="28">
        <v>18.696000000000002</v>
      </c>
      <c r="J16" s="28"/>
      <c r="K16" s="28">
        <f>SUM(E16:I16)</f>
        <v>132.30799999999999</v>
      </c>
    </row>
    <row r="17" spans="1:11" ht="78.75">
      <c r="A17" s="24" t="s">
        <v>91</v>
      </c>
      <c r="B17" s="37" t="s">
        <v>6</v>
      </c>
      <c r="C17" s="24" t="s">
        <v>92</v>
      </c>
      <c r="D17" s="24" t="s">
        <v>93</v>
      </c>
      <c r="E17" s="26">
        <f>SUM(E19:E22)</f>
        <v>48188451.180000089</v>
      </c>
      <c r="F17" s="26">
        <f>SUM(F19:F22)</f>
        <v>68581213.180000007</v>
      </c>
      <c r="G17" s="26">
        <f>SUM(G19:G22)</f>
        <v>92500103.979999989</v>
      </c>
      <c r="H17" s="26">
        <f>SUM(H19:H22)</f>
        <v>111842659.59000002</v>
      </c>
      <c r="I17" s="26">
        <f>SUM(I19:I22)</f>
        <v>58390119.26000008</v>
      </c>
      <c r="J17" s="24"/>
      <c r="K17" s="27">
        <f>E17+F17+G17+H17+I17</f>
        <v>379502547.19000018</v>
      </c>
    </row>
    <row r="18" spans="1:11" ht="63">
      <c r="A18" s="24" t="s">
        <v>94</v>
      </c>
      <c r="B18" s="37" t="s">
        <v>6</v>
      </c>
      <c r="C18" s="24" t="s">
        <v>95</v>
      </c>
      <c r="D18" s="24"/>
      <c r="E18" s="24"/>
      <c r="F18" s="24"/>
      <c r="G18" s="24"/>
      <c r="H18" s="24"/>
      <c r="I18" s="24"/>
      <c r="J18" s="24"/>
      <c r="K18" s="24"/>
    </row>
    <row r="19" spans="1:11" ht="108" customHeight="1">
      <c r="A19" s="24" t="s">
        <v>96</v>
      </c>
      <c r="B19" s="36" t="s">
        <v>80</v>
      </c>
      <c r="C19" s="24" t="s">
        <v>97</v>
      </c>
      <c r="D19" s="24" t="s">
        <v>98</v>
      </c>
      <c r="E19" s="26">
        <f>4854.78968999999*1000</f>
        <v>4854789.6899999892</v>
      </c>
      <c r="F19" s="26">
        <f>3684.00061*1000</f>
        <v>3684000.61</v>
      </c>
      <c r="G19" s="26">
        <f>16018.71705*1000</f>
        <v>16018717.049999999</v>
      </c>
      <c r="H19" s="26">
        <f>7985.18658000001*1000</f>
        <v>7985186.5800000094</v>
      </c>
      <c r="I19" s="26">
        <f>8165.50454999998*1000</f>
        <v>8165504.5499999793</v>
      </c>
      <c r="J19" s="24"/>
      <c r="K19" s="27">
        <f>SUM(E19:I19)</f>
        <v>40708198.479999974</v>
      </c>
    </row>
    <row r="20" spans="1:11" ht="111" customHeight="1">
      <c r="A20" s="24" t="s">
        <v>99</v>
      </c>
      <c r="B20" s="36" t="s">
        <v>80</v>
      </c>
      <c r="C20" s="24" t="s">
        <v>100</v>
      </c>
      <c r="D20" s="24" t="s">
        <v>101</v>
      </c>
      <c r="E20" s="26">
        <f>41024.9499600001*1000</f>
        <v>41024949.960000098</v>
      </c>
      <c r="F20" s="26">
        <f>61919.47237*1000</f>
        <v>61919472.370000005</v>
      </c>
      <c r="G20" s="26">
        <f>69995.08423*1000</f>
        <v>69995084.229999989</v>
      </c>
      <c r="H20" s="26">
        <f>99818.83301*1000</f>
        <v>99818833.010000005</v>
      </c>
      <c r="I20" s="26">
        <f>46971.9181700001*1000</f>
        <v>46971918.170000099</v>
      </c>
      <c r="J20" s="24"/>
      <c r="K20" s="27">
        <f>SUM(E20:I20)</f>
        <v>319730257.74000019</v>
      </c>
    </row>
    <row r="21" spans="1:11" ht="100.5" customHeight="1">
      <c r="A21" s="24" t="s">
        <v>102</v>
      </c>
      <c r="B21" s="36" t="s">
        <v>80</v>
      </c>
      <c r="C21" s="24" t="s">
        <v>103</v>
      </c>
      <c r="D21" s="24" t="s">
        <v>104</v>
      </c>
      <c r="E21" s="26">
        <f>994.405309999999*1000</f>
        <v>994405.30999999901</v>
      </c>
      <c r="F21" s="26">
        <f>1201.42701*1000</f>
        <v>1201427.01</v>
      </c>
      <c r="G21" s="26">
        <f>2270.61385*1000</f>
        <v>2270613.85</v>
      </c>
      <c r="H21" s="26">
        <f>1906.65862*1000</f>
        <v>1906658.6199999999</v>
      </c>
      <c r="I21" s="26">
        <f>1170.92767*1000</f>
        <v>1170927.67</v>
      </c>
      <c r="J21" s="24"/>
      <c r="K21" s="27">
        <f>SUM(E21:I21)</f>
        <v>7544032.459999999</v>
      </c>
    </row>
    <row r="22" spans="1:11" ht="105" customHeight="1">
      <c r="A22" s="24" t="s">
        <v>105</v>
      </c>
      <c r="B22" s="36" t="s">
        <v>80</v>
      </c>
      <c r="C22" s="24" t="s">
        <v>106</v>
      </c>
      <c r="D22" s="24" t="s">
        <v>107</v>
      </c>
      <c r="E22" s="26">
        <f>1314.30622*1000</f>
        <v>1314306.22</v>
      </c>
      <c r="F22" s="26">
        <f>1776.31319*1000</f>
        <v>1776313.1900000002</v>
      </c>
      <c r="G22" s="26">
        <f>4215.68885000001*1000</f>
        <v>4215688.8500000099</v>
      </c>
      <c r="H22" s="26">
        <f>2131.98138*1000</f>
        <v>2131981.3800000004</v>
      </c>
      <c r="I22" s="26">
        <f>2081.76887*1000</f>
        <v>2081768.8699999999</v>
      </c>
      <c r="J22" s="24"/>
      <c r="K22" s="27">
        <f>SUM(E22:I22)</f>
        <v>11520058.510000009</v>
      </c>
    </row>
    <row r="23" spans="1:11" ht="99.75" customHeight="1">
      <c r="A23" s="24" t="s">
        <v>108</v>
      </c>
      <c r="B23" s="36" t="s">
        <v>80</v>
      </c>
      <c r="C23" s="25" t="s">
        <v>35</v>
      </c>
      <c r="D23" s="24" t="s">
        <v>109</v>
      </c>
      <c r="E23" s="28">
        <v>23.488</v>
      </c>
      <c r="F23" s="28">
        <v>82.540999999999997</v>
      </c>
      <c r="G23" s="28">
        <v>35.190800000000003</v>
      </c>
      <c r="H23" s="28">
        <v>70.221000000000004</v>
      </c>
      <c r="I23" s="28">
        <v>31.01408</v>
      </c>
      <c r="J23" s="24"/>
      <c r="K23" s="28">
        <f>AVERAGE(E23:I23)</f>
        <v>48.490976000000003</v>
      </c>
    </row>
    <row r="24" spans="1:11" ht="101.25" customHeight="1">
      <c r="A24" s="24" t="s">
        <v>110</v>
      </c>
      <c r="B24" s="36" t="s">
        <v>80</v>
      </c>
      <c r="C24" s="24" t="s">
        <v>111</v>
      </c>
      <c r="D24" s="24" t="s">
        <v>112</v>
      </c>
      <c r="E24" s="28">
        <v>34.817999999999998</v>
      </c>
      <c r="F24" s="28">
        <v>112.099</v>
      </c>
      <c r="G24" s="28">
        <v>60.091000000000001</v>
      </c>
      <c r="H24" s="28">
        <v>91.932000000000002</v>
      </c>
      <c r="I24" s="28">
        <v>50.554000000000002</v>
      </c>
      <c r="J24" s="24"/>
      <c r="K24" s="28">
        <f>AVERAGE(E24:I24)</f>
        <v>69.898800000000008</v>
      </c>
    </row>
    <row r="25" spans="1:11">
      <c r="A25" s="31"/>
      <c r="B25" s="31"/>
      <c r="C25" s="31"/>
      <c r="D25" s="31"/>
    </row>
    <row r="26" spans="1:11">
      <c r="A26" s="31"/>
      <c r="B26" s="31"/>
      <c r="C26" s="31"/>
      <c r="D26" s="31"/>
    </row>
    <row r="27" spans="1:11" s="38" customFormat="1" ht="49.5" customHeight="1">
      <c r="A27" s="50" t="s">
        <v>113</v>
      </c>
      <c r="B27" s="50"/>
      <c r="C27" s="50"/>
      <c r="D27" s="50"/>
      <c r="E27" s="50"/>
    </row>
    <row r="28" spans="1:11" s="38" customFormat="1" ht="57" customHeight="1">
      <c r="A28" s="50" t="s">
        <v>114</v>
      </c>
      <c r="B28" s="50"/>
      <c r="C28" s="50"/>
      <c r="D28" s="50"/>
      <c r="E28" s="50"/>
    </row>
    <row r="29" spans="1:11" s="38" customFormat="1" ht="57.75" customHeight="1">
      <c r="A29" s="50" t="s">
        <v>115</v>
      </c>
      <c r="B29" s="50"/>
      <c r="C29" s="50"/>
      <c r="D29" s="50"/>
      <c r="E29" s="50"/>
    </row>
    <row r="30" spans="1:11" s="38" customFormat="1" ht="26.25" customHeight="1">
      <c r="A30" s="51" t="s">
        <v>116</v>
      </c>
      <c r="B30" s="51"/>
      <c r="C30" s="51"/>
      <c r="D30" s="51"/>
      <c r="E30" s="51"/>
    </row>
    <row r="31" spans="1:11" s="39" customFormat="1" ht="33" customHeight="1">
      <c r="A31" s="52" t="s">
        <v>117</v>
      </c>
      <c r="B31" s="52"/>
      <c r="C31" s="52"/>
      <c r="D31" s="52"/>
      <c r="E31" s="52"/>
      <c r="F31" s="38"/>
      <c r="G31" s="38"/>
      <c r="H31" s="38"/>
      <c r="I31" s="38"/>
      <c r="J31" s="38"/>
      <c r="K31" s="38"/>
    </row>
  </sheetData>
  <mergeCells count="5">
    <mergeCell ref="A27:E27"/>
    <mergeCell ref="A28:E28"/>
    <mergeCell ref="A29:E29"/>
    <mergeCell ref="A30:E30"/>
    <mergeCell ref="A31:E31"/>
  </mergeCells>
  <conditionalFormatting sqref="D4:D5 D7:D9 D13:D16 D18:D1048576">
    <cfRule type="containsText" dxfId="1" priority="1" operator="containsText" text="Calculated">
      <formula>NOT(ISERROR(SEARCH("Calculated",D4)))</formula>
    </cfRule>
  </conditionalFormatting>
  <dataValidations count="2">
    <dataValidation allowBlank="1" showErrorMessage="1" sqref="B4" xr:uid="{EC897ADF-950A-4F18-8379-3AE5FC7CF302}"/>
    <dataValidation allowBlank="1" showInputMessage="1" showErrorMessage="1" sqref="A4" xr:uid="{C470F0A1-CF26-45D1-A1EE-CA780D46B6F2}"/>
  </dataValidations>
  <hyperlinks>
    <hyperlink ref="A27" location="_ftnref1" display="_ftnref1" xr:uid="{D18EC149-BA04-4D0C-BD8D-571E2A508F27}"/>
    <hyperlink ref="A28" location="_ftnref2" display="_ftnref2" xr:uid="{7CD6CECE-B5A8-41C8-9A11-B3F1B9ED1CF7}"/>
    <hyperlink ref="D4" location="_ftn2" display="_ftn2" xr:uid="{1564FF55-1357-40B9-A2F4-6EB0C50C9AB7}"/>
    <hyperlink ref="D2" location="_ftn1" display="_ftn1" xr:uid="{6B715C32-8FFB-4998-B077-5FEA6F80EF3E}"/>
    <hyperlink ref="B4" location="'Costs by Operating District'!A30" display="Service-only replacement programs [4]" xr:uid="{F7EBF5F4-A461-42AD-B17C-D3B49FEDE25F}"/>
    <hyperlink ref="B5" location="'Costs by Operating District'!A30" display="Service-only replacement programs[4]" xr:uid="{79CB99F9-5ADC-4A86-AD37-0A0F482DEBDD}"/>
    <hyperlink ref="B6" location="'Costs by Operating District'!A30" display="Service-only replacement programs [4]" xr:uid="{62F087DB-24B1-4448-9CEF-EAE73FB775D6}"/>
    <hyperlink ref="B7" location="'Costs by Operating District'!A30" display="Service-only replacement programs [4]" xr:uid="{9FE457B7-6EE0-4EA8-A425-2FA60597F2CA}"/>
    <hyperlink ref="B8" location="'Costs by Operating District'!A30" display="Service-only replacement programs [4]" xr:uid="{A7DA68EC-9A01-4369-A0E8-9D6525579F39}"/>
    <hyperlink ref="B13" location="'Costs by Operating District'!A29" display="Main and service replacement programs [3]" xr:uid="{6C9157A4-ADAA-4A34-A3A5-4EED9856BDEA}"/>
    <hyperlink ref="B14" location="'Costs by Operating District'!A29" display="Main and service replacement programs [3]" xr:uid="{698D8600-963E-4287-AC00-C14B6DE0424B}"/>
    <hyperlink ref="B15" location="'Costs by Operating District'!A29" display="Main and service replacement programs [3]" xr:uid="{7BE5183C-5931-4CA0-9922-5B5818CAC1D1}"/>
    <hyperlink ref="B16" location="'Costs by Operating District'!A29" display="Main and service replacement programs [3]" xr:uid="{F74902ED-5242-4815-9F45-C8FB15A757D7}"/>
    <hyperlink ref="B19" location="'Costs by Operating District'!A29" display="Main and service replacement programs [3]" xr:uid="{2A0AAD93-553A-4BBE-A32F-F3E070436C16}"/>
    <hyperlink ref="B20" location="'Costs by Operating District'!A29" display="Main and service replacement programs [3]" xr:uid="{527EDE8E-6BC4-4B3C-9357-4EF0B4376065}"/>
    <hyperlink ref="B21" location="'Costs by Operating District'!A29" display="Main and service replacement programs [3]" xr:uid="{76FFCD3E-3698-4733-97FE-F059BDE1179F}"/>
    <hyperlink ref="B22" location="'Costs by Operating District'!A29" display="Main and service replacement programs [3]" xr:uid="{32FEBD00-D735-44D1-8041-0BE92D900099}"/>
    <hyperlink ref="B23" location="'Costs by Operating District'!A29" display="Main and service replacement programs [3]" xr:uid="{5BEDE9D1-2910-4D45-B8F3-FCC8BE5BBA36}"/>
    <hyperlink ref="B24" location="'Costs by Operating District'!A29" display="Main and service replacement programs [3]" xr:uid="{C4E3F910-5B28-46FC-A09E-B71E9B317A4C}"/>
    <hyperlink ref="D1" location="'Costs by Operating District'!A31" display="Definition [5]" xr:uid="{834B6BF0-1A70-4ADB-8AC9-2A4CCF40BB96}"/>
  </hyperlinks>
  <printOptions horizontalCentered="1"/>
  <pageMargins left="0.25" right="0.25" top="0.75" bottom="0.75" header="0.3" footer="0.3"/>
  <pageSetup fitToHeight="0"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68931-7CED-40FD-A8D2-9A5F592B4DDF}">
  <sheetPr>
    <pageSetUpPr fitToPage="1"/>
  </sheetPr>
  <dimension ref="A1:K23"/>
  <sheetViews>
    <sheetView zoomScaleNormal="100" workbookViewId="0">
      <pane ySplit="1" topLeftCell="A2" activePane="bottomLeft" state="frozen"/>
      <selection pane="bottomLeft"/>
    </sheetView>
  </sheetViews>
  <sheetFormatPr defaultColWidth="8.7109375" defaultRowHeight="15.75"/>
  <cols>
    <col min="1" max="1" width="9.28515625" style="6" bestFit="1" customWidth="1"/>
    <col min="2" max="2" width="19.140625" style="6" customWidth="1"/>
    <col min="3" max="3" width="14.85546875" style="6" customWidth="1"/>
    <col min="4" max="4" width="32.140625" style="6" customWidth="1"/>
    <col min="5" max="8" width="20.140625" style="6" customWidth="1"/>
    <col min="9" max="9" width="17.85546875" style="6" bestFit="1" customWidth="1"/>
    <col min="10" max="10" width="6.42578125" style="6" customWidth="1"/>
    <col min="11" max="11" width="17.7109375" style="6" customWidth="1"/>
    <col min="12" max="16384" width="8.7109375" style="6"/>
  </cols>
  <sheetData>
    <row r="1" spans="1:11" ht="82.5">
      <c r="A1" s="13" t="s">
        <v>0</v>
      </c>
      <c r="B1" s="13" t="s">
        <v>1</v>
      </c>
      <c r="C1" s="13" t="s">
        <v>2</v>
      </c>
      <c r="D1" s="13" t="s">
        <v>118</v>
      </c>
      <c r="E1" s="13" t="s">
        <v>119</v>
      </c>
      <c r="F1" s="13" t="s">
        <v>120</v>
      </c>
      <c r="G1" s="13" t="s">
        <v>121</v>
      </c>
      <c r="H1" s="13" t="s">
        <v>122</v>
      </c>
      <c r="I1" s="13" t="s">
        <v>123</v>
      </c>
      <c r="J1" s="13" t="s">
        <v>51</v>
      </c>
      <c r="K1" s="13" t="s">
        <v>124</v>
      </c>
    </row>
    <row r="2" spans="1:11" ht="78">
      <c r="A2" s="16" t="s">
        <v>125</v>
      </c>
      <c r="B2" s="40" t="s">
        <v>6</v>
      </c>
      <c r="C2" s="17" t="s">
        <v>7</v>
      </c>
      <c r="D2" s="18" t="s">
        <v>126</v>
      </c>
      <c r="E2" s="19">
        <f>E9/E6</f>
        <v>27271.937435219574</v>
      </c>
      <c r="F2" s="19">
        <f t="shared" ref="F2:K2" si="0">F9/F6</f>
        <v>30602.811424148607</v>
      </c>
      <c r="G2" s="19">
        <f t="shared" si="0"/>
        <v>25938.708375209382</v>
      </c>
      <c r="H2" s="19">
        <f t="shared" si="0"/>
        <v>30702.211453615775</v>
      </c>
      <c r="I2" s="19">
        <f t="shared" si="0"/>
        <v>23137.046561231233</v>
      </c>
      <c r="J2" s="19"/>
      <c r="K2" s="19">
        <f t="shared" si="0"/>
        <v>24694.335449635619</v>
      </c>
    </row>
    <row r="3" spans="1:11" ht="78">
      <c r="A3" s="16" t="s">
        <v>127</v>
      </c>
      <c r="B3" s="40" t="s">
        <v>6</v>
      </c>
      <c r="C3" s="16" t="s">
        <v>14</v>
      </c>
      <c r="D3" s="18" t="s">
        <v>128</v>
      </c>
      <c r="E3" s="20">
        <f>E9/E7</f>
        <v>9566172.0812465623</v>
      </c>
      <c r="F3" s="20">
        <f t="shared" ref="F3:K3" si="1">F9/F7</f>
        <v>2416038.270308305</v>
      </c>
      <c r="G3" s="20">
        <f t="shared" si="1"/>
        <v>3402607.5861753263</v>
      </c>
      <c r="H3" s="20">
        <f t="shared" si="1"/>
        <v>3682553.5824771002</v>
      </c>
      <c r="I3" s="20">
        <f t="shared" si="1"/>
        <v>2353673.3226396698</v>
      </c>
      <c r="J3" s="20"/>
      <c r="K3" s="20">
        <f t="shared" si="1"/>
        <v>2829795.9932156312</v>
      </c>
    </row>
    <row r="4" spans="1:11" ht="63">
      <c r="A4" s="16" t="s">
        <v>129</v>
      </c>
      <c r="B4" s="40" t="s">
        <v>6</v>
      </c>
      <c r="C4" s="16" t="s">
        <v>17</v>
      </c>
      <c r="D4" s="18" t="s">
        <v>130</v>
      </c>
      <c r="E4" s="15">
        <f>E6/E5</f>
        <v>2.2511904761904762</v>
      </c>
      <c r="F4" s="15">
        <f t="shared" ref="F4:H4" si="2">F6/F5</f>
        <v>117.45454545454545</v>
      </c>
      <c r="G4" s="15">
        <f>G6/G5</f>
        <v>170.57142857142858</v>
      </c>
      <c r="H4" s="15">
        <f t="shared" si="2"/>
        <v>133.5609756097561</v>
      </c>
      <c r="I4" s="15">
        <f>I6/I5</f>
        <v>234.05524861878453</v>
      </c>
      <c r="J4" s="18"/>
      <c r="K4" s="15">
        <f>K6/K5</f>
        <v>84.882629107981217</v>
      </c>
    </row>
    <row r="5" spans="1:11" ht="63">
      <c r="A5" s="16" t="s">
        <v>131</v>
      </c>
      <c r="B5" s="36" t="s">
        <v>80</v>
      </c>
      <c r="C5" s="16" t="s">
        <v>20</v>
      </c>
      <c r="D5" s="18" t="s">
        <v>132</v>
      </c>
      <c r="E5" s="15">
        <v>840</v>
      </c>
      <c r="F5" s="15">
        <v>2.75</v>
      </c>
      <c r="G5" s="15">
        <v>7</v>
      </c>
      <c r="H5" s="15">
        <v>10.25</v>
      </c>
      <c r="I5" s="15">
        <v>45.25</v>
      </c>
      <c r="J5" s="18"/>
      <c r="K5" s="15">
        <f>AVERAGE(E5:I5)</f>
        <v>181.05</v>
      </c>
    </row>
    <row r="6" spans="1:11" ht="78">
      <c r="A6" s="43" t="s">
        <v>133</v>
      </c>
      <c r="B6" s="36" t="s">
        <v>80</v>
      </c>
      <c r="C6" s="16" t="s">
        <v>83</v>
      </c>
      <c r="D6" s="18" t="s">
        <v>84</v>
      </c>
      <c r="E6" s="18">
        <v>1891</v>
      </c>
      <c r="F6" s="18">
        <v>323</v>
      </c>
      <c r="G6" s="18">
        <v>1194</v>
      </c>
      <c r="H6" s="18">
        <v>1369</v>
      </c>
      <c r="I6" s="18">
        <v>10591</v>
      </c>
      <c r="J6" s="18"/>
      <c r="K6" s="18">
        <f>SUM(E6:I6)</f>
        <v>15368</v>
      </c>
    </row>
    <row r="7" spans="1:11" ht="63">
      <c r="A7" s="45" t="s">
        <v>134</v>
      </c>
      <c r="B7" s="36" t="s">
        <v>80</v>
      </c>
      <c r="C7" s="16" t="s">
        <v>86</v>
      </c>
      <c r="D7" s="18" t="s">
        <v>87</v>
      </c>
      <c r="E7" s="44">
        <v>5.391</v>
      </c>
      <c r="F7" s="15">
        <f>21602/5280</f>
        <v>4.0912878787878784</v>
      </c>
      <c r="G7" s="15">
        <f>48059/5280</f>
        <v>9.1020833333333329</v>
      </c>
      <c r="H7" s="15">
        <f>60264/5280</f>
        <v>11.413636363636364</v>
      </c>
      <c r="I7" s="15">
        <v>104.11150000000001</v>
      </c>
      <c r="J7" s="21"/>
      <c r="K7" s="15">
        <f>SUM(E7:I7)</f>
        <v>134.10950757575759</v>
      </c>
    </row>
    <row r="8" spans="1:11" ht="63">
      <c r="A8" s="18" t="s">
        <v>135</v>
      </c>
      <c r="B8" s="36" t="s">
        <v>80</v>
      </c>
      <c r="C8" s="16" t="s">
        <v>89</v>
      </c>
      <c r="D8" s="18" t="s">
        <v>90</v>
      </c>
      <c r="E8" s="44">
        <v>14.362</v>
      </c>
      <c r="F8" s="15">
        <f>15054/5280</f>
        <v>2.8511363636363636</v>
      </c>
      <c r="G8" s="15">
        <f>57117/5280</f>
        <v>10.817613636363637</v>
      </c>
      <c r="H8" s="15">
        <f>76605/5280</f>
        <v>14.508522727272727</v>
      </c>
      <c r="I8" s="15">
        <v>89.771000000000001</v>
      </c>
      <c r="J8" s="21"/>
      <c r="K8" s="15">
        <f>SUM(E8:I8)</f>
        <v>132.31027272727272</v>
      </c>
    </row>
    <row r="9" spans="1:11" ht="78.75">
      <c r="A9" s="16" t="s">
        <v>136</v>
      </c>
      <c r="B9" s="36" t="s">
        <v>80</v>
      </c>
      <c r="C9" s="16" t="s">
        <v>92</v>
      </c>
      <c r="D9" s="18" t="s">
        <v>137</v>
      </c>
      <c r="E9" s="19">
        <f>SUM(E11:E14)</f>
        <v>51571233.690000214</v>
      </c>
      <c r="F9" s="19">
        <f t="shared" ref="F9" si="3">SUM(F11:F14)</f>
        <v>9884708.0899999999</v>
      </c>
      <c r="G9" s="19">
        <f>SUM(G11:G14)</f>
        <v>30970817.800000001</v>
      </c>
      <c r="H9" s="19">
        <f>SUM(H11:H14)</f>
        <v>42031327.479999997</v>
      </c>
      <c r="I9" s="19">
        <f>SUM(I11:I14)</f>
        <v>245044460.13</v>
      </c>
      <c r="J9" s="19"/>
      <c r="K9" s="19">
        <f t="shared" ref="K9" si="4">SUM(K11:K14)</f>
        <v>379502547.19000018</v>
      </c>
    </row>
    <row r="10" spans="1:11" ht="47.25">
      <c r="A10" s="16"/>
      <c r="B10" s="40" t="s">
        <v>6</v>
      </c>
      <c r="C10" s="16" t="s">
        <v>95</v>
      </c>
      <c r="D10" s="18"/>
      <c r="E10" s="18"/>
      <c r="F10" s="18"/>
      <c r="G10" s="18"/>
      <c r="H10" s="18"/>
      <c r="I10" s="18"/>
      <c r="J10" s="18"/>
      <c r="K10" s="16"/>
    </row>
    <row r="11" spans="1:11" ht="145.5" customHeight="1">
      <c r="A11" s="16" t="s">
        <v>138</v>
      </c>
      <c r="B11" s="36" t="s">
        <v>80</v>
      </c>
      <c r="C11" s="16" t="s">
        <v>97</v>
      </c>
      <c r="D11" s="16" t="s">
        <v>98</v>
      </c>
      <c r="E11" s="19">
        <f>20931.9035000002*1000</f>
        <v>20931903.500000201</v>
      </c>
      <c r="F11" s="19">
        <f>1033.04238*1000</f>
        <v>1033042.3800000001</v>
      </c>
      <c r="G11" s="19">
        <f>3722.83009*1000</f>
        <v>3722830.09</v>
      </c>
      <c r="H11" s="19">
        <f>5868.14496*1000</f>
        <v>5868144.96</v>
      </c>
      <c r="I11" s="19">
        <f>9152.27755*1000</f>
        <v>9152277.5500000007</v>
      </c>
      <c r="J11" s="18"/>
      <c r="K11" s="14">
        <f>SUM(E11:I11)</f>
        <v>40708198.480000198</v>
      </c>
    </row>
    <row r="12" spans="1:11" ht="78.75">
      <c r="A12" s="16" t="s">
        <v>139</v>
      </c>
      <c r="B12" s="36" t="s">
        <v>80</v>
      </c>
      <c r="C12" s="16" t="s">
        <v>100</v>
      </c>
      <c r="D12" s="16" t="s">
        <v>101</v>
      </c>
      <c r="E12" s="19">
        <f>23171.93158*1000</f>
        <v>23171931.580000002</v>
      </c>
      <c r="F12" s="19">
        <f>8344.00764*1000</f>
        <v>8344007.6399999997</v>
      </c>
      <c r="G12" s="19">
        <f>25671.78387*1000</f>
        <v>25671783.870000001</v>
      </c>
      <c r="H12" s="19">
        <f>33972.9203*1000</f>
        <v>33972920.299999997</v>
      </c>
      <c r="I12" s="19">
        <f>228569.61435*1000</f>
        <v>228569614.34999999</v>
      </c>
      <c r="J12" s="18"/>
      <c r="K12" s="14">
        <f>SUM(E12:I12)</f>
        <v>319730257.74000001</v>
      </c>
    </row>
    <row r="13" spans="1:11" ht="52.5" customHeight="1">
      <c r="A13" s="16" t="s">
        <v>140</v>
      </c>
      <c r="B13" s="36" t="s">
        <v>80</v>
      </c>
      <c r="C13" s="16" t="s">
        <v>103</v>
      </c>
      <c r="D13" s="16" t="s">
        <v>104</v>
      </c>
      <c r="E13" s="19">
        <f>1988.67218*1000</f>
        <v>1988672.18</v>
      </c>
      <c r="F13" s="19">
        <f>182.12039*1000</f>
        <v>182120.38999999998</v>
      </c>
      <c r="G13" s="19">
        <f>530.52133*1000</f>
        <v>530521.33000000007</v>
      </c>
      <c r="H13" s="19">
        <f>845.08624*1000</f>
        <v>845086.24</v>
      </c>
      <c r="I13" s="19">
        <f>3997.63232*1000</f>
        <v>3997632.3200000003</v>
      </c>
      <c r="J13" s="18"/>
      <c r="K13" s="14">
        <f>SUM(E13:I13)</f>
        <v>7544032.46</v>
      </c>
    </row>
    <row r="14" spans="1:11" ht="126">
      <c r="A14" s="16" t="s">
        <v>141</v>
      </c>
      <c r="B14" s="36" t="s">
        <v>80</v>
      </c>
      <c r="C14" s="18" t="s">
        <v>106</v>
      </c>
      <c r="D14" s="18" t="s">
        <v>107</v>
      </c>
      <c r="E14" s="19">
        <f>5478.72643000001*1000</f>
        <v>5478726.4300000099</v>
      </c>
      <c r="F14" s="19">
        <f>325.53768*1000</f>
        <v>325537.68000000005</v>
      </c>
      <c r="G14" s="19">
        <f>1045.68251*1000</f>
        <v>1045682.5100000001</v>
      </c>
      <c r="H14" s="19">
        <f>1345.17598*1000</f>
        <v>1345175.98</v>
      </c>
      <c r="I14" s="19">
        <f>3324.93591*1000</f>
        <v>3324935.91</v>
      </c>
      <c r="J14" s="18"/>
      <c r="K14" s="14">
        <f>SUM(E14:I14)</f>
        <v>11520058.510000009</v>
      </c>
    </row>
    <row r="15" spans="1:11" ht="189">
      <c r="A15" s="16" t="s">
        <v>142</v>
      </c>
      <c r="B15" s="40" t="s">
        <v>6</v>
      </c>
      <c r="C15" s="18" t="s">
        <v>143</v>
      </c>
      <c r="D15" s="18" t="s">
        <v>144</v>
      </c>
      <c r="E15" s="19">
        <v>0</v>
      </c>
      <c r="F15" s="19">
        <v>0</v>
      </c>
      <c r="G15" s="19">
        <v>0</v>
      </c>
      <c r="H15" s="19">
        <v>0</v>
      </c>
      <c r="I15" s="19">
        <v>0</v>
      </c>
      <c r="J15" s="18"/>
      <c r="K15" s="14">
        <f>SUM(E15:I15)</f>
        <v>0</v>
      </c>
    </row>
    <row r="16" spans="1:11" ht="78.75">
      <c r="A16" s="16" t="s">
        <v>145</v>
      </c>
      <c r="B16" s="36" t="s">
        <v>80</v>
      </c>
      <c r="C16" s="16" t="s">
        <v>35</v>
      </c>
      <c r="D16" s="18" t="s">
        <v>109</v>
      </c>
      <c r="E16" s="15">
        <v>0.49299999999999999</v>
      </c>
      <c r="F16" s="15">
        <v>461</v>
      </c>
      <c r="G16" s="15">
        <v>454.85700000000003</v>
      </c>
      <c r="H16" s="15">
        <v>576.58500000000004</v>
      </c>
      <c r="I16" s="15">
        <v>647.10400000000004</v>
      </c>
      <c r="J16" s="18"/>
      <c r="K16" s="15">
        <f>AVERAGE(E16:I16)</f>
        <v>428.00779999999997</v>
      </c>
    </row>
    <row r="17" spans="1:11" ht="94.5">
      <c r="A17" s="16" t="s">
        <v>146</v>
      </c>
      <c r="B17" s="36" t="s">
        <v>80</v>
      </c>
      <c r="C17" s="16" t="s">
        <v>111</v>
      </c>
      <c r="D17" s="18" t="s">
        <v>112</v>
      </c>
      <c r="E17" s="15">
        <v>11.157999999999999</v>
      </c>
      <c r="F17" s="15">
        <v>612.18181800000002</v>
      </c>
      <c r="G17" s="15">
        <v>622.96400000000006</v>
      </c>
      <c r="H17" s="15">
        <v>718.82899999999995</v>
      </c>
      <c r="I17" s="15">
        <v>808.53589999999997</v>
      </c>
      <c r="J17" s="18"/>
      <c r="K17" s="15">
        <f>AVERAGE(E17:I17)</f>
        <v>554.73374360000003</v>
      </c>
    </row>
    <row r="18" spans="1:11">
      <c r="A18" s="5"/>
      <c r="B18" s="5"/>
      <c r="C18" s="5"/>
      <c r="D18" s="5"/>
      <c r="E18" s="5"/>
      <c r="F18" s="5"/>
      <c r="G18" s="5"/>
      <c r="H18" s="5"/>
      <c r="I18" s="5"/>
      <c r="J18" s="5"/>
      <c r="K18" s="5"/>
    </row>
    <row r="19" spans="1:11">
      <c r="A19" s="5"/>
      <c r="B19" s="5"/>
      <c r="C19" s="5"/>
      <c r="D19" s="5"/>
    </row>
    <row r="20" spans="1:11" ht="33" customHeight="1">
      <c r="A20" s="54" t="s">
        <v>113</v>
      </c>
      <c r="B20" s="54"/>
      <c r="C20" s="54"/>
      <c r="D20" s="54"/>
      <c r="E20" s="54"/>
    </row>
    <row r="21" spans="1:11" ht="45.75" customHeight="1">
      <c r="A21" s="54" t="s">
        <v>114</v>
      </c>
      <c r="B21" s="54"/>
      <c r="C21" s="54"/>
      <c r="D21" s="54"/>
      <c r="E21" s="54"/>
    </row>
    <row r="22" spans="1:11" ht="48" customHeight="1">
      <c r="A22" s="53" t="s">
        <v>115</v>
      </c>
      <c r="B22" s="53"/>
      <c r="C22" s="53"/>
      <c r="D22" s="53"/>
      <c r="E22" s="53"/>
    </row>
    <row r="23" spans="1:11" ht="35.25" customHeight="1">
      <c r="A23" s="53" t="s">
        <v>147</v>
      </c>
      <c r="B23" s="53"/>
      <c r="C23" s="53"/>
      <c r="D23" s="53"/>
      <c r="E23" s="53"/>
    </row>
  </sheetData>
  <mergeCells count="4">
    <mergeCell ref="A23:E23"/>
    <mergeCell ref="A20:E20"/>
    <mergeCell ref="A21:E21"/>
    <mergeCell ref="A22:E22"/>
  </mergeCells>
  <conditionalFormatting sqref="D5:D8 D10:D1048576">
    <cfRule type="containsText" dxfId="0" priority="1" operator="containsText" text="Calculated">
      <formula>NOT(ISERROR(SEARCH("Calculated",D5)))</formula>
    </cfRule>
  </conditionalFormatting>
  <hyperlinks>
    <hyperlink ref="A20" location="_ftnref1" display="_ftnref1" xr:uid="{D88FF0C6-85C4-4093-8ABC-F43152959C14}"/>
    <hyperlink ref="A21" location="_ftnref2" display="_ftnref2" xr:uid="{95FF944B-8B75-4985-B10C-C0E092ECF4A9}"/>
    <hyperlink ref="B17" location="'Utility-Wide Costs by Program'!A22" display="Main and service replacement programs [3]" xr:uid="{30783409-F973-4930-B3E3-4F7431D39780}"/>
    <hyperlink ref="B13:B14" location="'Utility-Wide Costs by Program'!A22" display="Main and service replacement programs [3]" xr:uid="{22F0074E-3C3C-4C25-994B-37EA4D6CC91A}"/>
    <hyperlink ref="B16" location="'Utility-Wide Costs by Program'!A22" display="Main and service replacement programs [3]" xr:uid="{9F3F8AA8-6B36-444B-BD3B-E80D93A97EED}"/>
    <hyperlink ref="B11:B12" location="'Utility-Wide Costs by Program'!A22" display="Main and service replacement programs [3]" xr:uid="{AD837373-EB92-463D-A7A9-EC2E32A02043}"/>
    <hyperlink ref="B5:B9" location="'Utility-Wide Costs by Program'!A22" display="Main and service replacement programs [3]" xr:uid="{5DEBBA9B-C061-494F-AC37-85CF1364752A}"/>
    <hyperlink ref="D1" location="'Utility-Wide Costs by Program'!A23" display="Definition [4]" xr:uid="{7D070C5D-D071-4DF7-96F3-AF7AF01F21F6}"/>
  </hyperlinks>
  <printOptions horizontalCentered="1"/>
  <pageMargins left="0.25" right="0.25" top="0.75" bottom="0.75" header="0.3" footer="0.3"/>
  <pageSetup fitToHeight="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34B4-1EA3-43AF-8CE8-75225DFD3E5A}">
  <sheetPr>
    <pageSetUpPr fitToPage="1"/>
  </sheetPr>
  <dimension ref="B1:B8"/>
  <sheetViews>
    <sheetView topLeftCell="B5" workbookViewId="0">
      <selection activeCell="B3" sqref="B3"/>
    </sheetView>
  </sheetViews>
  <sheetFormatPr defaultRowHeight="15"/>
  <cols>
    <col min="2" max="2" width="104.5703125" customWidth="1"/>
  </cols>
  <sheetData>
    <row r="1" spans="2:2" ht="16.5" thickBot="1">
      <c r="B1" s="3" t="s">
        <v>148</v>
      </c>
    </row>
    <row r="2" spans="2:2" ht="103.5">
      <c r="B2" s="12" t="s">
        <v>149</v>
      </c>
    </row>
    <row r="4" spans="2:2" ht="16.5" thickBot="1">
      <c r="B4" s="3" t="s">
        <v>150</v>
      </c>
    </row>
    <row r="5" spans="2:2" ht="235.5" customHeight="1">
      <c r="B5" s="10" t="s">
        <v>151</v>
      </c>
    </row>
    <row r="7" spans="2:2" ht="16.5" thickBot="1">
      <c r="B7" s="3" t="s">
        <v>152</v>
      </c>
    </row>
    <row r="8" spans="2:2" ht="167.25" customHeight="1">
      <c r="B8" s="10" t="s">
        <v>153</v>
      </c>
    </row>
  </sheetData>
  <printOptions horizontalCentered="1"/>
  <pageMargins left="0.25" right="0.25" top="0.75" bottom="0.75" header="0.3" footer="0.3"/>
  <pageSetup orientation="landscape"/>
  <customProperties>
    <customPr name="_pios_i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75D4-DE25-4D76-AECA-0ACFF17E23A1}">
  <dimension ref="B1:B40"/>
  <sheetViews>
    <sheetView topLeftCell="A31" workbookViewId="0">
      <selection activeCell="B17" sqref="B17"/>
    </sheetView>
  </sheetViews>
  <sheetFormatPr defaultColWidth="8.7109375" defaultRowHeight="15.75"/>
  <cols>
    <col min="1" max="1" width="8.7109375" style="1"/>
    <col min="2" max="2" width="148.28515625" style="6" customWidth="1"/>
    <col min="3" max="16384" width="8.7109375" style="1"/>
  </cols>
  <sheetData>
    <row r="1" spans="2:2" ht="17.25">
      <c r="B1" s="8" t="s">
        <v>154</v>
      </c>
    </row>
    <row r="2" spans="2:2" ht="17.25">
      <c r="B2" s="9" t="s">
        <v>155</v>
      </c>
    </row>
    <row r="3" spans="2:2" ht="17.25">
      <c r="B3" s="9" t="s">
        <v>156</v>
      </c>
    </row>
    <row r="4" spans="2:2" ht="17.25">
      <c r="B4" s="9" t="s">
        <v>157</v>
      </c>
    </row>
    <row r="5" spans="2:2" ht="34.5">
      <c r="B5" s="9" t="s">
        <v>158</v>
      </c>
    </row>
    <row r="6" spans="2:2" ht="51.75">
      <c r="B6" s="55" t="s">
        <v>159</v>
      </c>
    </row>
    <row r="7" spans="2:2" ht="34.5">
      <c r="B7" s="55" t="s">
        <v>160</v>
      </c>
    </row>
    <row r="8" spans="2:2" ht="17.25">
      <c r="B8" s="55" t="s">
        <v>161</v>
      </c>
    </row>
    <row r="9" spans="2:2" ht="17.25">
      <c r="B9" s="55" t="s">
        <v>162</v>
      </c>
    </row>
    <row r="10" spans="2:2" ht="16.5">
      <c r="B10" s="55" t="s">
        <v>163</v>
      </c>
    </row>
    <row r="11" spans="2:2" ht="16.5">
      <c r="B11" s="55" t="s">
        <v>164</v>
      </c>
    </row>
    <row r="12" spans="2:2" ht="16.5">
      <c r="B12" s="55" t="s">
        <v>165</v>
      </c>
    </row>
    <row r="13" spans="2:2" ht="33">
      <c r="B13" s="55" t="s">
        <v>166</v>
      </c>
    </row>
    <row r="14" spans="2:2" ht="17.25">
      <c r="B14" s="9" t="s">
        <v>167</v>
      </c>
    </row>
    <row r="15" spans="2:2" ht="17.25">
      <c r="B15" s="9" t="s">
        <v>168</v>
      </c>
    </row>
    <row r="16" spans="2:2" ht="17.25">
      <c r="B16" s="9" t="s">
        <v>169</v>
      </c>
    </row>
    <row r="17" spans="2:2" ht="17.25">
      <c r="B17" s="9" t="s">
        <v>170</v>
      </c>
    </row>
    <row r="18" spans="2:2" ht="17.25">
      <c r="B18" s="9" t="s">
        <v>171</v>
      </c>
    </row>
    <row r="19" spans="2:2" ht="51.75">
      <c r="B19" s="9" t="s">
        <v>172</v>
      </c>
    </row>
    <row r="20" spans="2:2" ht="51.75">
      <c r="B20" s="9" t="s">
        <v>173</v>
      </c>
    </row>
    <row r="21" spans="2:2" ht="51.75" customHeight="1">
      <c r="B21" s="9" t="s">
        <v>174</v>
      </c>
    </row>
    <row r="22" spans="2:2" ht="17.25">
      <c r="B22" s="9" t="s">
        <v>175</v>
      </c>
    </row>
    <row r="23" spans="2:2" ht="17.25">
      <c r="B23" s="9" t="s">
        <v>176</v>
      </c>
    </row>
    <row r="24" spans="2:2" ht="17.25">
      <c r="B24" s="9" t="s">
        <v>177</v>
      </c>
    </row>
    <row r="25" spans="2:2" ht="34.5">
      <c r="B25" s="9" t="s">
        <v>178</v>
      </c>
    </row>
    <row r="26" spans="2:2" ht="17.25">
      <c r="B26" s="9" t="s">
        <v>179</v>
      </c>
    </row>
    <row r="27" spans="2:2" ht="17.25">
      <c r="B27" s="9" t="s">
        <v>180</v>
      </c>
    </row>
    <row r="28" spans="2:2">
      <c r="B28" s="5"/>
    </row>
    <row r="29" spans="2:2">
      <c r="B29" s="5"/>
    </row>
    <row r="30" spans="2:2" ht="33">
      <c r="B30" s="11" t="s">
        <v>181</v>
      </c>
    </row>
    <row r="31" spans="2:2" ht="36.75" customHeight="1">
      <c r="B31" s="11" t="s">
        <v>182</v>
      </c>
    </row>
    <row r="32" spans="2:2" ht="111" customHeight="1">
      <c r="B32" s="11" t="s">
        <v>183</v>
      </c>
    </row>
    <row r="33" spans="2:2" ht="49.5">
      <c r="B33" s="11" t="s">
        <v>184</v>
      </c>
    </row>
    <row r="34" spans="2:2" ht="92.25" customHeight="1">
      <c r="B34" s="11" t="s">
        <v>185</v>
      </c>
    </row>
    <row r="35" spans="2:2" ht="16.5">
      <c r="B35" s="11" t="s">
        <v>186</v>
      </c>
    </row>
    <row r="36" spans="2:2" ht="33">
      <c r="B36" s="11" t="s">
        <v>187</v>
      </c>
    </row>
    <row r="37" spans="2:2" ht="66">
      <c r="B37" s="11" t="s">
        <v>188</v>
      </c>
    </row>
    <row r="38" spans="2:2" ht="49.5">
      <c r="B38" s="11" t="s">
        <v>189</v>
      </c>
    </row>
    <row r="39" spans="2:2" ht="82.5">
      <c r="B39" s="11" t="s">
        <v>190</v>
      </c>
    </row>
    <row r="40" spans="2:2" ht="95.25" customHeight="1">
      <c r="B40" s="11" t="s">
        <v>191</v>
      </c>
    </row>
  </sheetData>
  <hyperlinks>
    <hyperlink ref="B35" location="_ftnref6" display="_ftnref6" xr:uid="{98DCD980-6144-40A8-B9DB-1D37E0F8BCA2}"/>
    <hyperlink ref="B7" location="_ftn2" display="_ftn2" xr:uid="{7F8EB5AE-6B0C-402D-8528-BAC145E5D371}"/>
    <hyperlink ref="B6" location="_ftn1" display="_ftn1" xr:uid="{985EE931-B1C6-40F0-A279-DD123ACC76C3}"/>
    <hyperlink ref="B25" location="_ftn11" display="_ftn11" xr:uid="{CDCF1AC9-3349-4089-8105-5E50CD967B22}"/>
    <hyperlink ref="B23" location="_ftn10" display="_ftn10" xr:uid="{FAF43826-8F32-4876-A993-86D72BA434E1}"/>
    <hyperlink ref="B22" location="_ftn9" display="_ftn9" xr:uid="{EEA0AEC4-7990-4E8A-A37A-9F532BB6B1AC}"/>
    <hyperlink ref="B21" location="_ftn8" display="_ftn8" xr:uid="{0D28A634-8C6C-4D67-9EB8-441B66562165}"/>
    <hyperlink ref="B18" location="_ftn7" display="_ftn7" xr:uid="{3655E9CF-CCC0-43C1-9AF7-C89A8CA343DD}"/>
    <hyperlink ref="B17" location="_ftn6" display="_ftn6" xr:uid="{4AE5FFD3-DB54-4DA6-8E03-E32BFDBAC370}"/>
    <hyperlink ref="B16" location="_ftn5" display="_ftn5" xr:uid="{928FEE7F-55DE-4CFA-92E4-B4795195B128}"/>
    <hyperlink ref="B15" location="_ftn4" display="_ftn4" xr:uid="{68C32DF7-D8FF-463E-9E46-37207EF13A8D}"/>
    <hyperlink ref="B14" location="_ftn3" display="_ftn3" xr:uid="{C18703AB-60E4-41EF-BB9C-45E01B7864B5}"/>
    <hyperlink ref="B33" location="_ftnref4" display="_ftnref4" xr:uid="{B9BBEF0E-7FDE-4BE1-B2D7-CCDFF8D87A98}"/>
    <hyperlink ref="B36" location="_ftnref7" display="_ftnref7" xr:uid="{6BDA4843-4775-4E1D-B106-CB59E78A2C66}"/>
    <hyperlink ref="B34" location="_ftnref5" display="_ftnref5" xr:uid="{1DD576FA-542B-4656-B034-A1BEB3CF543D}"/>
  </hyperlinks>
  <printOptions horizontalCentered="1"/>
  <pageMargins left="0.25" right="0.25" top="0.75" bottom="0.75" header="0.3" footer="0.3"/>
  <pageSetup fitToWidth="0" fitToHeight="0" orientation="landscape" r:id="rId1"/>
  <customProperties>
    <customPr name="_pios_id" r:id="rId2"/>
  </customPropertie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3687-FAD5-41EF-91FD-0407553BB022}">
  <dimension ref="A1:C7"/>
  <sheetViews>
    <sheetView tabSelected="1" workbookViewId="0">
      <selection activeCell="C20" sqref="C20"/>
    </sheetView>
  </sheetViews>
  <sheetFormatPr defaultColWidth="8.7109375" defaultRowHeight="15.75"/>
  <cols>
    <col min="1" max="1" width="20.28515625" style="6" customWidth="1"/>
    <col min="2" max="2" width="26.140625" style="6" customWidth="1"/>
    <col min="3" max="3" width="43.7109375" style="6" customWidth="1"/>
    <col min="4" max="16384" width="8.7109375" style="6"/>
  </cols>
  <sheetData>
    <row r="1" spans="1:3" ht="17.25" thickBot="1">
      <c r="A1" s="46" t="s">
        <v>95</v>
      </c>
      <c r="B1" s="7" t="s">
        <v>192</v>
      </c>
      <c r="C1" s="7" t="s">
        <v>193</v>
      </c>
    </row>
    <row r="2" spans="1:3" ht="16.5" thickBot="1">
      <c r="A2" s="47" t="s">
        <v>106</v>
      </c>
      <c r="B2" s="2" t="s">
        <v>194</v>
      </c>
      <c r="C2" s="2" t="s">
        <v>195</v>
      </c>
    </row>
    <row r="3" spans="1:3" ht="16.5" thickBot="1">
      <c r="A3" s="47" t="s">
        <v>106</v>
      </c>
      <c r="B3" s="2" t="s">
        <v>196</v>
      </c>
      <c r="C3" s="2" t="s">
        <v>197</v>
      </c>
    </row>
    <row r="4" spans="1:3" ht="48" thickBot="1">
      <c r="A4" s="47" t="s">
        <v>106</v>
      </c>
      <c r="B4" s="2" t="s">
        <v>198</v>
      </c>
      <c r="C4" s="4" t="s">
        <v>199</v>
      </c>
    </row>
    <row r="5" spans="1:3" ht="16.5" thickBot="1">
      <c r="A5" s="47" t="s">
        <v>106</v>
      </c>
      <c r="B5" s="2" t="s">
        <v>200</v>
      </c>
      <c r="C5" s="2" t="s">
        <v>201</v>
      </c>
    </row>
    <row r="6" spans="1:3" ht="173.25">
      <c r="A6" s="47" t="s">
        <v>106</v>
      </c>
      <c r="B6" s="2" t="s">
        <v>202</v>
      </c>
      <c r="C6" s="2" t="s">
        <v>203</v>
      </c>
    </row>
    <row r="7" spans="1:3" ht="48" thickBot="1">
      <c r="A7" s="47" t="s">
        <v>106</v>
      </c>
      <c r="B7" s="2" t="s">
        <v>204</v>
      </c>
      <c r="C7" s="2" t="s">
        <v>205</v>
      </c>
    </row>
  </sheetData>
  <printOptions horizontalCentered="1"/>
  <pageMargins left="0.25" right="0.25" top="0.75" bottom="0.75" header="0.3" footer="0.3"/>
  <pageSetup fitToWidth="0" fitToHeight="0"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7a9330-e4d1-4d3a-9f0a-edcc72e823ec">
      <Terms xmlns="http://schemas.microsoft.com/office/infopath/2007/PartnerControls"/>
    </lcf76f155ced4ddcb4097134ff3c332f>
    <TaxCatchAll xmlns="f106d400-29c2-45d7-a0fd-a9c264a1d6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ACB0A1DF4A7E45BBEC948F5F855B78" ma:contentTypeVersion="15" ma:contentTypeDescription="Create a new document." ma:contentTypeScope="" ma:versionID="95ef0199d642e675c3adc819f83ac2c9">
  <xsd:schema xmlns:xsd="http://www.w3.org/2001/XMLSchema" xmlns:xs="http://www.w3.org/2001/XMLSchema" xmlns:p="http://schemas.microsoft.com/office/2006/metadata/properties" xmlns:ns2="dd7a9330-e4d1-4d3a-9f0a-edcc72e823ec" xmlns:ns3="f106d400-29c2-45d7-a0fd-a9c264a1d640" targetNamespace="http://schemas.microsoft.com/office/2006/metadata/properties" ma:root="true" ma:fieldsID="ef597b70622be5bdc20d98f24f36e509" ns2:_="" ns3:_="">
    <xsd:import namespace="dd7a9330-e4d1-4d3a-9f0a-edcc72e823ec"/>
    <xsd:import namespace="f106d400-29c2-45d7-a0fd-a9c264a1d6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a9330-e4d1-4d3a-9f0a-edcc72e82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d400-29c2-45d7-a0fd-a9c264a1d6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ab71c3a-0ee3-4ab6-84d5-4ead41a4f1ed}" ma:internalName="TaxCatchAll" ma:showField="CatchAllData" ma:web="f106d400-29c2-45d7-a0fd-a9c264a1d6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7E6BEF-8566-4864-8C88-829FC3C7E2A3}"/>
</file>

<file path=customXml/itemProps2.xml><?xml version="1.0" encoding="utf-8"?>
<ds:datastoreItem xmlns:ds="http://schemas.openxmlformats.org/officeDocument/2006/customXml" ds:itemID="{F5BA5C40-91D0-482F-A1F2-1057168C1A11}"/>
</file>

<file path=customXml/itemProps3.xml><?xml version="1.0" encoding="utf-8"?>
<ds:datastoreItem xmlns:ds="http://schemas.openxmlformats.org/officeDocument/2006/customXml" ds:itemID="{8EA7295D-FFC0-43C3-B917-93217C344C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Hlavka, Eileen</dc:creator>
  <cp:keywords/>
  <dc:description/>
  <cp:lastModifiedBy>Noguera-Zagala, Denise M</cp:lastModifiedBy>
  <cp:revision/>
  <dcterms:created xsi:type="dcterms:W3CDTF">2025-09-03T18:53:20Z</dcterms:created>
  <dcterms:modified xsi:type="dcterms:W3CDTF">2025-11-05T19:44:24Z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0x0101005CACB0A1DF4A7E45BBEC948F5F855B78</vt:lpwstr>
  </property>
  <property fmtid="{D5CDD505-2E9C-101B-9397-08002B2CF9AE}" pid="3" name="_dlc_DocIdItemGuid">
    <vt:lpwstr>21a1ef8a-75cc-4dea-bb50-885e836fe795</vt:lpwstr>
  </property>
  <property fmtid="{D5CDD505-2E9C-101B-9397-08002B2CF9AE}" pid="4" name="MediaServiceImageTags">
    <vt:lpwstr/>
  </property>
</Properties>
</file>