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520" windowHeight="12120" activeTab="0"/>
  </bookViews>
  <sheets>
    <sheet name="INPUTS-OUTPUTS" sheetId="1" r:id="rId1"/>
    <sheet name="LOOKUP" sheetId="2" state="hidden" r:id="rId2"/>
    <sheet name="DATA" sheetId="3" state="hidden" r:id="rId3"/>
  </sheets>
  <definedNames>
    <definedName name="AggregateTons">'INPUTS-OUTPUTS'!$B$11</definedName>
    <definedName name="AverageTons">'INPUTS-OUTPUTS'!$B$10</definedName>
    <definedName name="criteria1">'LOOKUP'!$G$2:$I$3</definedName>
    <definedName name="criteria10">'LOOKUP'!$G$29:$I$30</definedName>
    <definedName name="criteria11">'LOOKUP'!$G$32:$I$33</definedName>
    <definedName name="criteria12">'LOOKUP'!$G$35:$I$36</definedName>
    <definedName name="criteria13">'LOOKUP'!$G$38:$I$39</definedName>
    <definedName name="criteria14">'LOOKUP'!$G$41:$I$42</definedName>
    <definedName name="criteria15">'LOOKUP'!$G$44:$I$45</definedName>
    <definedName name="criteria16">'LOOKUP'!$G$47:$I$48</definedName>
    <definedName name="criteria17">'LOOKUP'!$G$50:$I$51</definedName>
    <definedName name="criteria18">'LOOKUP'!$G$53:$I$54</definedName>
    <definedName name="criteria19">'LOOKUP'!$G$56:$I$57</definedName>
    <definedName name="criteria2">'LOOKUP'!$G$5:$I$6</definedName>
    <definedName name="criteria20">'LOOKUP'!$G$59:$I$60</definedName>
    <definedName name="criteria21">'LOOKUP'!$G$62:$I$63</definedName>
    <definedName name="criteria22">'LOOKUP'!$G$65:$I$66</definedName>
    <definedName name="criteria23">'LOOKUP'!$G$68:$I$69</definedName>
    <definedName name="criteria24">'LOOKUP'!$G$71:$I$72</definedName>
    <definedName name="criteria25">'LOOKUP'!#REF!</definedName>
    <definedName name="criteria26">'LOOKUP'!#REF!</definedName>
    <definedName name="criteria27">'LOOKUP'!#REF!</definedName>
    <definedName name="criteria28">'LOOKUP'!#REF!</definedName>
    <definedName name="criteria29">'LOOKUP'!#REF!</definedName>
    <definedName name="criteria3">'LOOKUP'!$G$8:$I$9</definedName>
    <definedName name="criteria30">'LOOKUP'!#REF!</definedName>
    <definedName name="criteria31">'LOOKUP'!#REF!</definedName>
    <definedName name="criteria32">'LOOKUP'!#REF!</definedName>
    <definedName name="criteria33">'LOOKUP'!#REF!</definedName>
    <definedName name="criteria34">'LOOKUP'!#REF!</definedName>
    <definedName name="criteria35">'LOOKUP'!#REF!</definedName>
    <definedName name="criteria36">'LOOKUP'!#REF!</definedName>
    <definedName name="criteria37">'LOOKUP'!#REF!</definedName>
    <definedName name="criteria38">'LOOKUP'!#REF!</definedName>
    <definedName name="criteria39">'LOOKUP'!#REF!</definedName>
    <definedName name="criteria4">'LOOKUP'!$G$11:$I$12</definedName>
    <definedName name="criteria40">'LOOKUP'!#REF!</definedName>
    <definedName name="criteria41">'LOOKUP'!#REF!</definedName>
    <definedName name="criteria42">'LOOKUP'!#REF!</definedName>
    <definedName name="criteria43">'LOOKUP'!#REF!</definedName>
    <definedName name="criteria44">'LOOKUP'!#REF!</definedName>
    <definedName name="criteria45">'LOOKUP'!#REF!</definedName>
    <definedName name="criteria46">'LOOKUP'!#REF!</definedName>
    <definedName name="criteria47">'LOOKUP'!#REF!</definedName>
    <definedName name="criteria48">'LOOKUP'!#REF!</definedName>
    <definedName name="criteria5">'LOOKUP'!$G$14:$I$15</definedName>
    <definedName name="criteria6">'LOOKUP'!$G$17:$I$18</definedName>
    <definedName name="criteria7">'LOOKUP'!$G$20:$I$21</definedName>
    <definedName name="criteria8">'LOOKUP'!$G$23:$I$24</definedName>
    <definedName name="criteria9">'LOOKUP'!$G$26:$I$27</definedName>
    <definedName name="CustChar">'INPUTS-OUTPUTS'!$B$8</definedName>
    <definedName name="CustCharList">'LOOKUP'!$C$2:$C$4</definedName>
    <definedName name="DATA">'DATA'!$A:$O</definedName>
    <definedName name="Event">'INPUTS-OUTPUTS'!$B$7</definedName>
    <definedName name="EventList">'LOOKUP'!$A$2:$A$13</definedName>
    <definedName name="TotalParticipants">'INPUTS-OUTPUTS'!$B$12</definedName>
    <definedName name="TypeofResult">'INPUTS-OUTPUTS'!$B$6</definedName>
    <definedName name="TypeofResultList">'LOOKUP'!$E$2:$E$4</definedName>
  </definedNames>
  <calcPr fullCalcOnLoad="1"/>
</workbook>
</file>

<file path=xl/sharedStrings.xml><?xml version="1.0" encoding="utf-8"?>
<sst xmlns="http://schemas.openxmlformats.org/spreadsheetml/2006/main" count="1091" uniqueCount="70">
  <si>
    <t>Type of Result List</t>
  </si>
  <si>
    <t>Aggregate</t>
  </si>
  <si>
    <t>PCTILE10</t>
  </si>
  <si>
    <t>PCTILE30</t>
  </si>
  <si>
    <t>PCTILE50</t>
  </si>
  <si>
    <t>PCTILE70</t>
  </si>
  <si>
    <t>PCTILE90</t>
  </si>
  <si>
    <t>Reference Load</t>
  </si>
  <si>
    <t>Observed Load</t>
  </si>
  <si>
    <t>Temperature</t>
  </si>
  <si>
    <t>Standard Error</t>
  </si>
  <si>
    <t>TABLE 1: Menu options</t>
  </si>
  <si>
    <t>Weighted Temp (F)</t>
  </si>
  <si>
    <t>Uncertainty Adjusted Impact - Percentiles</t>
  </si>
  <si>
    <t>Type of Results</t>
  </si>
  <si>
    <t>10th</t>
  </si>
  <si>
    <t>30th</t>
  </si>
  <si>
    <t>50th</t>
  </si>
  <si>
    <t>70th</t>
  </si>
  <si>
    <t>90th</t>
  </si>
  <si>
    <t xml:space="preserve"> </t>
  </si>
  <si>
    <t>Daily</t>
  </si>
  <si>
    <t>TABLE 2: Output</t>
  </si>
  <si>
    <t>Customer Characteristic</t>
  </si>
  <si>
    <t>Customer Characteristic List</t>
  </si>
  <si>
    <t>Event</t>
  </si>
  <si>
    <t>Event List</t>
  </si>
  <si>
    <t>CDH 70</t>
  </si>
  <si>
    <t>Std Err</t>
  </si>
  <si>
    <t>Variance</t>
  </si>
  <si>
    <t>Interval</t>
  </si>
  <si>
    <t>Interval Ending</t>
  </si>
  <si>
    <t>San Diego Gas &amp; Electric</t>
  </si>
  <si>
    <t>Average AC Unit</t>
  </si>
  <si>
    <t>Per Ton</t>
  </si>
  <si>
    <t>All Commercial Customers</t>
  </si>
  <si>
    <t>Commercial - 50% Cycling</t>
  </si>
  <si>
    <t>Commercial - 30% Cycling</t>
  </si>
  <si>
    <t>Average Tons per AC Unit</t>
  </si>
  <si>
    <t>Aggregate Tons</t>
  </si>
  <si>
    <t>Total Participants</t>
  </si>
  <si>
    <t>Average Tons</t>
  </si>
  <si>
    <t>Summer Saver Ex-Post Load Impact Tables</t>
  </si>
  <si>
    <t>Average Event</t>
  </si>
  <si>
    <t>Aggregate ref load</t>
  </si>
  <si>
    <t>Aggregate Observed load</t>
  </si>
  <si>
    <t>criteria1</t>
  </si>
  <si>
    <t>criteria2</t>
  </si>
  <si>
    <t>criteria3</t>
  </si>
  <si>
    <t>criteria4</t>
  </si>
  <si>
    <t>criteria5</t>
  </si>
  <si>
    <t>criteria6</t>
  </si>
  <si>
    <t>criteria7</t>
  </si>
  <si>
    <t>criteria8</t>
  </si>
  <si>
    <t>criteria9</t>
  </si>
  <si>
    <t>criteria10</t>
  </si>
  <si>
    <t>criteria11</t>
  </si>
  <si>
    <t>criteria12</t>
  </si>
  <si>
    <t>criteria13</t>
  </si>
  <si>
    <t>criteria14</t>
  </si>
  <si>
    <t>criteria15</t>
  </si>
  <si>
    <t>criteria16</t>
  </si>
  <si>
    <t>criteria17</t>
  </si>
  <si>
    <t>criteria18</t>
  </si>
  <si>
    <t>criteria19</t>
  </si>
  <si>
    <t>criteria20</t>
  </si>
  <si>
    <t>criteria21</t>
  </si>
  <si>
    <t>criteria22</t>
  </si>
  <si>
    <t>criteria23</t>
  </si>
  <si>
    <t>criteria24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</si>
</sst>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h:mm;@"/>
    <numFmt numFmtId="166" formatCode="[$-F800]dddd\,\ mmmm\ dd\,\ yyyy"/>
    <numFmt numFmtId="167" formatCode="0.0%"/>
    <numFmt numFmtId="168" formatCode="#,##0.0"/>
    <numFmt numFmtId="169" formatCode="0.00000000000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22"/>
      <name val="Arial"/>
      <family val="2"/>
    </font>
    <font>
      <sz val="12"/>
      <name val="Arial"/>
      <family val="2"/>
    </font>
    <font>
      <sz val="10"/>
      <color indexed="56"/>
      <name val="Arial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0.75"/>
      <color indexed="8"/>
      <name val="Franklin Gothic Demi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56"/>
      </top>
      <bottom/>
    </border>
    <border>
      <left style="thin">
        <color indexed="8"/>
      </left>
      <right style="thin">
        <color indexed="8"/>
      </right>
      <top/>
      <bottom style="medium">
        <color indexed="56"/>
      </bottom>
    </border>
    <border>
      <left/>
      <right/>
      <top style="medium"/>
      <bottom/>
    </border>
    <border>
      <left/>
      <right/>
      <top/>
      <bottom style="medium"/>
    </border>
    <border>
      <left style="thin">
        <color indexed="9"/>
      </left>
      <right style="thin">
        <color indexed="9"/>
      </right>
      <top style="medium">
        <color indexed="56"/>
      </top>
      <bottom/>
    </border>
    <border>
      <left style="thin">
        <color indexed="9"/>
      </left>
      <right style="medium">
        <color indexed="56"/>
      </right>
      <top style="medium">
        <color indexed="56"/>
      </top>
      <bottom/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9"/>
      </bottom>
    </border>
    <border>
      <left/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9"/>
      </right>
      <top/>
      <bottom style="thin">
        <color indexed="56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6"/>
      </bottom>
    </border>
    <border>
      <left style="thin">
        <color indexed="9"/>
      </left>
      <right style="medium">
        <color indexed="56"/>
      </right>
      <top style="thin">
        <color indexed="9"/>
      </top>
      <bottom style="thin">
        <color indexed="56"/>
      </bottom>
    </border>
    <border>
      <left style="medium">
        <color indexed="56"/>
      </left>
      <right style="thin">
        <color indexed="9"/>
      </right>
      <top style="thin">
        <color indexed="56"/>
      </top>
      <bottom/>
    </border>
    <border>
      <left style="thin">
        <color indexed="9"/>
      </left>
      <right style="thin">
        <color indexed="9"/>
      </right>
      <top style="thin">
        <color indexed="56"/>
      </top>
      <bottom/>
    </border>
    <border>
      <left style="thin">
        <color indexed="9"/>
      </left>
      <right style="medium">
        <color indexed="56"/>
      </right>
      <top style="thin">
        <color indexed="56"/>
      </top>
      <bottom/>
    </border>
    <border>
      <left style="medium">
        <color indexed="56"/>
      </left>
      <right style="medium">
        <color indexed="56"/>
      </right>
      <top style="thin">
        <color indexed="56"/>
      </top>
      <bottom/>
    </border>
    <border>
      <left style="medium">
        <color indexed="56"/>
      </left>
      <right style="thin">
        <color indexed="8"/>
      </right>
      <top style="thin">
        <color indexed="56"/>
      </top>
      <bottom/>
    </border>
    <border>
      <left style="medium">
        <color indexed="56"/>
      </left>
      <right style="medium">
        <color indexed="56"/>
      </right>
      <top/>
      <bottom style="medium">
        <color indexed="56"/>
      </bottom>
    </border>
    <border>
      <left style="medium">
        <color indexed="56"/>
      </left>
      <right style="thin">
        <color indexed="8"/>
      </right>
      <top/>
      <bottom style="medium">
        <color indexed="56"/>
      </bottom>
    </border>
    <border>
      <left style="thin">
        <color indexed="8"/>
      </left>
      <right style="medium">
        <color indexed="56"/>
      </right>
      <top/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9"/>
      </top>
      <bottom style="thin">
        <color indexed="9"/>
      </bottom>
    </border>
    <border>
      <left style="thin">
        <color indexed="56"/>
      </left>
      <right style="medium">
        <color indexed="56"/>
      </right>
      <top/>
      <bottom/>
    </border>
    <border>
      <left style="thin">
        <color indexed="56"/>
      </left>
      <right style="medium">
        <color indexed="56"/>
      </right>
      <top style="thin">
        <color indexed="9"/>
      </top>
      <bottom style="thin"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indexed="9"/>
      </left>
      <right style="thin">
        <color theme="0"/>
      </right>
      <top/>
      <bottom/>
    </border>
    <border>
      <left style="medium">
        <color indexed="56"/>
      </left>
      <right style="medium">
        <color indexed="56"/>
      </right>
      <top style="thin">
        <color indexed="56"/>
      </top>
      <bottom style="thin"/>
    </border>
    <border>
      <left/>
      <right style="thin">
        <color indexed="9"/>
      </right>
      <top style="thin">
        <color indexed="56"/>
      </top>
      <bottom/>
    </border>
    <border>
      <left/>
      <right style="thin">
        <color indexed="9"/>
      </right>
      <top style="thin">
        <color indexed="9"/>
      </top>
      <bottom style="thin">
        <color indexed="56"/>
      </bottom>
    </border>
    <border>
      <left style="thin">
        <color indexed="9"/>
      </left>
      <right style="thin">
        <color indexed="9"/>
      </right>
      <top/>
      <bottom style="thin">
        <color indexed="56"/>
      </bottom>
    </border>
    <border>
      <left style="medium">
        <color indexed="56"/>
      </left>
      <right style="thin">
        <color indexed="9"/>
      </right>
      <top style="medium">
        <color indexed="56"/>
      </top>
      <bottom/>
    </border>
    <border>
      <left style="thin">
        <color indexed="9"/>
      </left>
      <right style="thin">
        <color indexed="9"/>
      </right>
      <top style="thin"/>
      <bottom/>
    </border>
    <border>
      <left style="thin">
        <color indexed="9"/>
      </left>
      <right style="thin"/>
      <top style="thin"/>
      <bottom/>
    </border>
    <border>
      <left style="thin">
        <color indexed="9"/>
      </left>
      <right style="thin"/>
      <top/>
      <bottom style="thin">
        <color indexed="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0" fillId="0" borderId="0" xfId="0" applyAlignment="1">
      <alignment wrapText="1"/>
    </xf>
    <xf numFmtId="164" fontId="4" fillId="34" borderId="12" xfId="0" applyNumberFormat="1" applyFont="1" applyFill="1" applyBorder="1" applyAlignment="1">
      <alignment horizontal="right" indent="1"/>
    </xf>
    <xf numFmtId="164" fontId="4" fillId="34" borderId="13" xfId="0" applyNumberFormat="1" applyFont="1" applyFill="1" applyBorder="1" applyAlignment="1">
      <alignment horizontal="right" indent="1"/>
    </xf>
    <xf numFmtId="168" fontId="4" fillId="34" borderId="14" xfId="0" applyNumberFormat="1" applyFont="1" applyFill="1" applyBorder="1" applyAlignment="1">
      <alignment horizontal="right" indent="1"/>
    </xf>
    <xf numFmtId="164" fontId="4" fillId="34" borderId="15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5" fillId="34" borderId="16" xfId="0" applyFont="1" applyFill="1" applyBorder="1" applyAlignment="1">
      <alignment vertical="center"/>
    </xf>
    <xf numFmtId="0" fontId="0" fillId="34" borderId="16" xfId="0" applyFont="1" applyFill="1" applyBorder="1" applyAlignment="1">
      <alignment/>
    </xf>
    <xf numFmtId="0" fontId="0" fillId="0" borderId="0" xfId="0" applyFont="1" applyAlignment="1">
      <alignment/>
    </xf>
    <xf numFmtId="0" fontId="6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5" fillId="34" borderId="17" xfId="0" applyFont="1" applyFill="1" applyBorder="1" applyAlignment="1">
      <alignment vertical="center"/>
    </xf>
    <xf numFmtId="0" fontId="7" fillId="34" borderId="17" xfId="0" applyFont="1" applyFill="1" applyBorder="1" applyAlignment="1">
      <alignment/>
    </xf>
    <xf numFmtId="0" fontId="7" fillId="34" borderId="17" xfId="0" applyFont="1" applyFill="1" applyBorder="1" applyAlignment="1">
      <alignment vertical="center"/>
    </xf>
    <xf numFmtId="0" fontId="7" fillId="0" borderId="17" xfId="0" applyFont="1" applyBorder="1" applyAlignment="1">
      <alignment/>
    </xf>
    <xf numFmtId="0" fontId="0" fillId="0" borderId="0" xfId="0" applyFont="1" applyAlignment="1">
      <alignment horizontal="right" indent="1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4" fontId="4" fillId="0" borderId="0" xfId="0" applyNumberFormat="1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33" borderId="18" xfId="0" applyFont="1" applyFill="1" applyBorder="1" applyAlignment="1">
      <alignment horizontal="centerContinuous"/>
    </xf>
    <xf numFmtId="0" fontId="2" fillId="33" borderId="18" xfId="0" applyFont="1" applyFill="1" applyBorder="1" applyAlignment="1">
      <alignment horizontal="centerContinuous"/>
    </xf>
    <xf numFmtId="0" fontId="2" fillId="33" borderId="19" xfId="0" applyFont="1" applyFill="1" applyBorder="1" applyAlignment="1">
      <alignment horizontal="centerContinuous"/>
    </xf>
    <xf numFmtId="0" fontId="10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9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right" wrapText="1" indent="1"/>
    </xf>
    <xf numFmtId="0" fontId="11" fillId="33" borderId="24" xfId="0" applyFont="1" applyFill="1" applyBorder="1" applyAlignment="1">
      <alignment horizontal="right" wrapText="1" indent="1"/>
    </xf>
    <xf numFmtId="165" fontId="0" fillId="0" borderId="21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indent="1"/>
    </xf>
    <xf numFmtId="3" fontId="0" fillId="0" borderId="0" xfId="0" applyNumberFormat="1" applyFont="1" applyAlignment="1">
      <alignment/>
    </xf>
    <xf numFmtId="0" fontId="12" fillId="0" borderId="0" xfId="0" applyFont="1" applyAlignment="1">
      <alignment horizontal="left" vertical="top" wrapText="1" readingOrder="1"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 horizontal="centerContinuous"/>
    </xf>
    <xf numFmtId="0" fontId="2" fillId="33" borderId="27" xfId="0" applyFont="1" applyFill="1" applyBorder="1" applyAlignment="1">
      <alignment horizontal="centerContinuous"/>
    </xf>
    <xf numFmtId="0" fontId="7" fillId="34" borderId="28" xfId="0" applyFont="1" applyFill="1" applyBorder="1" applyAlignment="1">
      <alignment/>
    </xf>
    <xf numFmtId="168" fontId="4" fillId="34" borderId="29" xfId="0" applyNumberFormat="1" applyFont="1" applyFill="1" applyBorder="1" applyAlignment="1">
      <alignment horizontal="right" indent="1"/>
    </xf>
    <xf numFmtId="169" fontId="0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4" fillId="34" borderId="30" xfId="0" applyFont="1" applyFill="1" applyBorder="1" applyAlignment="1">
      <alignment/>
    </xf>
    <xf numFmtId="4" fontId="4" fillId="34" borderId="31" xfId="0" applyNumberFormat="1" applyFont="1" applyFill="1" applyBorder="1" applyAlignment="1">
      <alignment horizontal="left" indent="1"/>
    </xf>
    <xf numFmtId="4" fontId="4" fillId="34" borderId="15" xfId="0" applyNumberFormat="1" applyFont="1" applyFill="1" applyBorder="1" applyAlignment="1">
      <alignment horizontal="left" indent="1"/>
    </xf>
    <xf numFmtId="2" fontId="4" fillId="34" borderId="15" xfId="0" applyNumberFormat="1" applyFont="1" applyFill="1" applyBorder="1" applyAlignment="1">
      <alignment/>
    </xf>
    <xf numFmtId="2" fontId="4" fillId="34" borderId="32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0" fontId="0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indent="1"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indent="1"/>
    </xf>
    <xf numFmtId="0" fontId="8" fillId="0" borderId="0" xfId="0" applyFont="1" applyFill="1" applyBorder="1" applyAlignment="1">
      <alignment/>
    </xf>
    <xf numFmtId="166" fontId="13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0" fillId="33" borderId="33" xfId="0" applyFont="1" applyFill="1" applyBorder="1" applyAlignment="1">
      <alignment horizontal="center" vertical="center"/>
    </xf>
    <xf numFmtId="0" fontId="12" fillId="0" borderId="0" xfId="0" applyFont="1" applyAlignment="1">
      <alignment vertical="top" wrapText="1" readingOrder="1"/>
    </xf>
    <xf numFmtId="0" fontId="2" fillId="0" borderId="0" xfId="0" applyFont="1" applyAlignment="1">
      <alignment/>
    </xf>
    <xf numFmtId="0" fontId="10" fillId="33" borderId="34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21" xfId="0" applyNumberFormat="1" applyFont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right" indent="1"/>
    </xf>
    <xf numFmtId="164" fontId="4" fillId="0" borderId="13" xfId="0" applyNumberFormat="1" applyFont="1" applyFill="1" applyBorder="1" applyAlignment="1">
      <alignment horizontal="right" indent="1"/>
    </xf>
    <xf numFmtId="0" fontId="11" fillId="33" borderId="36" xfId="0" applyFont="1" applyFill="1" applyBorder="1" applyAlignment="1">
      <alignment horizontal="center" wrapText="1"/>
    </xf>
    <xf numFmtId="0" fontId="11" fillId="33" borderId="37" xfId="0" applyFont="1" applyFill="1" applyBorder="1" applyAlignment="1">
      <alignment horizontal="center" wrapText="1"/>
    </xf>
    <xf numFmtId="0" fontId="11" fillId="33" borderId="38" xfId="0" applyFont="1" applyFill="1" applyBorder="1" applyAlignment="1">
      <alignment horizontal="center" wrapText="1"/>
    </xf>
    <xf numFmtId="164" fontId="4" fillId="0" borderId="0" xfId="0" applyNumberFormat="1" applyFont="1" applyAlignment="1">
      <alignment/>
    </xf>
    <xf numFmtId="164" fontId="4" fillId="34" borderId="14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4" fontId="0" fillId="0" borderId="0" xfId="0" applyNumberFormat="1" applyAlignment="1">
      <alignment/>
    </xf>
    <xf numFmtId="15" fontId="0" fillId="0" borderId="0" xfId="0" applyNumberFormat="1" applyBorder="1" applyAlignment="1">
      <alignment/>
    </xf>
    <xf numFmtId="0" fontId="2" fillId="33" borderId="3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164" fontId="14" fillId="35" borderId="21" xfId="0" applyNumberFormat="1" applyFont="1" applyFill="1" applyBorder="1" applyAlignment="1">
      <alignment horizontal="center" vertical="center"/>
    </xf>
    <xf numFmtId="3" fontId="14" fillId="35" borderId="21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2" fontId="4" fillId="34" borderId="12" xfId="0" applyNumberFormat="1" applyFont="1" applyFill="1" applyBorder="1" applyAlignment="1">
      <alignment horizontal="right" indent="1"/>
    </xf>
    <xf numFmtId="9" fontId="0" fillId="0" borderId="0" xfId="59" applyFont="1" applyAlignment="1">
      <alignment/>
    </xf>
    <xf numFmtId="1" fontId="4" fillId="34" borderId="40" xfId="0" applyNumberFormat="1" applyFont="1" applyFill="1" applyBorder="1" applyAlignment="1">
      <alignment horizontal="center"/>
    </xf>
    <xf numFmtId="2" fontId="4" fillId="34" borderId="13" xfId="0" applyNumberFormat="1" applyFont="1" applyFill="1" applyBorder="1" applyAlignment="1">
      <alignment horizontal="right" indent="1"/>
    </xf>
    <xf numFmtId="11" fontId="0" fillId="0" borderId="0" xfId="0" applyNumberFormat="1" applyAlignment="1">
      <alignment/>
    </xf>
    <xf numFmtId="164" fontId="0" fillId="0" borderId="0" xfId="0" applyNumberFormat="1" applyFont="1" applyBorder="1" applyAlignment="1">
      <alignment/>
    </xf>
    <xf numFmtId="0" fontId="9" fillId="33" borderId="41" xfId="0" applyFont="1" applyFill="1" applyBorder="1" applyAlignment="1">
      <alignment horizontal="centerContinuous"/>
    </xf>
    <xf numFmtId="0" fontId="11" fillId="33" borderId="42" xfId="0" applyFont="1" applyFill="1" applyBorder="1" applyAlignment="1">
      <alignment horizontal="right" wrapText="1" indent="1"/>
    </xf>
    <xf numFmtId="0" fontId="9" fillId="33" borderId="18" xfId="0" applyFont="1" applyFill="1" applyBorder="1" applyAlignment="1">
      <alignment horizontal="center" wrapText="1"/>
    </xf>
    <xf numFmtId="0" fontId="9" fillId="33" borderId="43" xfId="0" applyFont="1" applyFill="1" applyBorder="1" applyAlignment="1">
      <alignment horizontal="center" wrapText="1"/>
    </xf>
    <xf numFmtId="0" fontId="9" fillId="33" borderId="44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12" fillId="0" borderId="0" xfId="0" applyFont="1" applyAlignment="1">
      <alignment horizontal="left" vertical="top" wrapText="1" readingOrder="1"/>
    </xf>
    <xf numFmtId="0" fontId="2" fillId="36" borderId="45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 2" xfId="55"/>
    <cellStyle name="Normal 4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8"/>
      </font>
      <fill>
        <patternFill>
          <bgColor indexed="9"/>
        </patternFill>
      </fill>
    </dxf>
    <dxf>
      <font>
        <b/>
        <i val="0"/>
        <color indexed="8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8725"/>
          <c:w val="0.9665"/>
          <c:h val="0.866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'INPUTS-OUTPUTS'!$F$5</c:f>
              <c:strCache>
                <c:ptCount val="1"/>
                <c:pt idx="0">
                  <c:v>Reference Load (MW)</c:v>
                </c:pt>
              </c:strCache>
            </c:strRef>
          </c:tx>
          <c:spPr>
            <a:ln w="254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'INPUTS-OUTPUTS'!$E$7:$E$30</c:f>
              <c:numCache/>
            </c:numRef>
          </c:xVal>
          <c:yVal>
            <c:numRef>
              <c:f>'INPUTS-OUTPUTS'!$F$7:$F$30</c:f>
              <c:numCache/>
            </c:numRef>
          </c:yVal>
          <c:smooth val="1"/>
        </c:ser>
        <c:ser>
          <c:idx val="2"/>
          <c:order val="1"/>
          <c:tx>
            <c:strRef>
              <c:f>'INPUTS-OUTPUTS'!$G$5</c:f>
              <c:strCache>
                <c:ptCount val="1"/>
                <c:pt idx="0">
                  <c:v>Estimated Load w/ DR (MW)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'INPUTS-OUTPUTS'!$E$7:$E$30</c:f>
              <c:numCache/>
            </c:numRef>
          </c:xVal>
          <c:yVal>
            <c:numRef>
              <c:f>'INPUTS-OUTPUTS'!$G$7:$G$30</c:f>
              <c:numCache/>
            </c:numRef>
          </c:yVal>
          <c:smooth val="1"/>
        </c:ser>
        <c:axId val="13290117"/>
        <c:axId val="52502190"/>
      </c:scatterChart>
      <c:valAx>
        <c:axId val="13290117"/>
        <c:scaling>
          <c:orientation val="minMax"/>
          <c:max val="24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 Ending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2502190"/>
        <c:crosses val="autoZero"/>
        <c:crossBetween val="midCat"/>
        <c:dispUnits/>
        <c:majorUnit val="4"/>
        <c:minorUnit val="4"/>
      </c:valAx>
      <c:valAx>
        <c:axId val="5250219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32901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12"/>
          <c:y val="0.007"/>
          <c:w val="0.5715"/>
          <c:h val="0.04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EAEAE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161925</xdr:rowOff>
    </xdr:from>
    <xdr:to>
      <xdr:col>3</xdr:col>
      <xdr:colOff>1114425</xdr:colOff>
      <xdr:row>29</xdr:row>
      <xdr:rowOff>161925</xdr:rowOff>
    </xdr:to>
    <xdr:graphicFrame>
      <xdr:nvGraphicFramePr>
        <xdr:cNvPr id="1" name="Chart 1"/>
        <xdr:cNvGraphicFramePr/>
      </xdr:nvGraphicFramePr>
      <xdr:xfrm>
        <a:off x="85725" y="3209925"/>
        <a:ext cx="65532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228600</xdr:colOff>
      <xdr:row>0</xdr:row>
      <xdr:rowOff>200025</xdr:rowOff>
    </xdr:from>
    <xdr:to>
      <xdr:col>12</xdr:col>
      <xdr:colOff>66675</xdr:colOff>
      <xdr:row>2</xdr:row>
      <xdr:rowOff>19050</xdr:rowOff>
    </xdr:to>
    <xdr:pic>
      <xdr:nvPicPr>
        <xdr:cNvPr id="2" name="Picture 2" descr="FSC Logo NEW PURPLE 2007"/>
        <xdr:cNvPicPr preferRelativeResize="1">
          <a:picLocks noChangeAspect="1"/>
        </xdr:cNvPicPr>
      </xdr:nvPicPr>
      <xdr:blipFill>
        <a:blip r:embed="rId2"/>
        <a:srcRect t="10937"/>
        <a:stretch>
          <a:fillRect/>
        </a:stretch>
      </xdr:blipFill>
      <xdr:spPr>
        <a:xfrm>
          <a:off x="10906125" y="200025"/>
          <a:ext cx="1971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257175</xdr:colOff>
      <xdr:row>0</xdr:row>
      <xdr:rowOff>38100</xdr:rowOff>
    </xdr:from>
    <xdr:to>
      <xdr:col>13</xdr:col>
      <xdr:colOff>628650</xdr:colOff>
      <xdr:row>2</xdr:row>
      <xdr:rowOff>161925</xdr:rowOff>
    </xdr:to>
    <xdr:pic>
      <xdr:nvPicPr>
        <xdr:cNvPr id="3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68300" y="38100"/>
          <a:ext cx="108585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9"/>
  <sheetViews>
    <sheetView showGridLines="0" tabSelected="1" zoomScale="70" zoomScaleNormal="70" zoomScalePageLayoutView="0" workbookViewId="0" topLeftCell="A4">
      <selection activeCell="B34" sqref="B34"/>
    </sheetView>
  </sheetViews>
  <sheetFormatPr defaultColWidth="9.140625" defaultRowHeight="12.75"/>
  <cols>
    <col min="1" max="1" width="35.00390625" style="11" customWidth="1"/>
    <col min="2" max="2" width="36.00390625" style="11" customWidth="1"/>
    <col min="3" max="3" width="11.8515625" style="11" customWidth="1"/>
    <col min="4" max="4" width="21.421875" style="11" customWidth="1"/>
    <col min="5" max="5" width="9.140625" style="11" customWidth="1"/>
    <col min="6" max="6" width="11.7109375" style="11" customWidth="1"/>
    <col min="7" max="7" width="10.7109375" style="11" customWidth="1"/>
    <col min="8" max="9" width="12.140625" style="11" customWidth="1"/>
    <col min="10" max="10" width="10.57421875" style="11" customWidth="1"/>
    <col min="11" max="14" width="10.7109375" style="11" customWidth="1"/>
    <col min="15" max="15" width="9.140625" style="11" customWidth="1"/>
    <col min="16" max="18" width="11.28125" style="11" hidden="1" customWidth="1"/>
    <col min="19" max="19" width="9.140625" style="11" customWidth="1"/>
    <col min="20" max="16384" width="9.140625" style="11" customWidth="1"/>
  </cols>
  <sheetData>
    <row r="1" spans="1:14" ht="18">
      <c r="A1" s="9" t="s">
        <v>32</v>
      </c>
      <c r="B1" s="10"/>
      <c r="C1" s="10"/>
      <c r="D1" s="10"/>
      <c r="E1" s="9"/>
      <c r="F1" s="10"/>
      <c r="G1" s="10"/>
      <c r="H1" s="10"/>
      <c r="I1" s="10"/>
      <c r="J1" s="10"/>
      <c r="K1" s="10"/>
      <c r="L1" s="10"/>
      <c r="M1" s="10"/>
      <c r="N1" s="10"/>
    </row>
    <row r="2" spans="1:14" ht="27">
      <c r="A2" s="12" t="s">
        <v>42</v>
      </c>
      <c r="B2" s="13"/>
      <c r="C2" s="13"/>
      <c r="D2" s="13"/>
      <c r="E2" s="12"/>
      <c r="F2" s="13"/>
      <c r="G2" s="13"/>
      <c r="H2" s="13"/>
      <c r="I2" s="13"/>
      <c r="J2" s="13"/>
      <c r="K2" s="13"/>
      <c r="L2" s="13"/>
      <c r="M2" s="13"/>
      <c r="N2" s="13"/>
    </row>
    <row r="3" spans="1:14" s="17" customFormat="1" ht="18" customHeight="1" thickBot="1">
      <c r="A3" s="14" t="str">
        <f>CustChar</f>
        <v>All Commercial Customers</v>
      </c>
      <c r="B3" s="15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</row>
    <row r="4" spans="1:9" ht="4.5" customHeight="1" thickBot="1">
      <c r="A4" s="18"/>
      <c r="B4" s="19"/>
      <c r="D4" s="20"/>
      <c r="F4" s="21"/>
      <c r="G4" s="22"/>
      <c r="H4" s="23"/>
      <c r="I4" s="24"/>
    </row>
    <row r="5" spans="1:14" ht="36" customHeight="1">
      <c r="A5" s="25" t="s">
        <v>11</v>
      </c>
      <c r="D5" s="20"/>
      <c r="E5" s="105" t="s">
        <v>31</v>
      </c>
      <c r="F5" s="103" t="str">
        <f>IF(TypeofResult="Aggregate","Reference Load (MW)",IF(TypeofResult="Per Ton","Reference Load (kW/Ton)","Reference Load (kW)"))</f>
        <v>Reference Load (MW)</v>
      </c>
      <c r="G5" s="103" t="str">
        <f>IF(TypeofResult="Aggregate","Estimated Load w/ DR (MW)",IF(TypeofResult="Per Ton","Estimated Load w/ DR (kW/Ton)","Estimated Load w/ DR (kW)"))</f>
        <v>Estimated Load w/ DR (MW)</v>
      </c>
      <c r="H5" s="103" t="str">
        <f>IF(TypeofResult="Aggregate"," Load Impact (MW)",IF(TypeofResult="Per Ton","Load Impact (kW/Ton)","Load Impact (kW)"))</f>
        <v> Load Impact (MW)</v>
      </c>
      <c r="I5" s="103" t="s">
        <v>12</v>
      </c>
      <c r="J5" s="26" t="s">
        <v>13</v>
      </c>
      <c r="K5" s="27"/>
      <c r="L5" s="27"/>
      <c r="M5" s="27"/>
      <c r="N5" s="28"/>
    </row>
    <row r="6" spans="1:18" ht="19.5" customHeight="1">
      <c r="A6" s="29" t="s">
        <v>14</v>
      </c>
      <c r="B6" s="30" t="s">
        <v>1</v>
      </c>
      <c r="D6" s="31"/>
      <c r="E6" s="106"/>
      <c r="F6" s="104"/>
      <c r="G6" s="104"/>
      <c r="H6" s="104"/>
      <c r="I6" s="104"/>
      <c r="J6" s="33" t="s">
        <v>15</v>
      </c>
      <c r="K6" s="33" t="s">
        <v>16</v>
      </c>
      <c r="L6" s="33" t="s">
        <v>17</v>
      </c>
      <c r="M6" s="33" t="s">
        <v>18</v>
      </c>
      <c r="N6" s="34" t="s">
        <v>19</v>
      </c>
      <c r="P6" s="78" t="s">
        <v>27</v>
      </c>
      <c r="Q6" s="79" t="s">
        <v>28</v>
      </c>
      <c r="R6" s="80" t="s">
        <v>29</v>
      </c>
    </row>
    <row r="7" spans="1:19" ht="19.5" customHeight="1">
      <c r="A7" s="67" t="s">
        <v>25</v>
      </c>
      <c r="B7" s="75" t="s">
        <v>43</v>
      </c>
      <c r="D7" s="20"/>
      <c r="E7" s="97">
        <v>1</v>
      </c>
      <c r="F7" s="95">
        <f>DGET(DATA,"Reference Load",criteria1)*IF(TypeofResult="Aggregate",AggregateTons/1000,1)*IF(TypeofResult&lt;&gt;"Average AC Unit",1/AverageTons,1)</f>
        <v>2.516165055527341</v>
      </c>
      <c r="G7" s="95">
        <f>DGET(DATA,"Observed Load",criteria1)*IF(TypeofResult="Aggregate",AggregateTons/1000,1)*IF(TypeofResult&lt;&gt;"Average AC Unit",1/AverageTons,1)</f>
        <v>2.516165055527341</v>
      </c>
      <c r="H7" s="95">
        <f>F7-G7</f>
        <v>0</v>
      </c>
      <c r="I7" s="4">
        <f>DGET(DATA,"Temperature",criteria1)</f>
        <v>68.9711</v>
      </c>
      <c r="J7" s="4">
        <f ca="1">-DGET(DATA,"PCTILE10",INDIRECT(LOOKUP!B15))*IF(TypeofResult="Aggregate",AggregateTons/1000,1)*IF(TypeofResult&lt;&gt;"Average AC Unit",1/AverageTons,1)</f>
        <v>0</v>
      </c>
      <c r="K7" s="4">
        <f ca="1">-DGET(DATA,"PCTILE30",INDIRECT(LOOKUP!B15))*IF(TypeofResult="Aggregate",AggregateTons/1000,1)*IF(TypeofResult&lt;&gt;"Average AC Unit",1/AverageTons,1)</f>
        <v>0</v>
      </c>
      <c r="L7" s="4">
        <f ca="1">-DGET(DATA,"PCTILE50",INDIRECT(LOOKUP!B15))*IF(TypeofResult="Aggregate",AggregateTons/1000,1)*IF(TypeofResult&lt;&gt;"Average AC Unit",1/AverageTons,1)</f>
        <v>0</v>
      </c>
      <c r="M7" s="4">
        <f ca="1">-DGET(DATA,"PCTILE70",INDIRECT(LOOKUP!B15))*IF(TypeofResult="Aggregate",AggregateTons/1000,1)*IF(TypeofResult&lt;&gt;"Average AC Unit",1/AverageTons,1)</f>
        <v>0</v>
      </c>
      <c r="N7" s="4">
        <f ca="1">-DGET(DATA,"PCTILE90",INDIRECT(LOOKUP!B15))*IF(TypeofResult="Aggregate",AggregateTons/1000,1)*IF(TypeofResult&lt;&gt;"Average AC Unit",1/AverageTons,1)</f>
        <v>0</v>
      </c>
      <c r="O7" s="69"/>
      <c r="P7" s="76">
        <f>MAX(0,I7-70)</f>
        <v>0</v>
      </c>
      <c r="Q7" s="76">
        <f>DGET(DATA,"Standard Error",criteria1)*IF(TypeofResult="Aggregate",AggregateTons/1000,1)*IF(TypeofResult&lt;&gt;"Average AC Unit",1/AverageTons,1)</f>
        <v>6.1651385003047965</v>
      </c>
      <c r="R7" s="76">
        <f>Q7^2</f>
        <v>38.008932727940476</v>
      </c>
      <c r="S7" s="36"/>
    </row>
    <row r="8" spans="1:18" ht="19.5" customHeight="1">
      <c r="A8" s="71" t="s">
        <v>23</v>
      </c>
      <c r="B8" s="35" t="s">
        <v>35</v>
      </c>
      <c r="D8" s="20"/>
      <c r="E8" s="97">
        <f>E7+1</f>
        <v>2</v>
      </c>
      <c r="F8" s="98">
        <f>DGET(DATA,"Reference Load",criteria2)*IF(TypeofResult="Aggregate",AggregateTons/1000,1)*IF(TypeofResult&lt;&gt;"Average AC Unit",1/AverageTons,1)</f>
        <v>2.341585661923197</v>
      </c>
      <c r="G8" s="98">
        <f>DGET(DATA,"Observed Load",criteria2)*IF(TypeofResult="Aggregate",AggregateTons/1000,1)*IF(TypeofResult&lt;&gt;"Average AC Unit",1/AverageTons,1)</f>
        <v>2.341585661923197</v>
      </c>
      <c r="H8" s="95">
        <f aca="true" t="shared" si="0" ref="H8:H30">F8-G8</f>
        <v>0</v>
      </c>
      <c r="I8" s="5">
        <f>DGET(DATA,"Temperature",criteria2)</f>
        <v>68.3898</v>
      </c>
      <c r="J8" s="4">
        <f ca="1">-DGET(DATA,"PCTILE10",INDIRECT(LOOKUP!B16))*IF(TypeofResult="Aggregate",AggregateTons/1000,1)*IF(TypeofResult&lt;&gt;"Average AC Unit",1/AverageTons,1)</f>
        <v>0</v>
      </c>
      <c r="K8" s="4">
        <f ca="1">-DGET(DATA,"PCTILE30",INDIRECT(LOOKUP!B16))*IF(TypeofResult="Aggregate",AggregateTons/1000,1)*IF(TypeofResult&lt;&gt;"Average AC Unit",1/AverageTons,1)</f>
        <v>0</v>
      </c>
      <c r="L8" s="4">
        <f ca="1">-DGET(DATA,"PCTILE50",INDIRECT(LOOKUP!B16))*IF(TypeofResult="Aggregate",AggregateTons/1000,1)*IF(TypeofResult&lt;&gt;"Average AC Unit",1/AverageTons,1)</f>
        <v>0</v>
      </c>
      <c r="M8" s="4">
        <f ca="1">-DGET(DATA,"PCTILE70",INDIRECT(LOOKUP!B16))*IF(TypeofResult="Aggregate",AggregateTons/1000,1)*IF(TypeofResult&lt;&gt;"Average AC Unit",1/AverageTons,1)</f>
        <v>0</v>
      </c>
      <c r="N8" s="4">
        <f ca="1">-DGET(DATA,"PCTILE90",INDIRECT(LOOKUP!B16))*IF(TypeofResult="Aggregate",AggregateTons/1000,1)*IF(TypeofResult&lt;&gt;"Average AC Unit",1/AverageTons,1)</f>
        <v>0</v>
      </c>
      <c r="O8" s="69"/>
      <c r="P8" s="77">
        <f aca="true" t="shared" si="1" ref="P8:P30">MAX(0,I8-70)</f>
        <v>0</v>
      </c>
      <c r="Q8" s="77">
        <f>DGET(DATA,"Standard Error",criteria2)*IF(TypeofResult="Aggregate",AggregateTons/1000,1)*IF(TypeofResult&lt;&gt;"Average AC Unit",1/AverageTons,1)</f>
        <v>6.1657378460201615</v>
      </c>
      <c r="R8" s="76">
        <f aca="true" t="shared" si="2" ref="R8:R30">Q8^2</f>
        <v>38.016323185845344</v>
      </c>
    </row>
    <row r="9" spans="1:18" ht="19.5" customHeight="1">
      <c r="A9" s="25" t="s">
        <v>22</v>
      </c>
      <c r="D9" s="20"/>
      <c r="E9" s="97">
        <f aca="true" t="shared" si="3" ref="E9:E30">E8+1</f>
        <v>3</v>
      </c>
      <c r="F9" s="98">
        <f>DGET(DATA,"Reference Load",criteria3)*IF(TypeofResult="Aggregate",AggregateTons/1000,1)*IF(TypeofResult&lt;&gt;"Average AC Unit",1/AverageTons,1)</f>
        <v>2.1725832309925415</v>
      </c>
      <c r="G9" s="98">
        <f>DGET(DATA,"Observed Load",criteria3)*IF(TypeofResult="Aggregate",AggregateTons/1000,1)*IF(TypeofResult&lt;&gt;"Average AC Unit",1/AverageTons,1)</f>
        <v>2.1725832309925415</v>
      </c>
      <c r="H9" s="95">
        <f t="shared" si="0"/>
        <v>0</v>
      </c>
      <c r="I9" s="5">
        <f>DGET(DATA,"Temperature",criteria3)</f>
        <v>68.121</v>
      </c>
      <c r="J9" s="4">
        <f ca="1">-DGET(DATA,"PCTILE10",INDIRECT(LOOKUP!B17))*IF(TypeofResult="Aggregate",AggregateTons/1000,1)*IF(TypeofResult&lt;&gt;"Average AC Unit",1/AverageTons,1)</f>
        <v>0</v>
      </c>
      <c r="K9" s="4">
        <f ca="1">-DGET(DATA,"PCTILE30",INDIRECT(LOOKUP!B17))*IF(TypeofResult="Aggregate",AggregateTons/1000,1)*IF(TypeofResult&lt;&gt;"Average AC Unit",1/AverageTons,1)</f>
        <v>0</v>
      </c>
      <c r="L9" s="4">
        <f ca="1">-DGET(DATA,"PCTILE50",INDIRECT(LOOKUP!B17))*IF(TypeofResult="Aggregate",AggregateTons/1000,1)*IF(TypeofResult&lt;&gt;"Average AC Unit",1/AverageTons,1)</f>
        <v>0</v>
      </c>
      <c r="M9" s="4">
        <f ca="1">-DGET(DATA,"PCTILE70",INDIRECT(LOOKUP!B17))*IF(TypeofResult="Aggregate",AggregateTons/1000,1)*IF(TypeofResult&lt;&gt;"Average AC Unit",1/AverageTons,1)</f>
        <v>0</v>
      </c>
      <c r="N9" s="4">
        <f ca="1">-DGET(DATA,"PCTILE90",INDIRECT(LOOKUP!B17))*IF(TypeofResult="Aggregate",AggregateTons/1000,1)*IF(TypeofResult&lt;&gt;"Average AC Unit",1/AverageTons,1)</f>
        <v>0</v>
      </c>
      <c r="O9" s="69"/>
      <c r="P9" s="77">
        <f t="shared" si="1"/>
        <v>0</v>
      </c>
      <c r="Q9" s="77">
        <f>DGET(DATA,"Standard Error",criteria3)*IF(TypeofResult="Aggregate",AggregateTons/1000,1)*IF(TypeofResult&lt;&gt;"Average AC Unit",1/AverageTons,1)</f>
        <v>6.1662805949246335</v>
      </c>
      <c r="R9" s="76">
        <f t="shared" si="2"/>
        <v>38.02301637534409</v>
      </c>
    </row>
    <row r="10" spans="1:18" ht="19.5" customHeight="1">
      <c r="A10" s="70" t="s">
        <v>38</v>
      </c>
      <c r="B10" s="89">
        <f>DGET(DATA,"Average Tons",criteria1)</f>
        <v>3.774663</v>
      </c>
      <c r="D10" s="20"/>
      <c r="E10" s="97">
        <f t="shared" si="3"/>
        <v>4</v>
      </c>
      <c r="F10" s="98">
        <f>DGET(DATA,"Reference Load",criteria4)*IF(TypeofResult="Aggregate",AggregateTons/1000,1)*IF(TypeofResult&lt;&gt;"Average AC Unit",1/AverageTons,1)</f>
        <v>2.0607058478576765</v>
      </c>
      <c r="G10" s="98">
        <f>DGET(DATA,"Observed Load",criteria4)*IF(TypeofResult="Aggregate",AggregateTons/1000,1)*IF(TypeofResult&lt;&gt;"Average AC Unit",1/AverageTons,1)</f>
        <v>2.0607058478576765</v>
      </c>
      <c r="H10" s="95">
        <f t="shared" si="0"/>
        <v>0</v>
      </c>
      <c r="I10" s="5">
        <f>DGET(DATA,"Temperature",criteria4)</f>
        <v>68.0331</v>
      </c>
      <c r="J10" s="4">
        <f ca="1">-DGET(DATA,"PCTILE10",INDIRECT(LOOKUP!B18))*IF(TypeofResult="Aggregate",AggregateTons/1000,1)*IF(TypeofResult&lt;&gt;"Average AC Unit",1/AverageTons,1)</f>
        <v>0</v>
      </c>
      <c r="K10" s="4">
        <f ca="1">-DGET(DATA,"PCTILE30",INDIRECT(LOOKUP!B18))*IF(TypeofResult="Aggregate",AggregateTons/1000,1)*IF(TypeofResult&lt;&gt;"Average AC Unit",1/AverageTons,1)</f>
        <v>0</v>
      </c>
      <c r="L10" s="4">
        <f ca="1">-DGET(DATA,"PCTILE50",INDIRECT(LOOKUP!B18))*IF(TypeofResult="Aggregate",AggregateTons/1000,1)*IF(TypeofResult&lt;&gt;"Average AC Unit",1/AverageTons,1)</f>
        <v>0</v>
      </c>
      <c r="M10" s="4">
        <f ca="1">-DGET(DATA,"PCTILE70",INDIRECT(LOOKUP!B18))*IF(TypeofResult="Aggregate",AggregateTons/1000,1)*IF(TypeofResult&lt;&gt;"Average AC Unit",1/AverageTons,1)</f>
        <v>0</v>
      </c>
      <c r="N10" s="4">
        <f ca="1">-DGET(DATA,"PCTILE90",INDIRECT(LOOKUP!B18))*IF(TypeofResult="Aggregate",AggregateTons/1000,1)*IF(TypeofResult&lt;&gt;"Average AC Unit",1/AverageTons,1)</f>
        <v>0</v>
      </c>
      <c r="O10" s="69"/>
      <c r="P10" s="77">
        <f t="shared" si="1"/>
        <v>0</v>
      </c>
      <c r="Q10" s="77">
        <f>DGET(DATA,"Standard Error",criteria4)*IF(TypeofResult="Aggregate",AggregateTons/1000,1)*IF(TypeofResult&lt;&gt;"Average AC Unit",1/AverageTons,1)</f>
        <v>6.16696701265676</v>
      </c>
      <c r="R10" s="76">
        <f t="shared" si="2"/>
        <v>38.03148213519664</v>
      </c>
    </row>
    <row r="11" spans="1:18" ht="19.5" customHeight="1">
      <c r="A11" s="67" t="s">
        <v>39</v>
      </c>
      <c r="B11" s="90">
        <f>DGET(DATA,"Aggregate Tons",criteria1)</f>
        <v>54777.92</v>
      </c>
      <c r="D11" s="20"/>
      <c r="E11" s="97">
        <f t="shared" si="3"/>
        <v>5</v>
      </c>
      <c r="F11" s="98">
        <f>DGET(DATA,"Reference Load",criteria5)*IF(TypeofResult="Aggregate",AggregateTons/1000,1)*IF(TypeofResult&lt;&gt;"Average AC Unit",1/AverageTons,1)</f>
        <v>2.0389857332768515</v>
      </c>
      <c r="G11" s="98">
        <f>DGET(DATA,"Observed Load",criteria5)*IF(TypeofResult="Aggregate",AggregateTons/1000,1)*IF(TypeofResult&lt;&gt;"Average AC Unit",1/AverageTons,1)</f>
        <v>2.0389857332768515</v>
      </c>
      <c r="H11" s="95">
        <f t="shared" si="0"/>
        <v>0</v>
      </c>
      <c r="I11" s="5">
        <f>DGET(DATA,"Temperature",criteria5)</f>
        <v>67.5188</v>
      </c>
      <c r="J11" s="4">
        <f ca="1">-DGET(DATA,"PCTILE10",INDIRECT(LOOKUP!B19))*IF(TypeofResult="Aggregate",AggregateTons/1000,1)*IF(TypeofResult&lt;&gt;"Average AC Unit",1/AverageTons,1)</f>
        <v>0</v>
      </c>
      <c r="K11" s="4">
        <f ca="1">-DGET(DATA,"PCTILE30",INDIRECT(LOOKUP!B19))*IF(TypeofResult="Aggregate",AggregateTons/1000,1)*IF(TypeofResult&lt;&gt;"Average AC Unit",1/AverageTons,1)</f>
        <v>0</v>
      </c>
      <c r="L11" s="4">
        <f ca="1">-DGET(DATA,"PCTILE50",INDIRECT(LOOKUP!B19))*IF(TypeofResult="Aggregate",AggregateTons/1000,1)*IF(TypeofResult&lt;&gt;"Average AC Unit",1/AverageTons,1)</f>
        <v>0</v>
      </c>
      <c r="M11" s="4">
        <f ca="1">-DGET(DATA,"PCTILE70",INDIRECT(LOOKUP!B19))*IF(TypeofResult="Aggregate",AggregateTons/1000,1)*IF(TypeofResult&lt;&gt;"Average AC Unit",1/AverageTons,1)</f>
        <v>0</v>
      </c>
      <c r="N11" s="4">
        <f ca="1">-DGET(DATA,"PCTILE90",INDIRECT(LOOKUP!B19))*IF(TypeofResult="Aggregate",AggregateTons/1000,1)*IF(TypeofResult&lt;&gt;"Average AC Unit",1/AverageTons,1)</f>
        <v>0</v>
      </c>
      <c r="O11" s="69"/>
      <c r="P11" s="77">
        <f t="shared" si="1"/>
        <v>0</v>
      </c>
      <c r="Q11" s="77">
        <f>DGET(DATA,"Standard Error",criteria5)*IF(TypeofResult="Aggregate",AggregateTons/1000,1)*IF(TypeofResult&lt;&gt;"Average AC Unit",1/AverageTons,1)</f>
        <v>6.164951295468762</v>
      </c>
      <c r="R11" s="76">
        <f t="shared" si="2"/>
        <v>38.006624475501965</v>
      </c>
    </row>
    <row r="12" spans="1:18" ht="19.5" customHeight="1">
      <c r="A12" s="71" t="s">
        <v>40</v>
      </c>
      <c r="B12" s="90">
        <f>DGET(DATA,"Total Participants",criteria1)</f>
        <v>454.1892547</v>
      </c>
      <c r="D12" s="37">
        <v>0.5</v>
      </c>
      <c r="E12" s="97">
        <f t="shared" si="3"/>
        <v>6</v>
      </c>
      <c r="F12" s="98">
        <f>DGET(DATA,"Reference Load",criteria6)*IF(TypeofResult="Aggregate",AggregateTons/1000,1)*IF(TypeofResult&lt;&gt;"Average AC Unit",1/AverageTons,1)</f>
        <v>2.2382848724392086</v>
      </c>
      <c r="G12" s="98">
        <f>DGET(DATA,"Observed Load",criteria6)*IF(TypeofResult="Aggregate",AggregateTons/1000,1)*IF(TypeofResult&lt;&gt;"Average AC Unit",1/AverageTons,1)</f>
        <v>2.2382848724392086</v>
      </c>
      <c r="H12" s="95">
        <f t="shared" si="0"/>
        <v>0</v>
      </c>
      <c r="I12" s="5">
        <f>DGET(DATA,"Temperature",criteria6)</f>
        <v>67.3875</v>
      </c>
      <c r="J12" s="4">
        <f ca="1">-DGET(DATA,"PCTILE10",INDIRECT(LOOKUP!B20))*IF(TypeofResult="Aggregate",AggregateTons/1000,1)*IF(TypeofResult&lt;&gt;"Average AC Unit",1/AverageTons,1)</f>
        <v>0</v>
      </c>
      <c r="K12" s="4">
        <f ca="1">-DGET(DATA,"PCTILE30",INDIRECT(LOOKUP!B20))*IF(TypeofResult="Aggregate",AggregateTons/1000,1)*IF(TypeofResult&lt;&gt;"Average AC Unit",1/AverageTons,1)</f>
        <v>0</v>
      </c>
      <c r="L12" s="4">
        <f ca="1">-DGET(DATA,"PCTILE50",INDIRECT(LOOKUP!B20))*IF(TypeofResult="Aggregate",AggregateTons/1000,1)*IF(TypeofResult&lt;&gt;"Average AC Unit",1/AverageTons,1)</f>
        <v>0</v>
      </c>
      <c r="M12" s="4">
        <f ca="1">-DGET(DATA,"PCTILE70",INDIRECT(LOOKUP!B20))*IF(TypeofResult="Aggregate",AggregateTons/1000,1)*IF(TypeofResult&lt;&gt;"Average AC Unit",1/AverageTons,1)</f>
        <v>0</v>
      </c>
      <c r="N12" s="4">
        <f ca="1">-DGET(DATA,"PCTILE90",INDIRECT(LOOKUP!B20))*IF(TypeofResult="Aggregate",AggregateTons/1000,1)*IF(TypeofResult&lt;&gt;"Average AC Unit",1/AverageTons,1)</f>
        <v>0</v>
      </c>
      <c r="O12" s="69"/>
      <c r="P12" s="77">
        <f t="shared" si="1"/>
        <v>0</v>
      </c>
      <c r="Q12" s="77">
        <f>DGET(DATA,"Standard Error",criteria6)*IF(TypeofResult="Aggregate",AggregateTons/1000,1)*IF(TypeofResult&lt;&gt;"Average AC Unit",1/AverageTons,1)</f>
        <v>6.167888524834138</v>
      </c>
      <c r="R12" s="76">
        <f t="shared" si="2"/>
        <v>38.042848854780644</v>
      </c>
    </row>
    <row r="13" spans="4:18" ht="19.5" customHeight="1">
      <c r="D13" s="38"/>
      <c r="E13" s="97">
        <f t="shared" si="3"/>
        <v>7</v>
      </c>
      <c r="F13" s="98">
        <f>DGET(DATA,"Reference Load",criteria7)*IF(TypeofResult="Aggregate",AggregateTons/1000,1)*IF(TypeofResult&lt;&gt;"Average AC Unit",1/AverageTons,1)</f>
        <v>2.9902213947766993</v>
      </c>
      <c r="G13" s="98">
        <f>DGET(DATA,"Observed Load",criteria7)*IF(TypeofResult="Aggregate",AggregateTons/1000,1)*IF(TypeofResult&lt;&gt;"Average AC Unit",1/AverageTons,1)</f>
        <v>2.9902213947766993</v>
      </c>
      <c r="H13" s="95">
        <f t="shared" si="0"/>
        <v>0</v>
      </c>
      <c r="I13" s="5">
        <f>DGET(DATA,"Temperature",criteria7)</f>
        <v>68.7435</v>
      </c>
      <c r="J13" s="4">
        <f ca="1">-DGET(DATA,"PCTILE10",INDIRECT(LOOKUP!B21))*IF(TypeofResult="Aggregate",AggregateTons/1000,1)*IF(TypeofResult&lt;&gt;"Average AC Unit",1/AverageTons,1)</f>
        <v>0</v>
      </c>
      <c r="K13" s="4">
        <f ca="1">-DGET(DATA,"PCTILE30",INDIRECT(LOOKUP!B21))*IF(TypeofResult="Aggregate",AggregateTons/1000,1)*IF(TypeofResult&lt;&gt;"Average AC Unit",1/AverageTons,1)</f>
        <v>0</v>
      </c>
      <c r="L13" s="4">
        <f ca="1">-DGET(DATA,"PCTILE50",INDIRECT(LOOKUP!B21))*IF(TypeofResult="Aggregate",AggregateTons/1000,1)*IF(TypeofResult&lt;&gt;"Average AC Unit",1/AverageTons,1)</f>
        <v>0</v>
      </c>
      <c r="M13" s="4">
        <f ca="1">-DGET(DATA,"PCTILE70",INDIRECT(LOOKUP!B21))*IF(TypeofResult="Aggregate",AggregateTons/1000,1)*IF(TypeofResult&lt;&gt;"Average AC Unit",1/AverageTons,1)</f>
        <v>0</v>
      </c>
      <c r="N13" s="4">
        <f ca="1">-DGET(DATA,"PCTILE90",INDIRECT(LOOKUP!B21))*IF(TypeofResult="Aggregate",AggregateTons/1000,1)*IF(TypeofResult&lt;&gt;"Average AC Unit",1/AverageTons,1)</f>
        <v>0</v>
      </c>
      <c r="O13" s="69"/>
      <c r="P13" s="77">
        <f t="shared" si="1"/>
        <v>0</v>
      </c>
      <c r="Q13" s="77">
        <f>DGET(DATA,"Standard Error",criteria7)*IF(TypeofResult="Aggregate",AggregateTons/1000,1)*IF(TypeofResult&lt;&gt;"Average AC Unit",1/AverageTons,1)</f>
        <v>6.168490772950062</v>
      </c>
      <c r="R13" s="76">
        <f t="shared" si="2"/>
        <v>38.050278415970055</v>
      </c>
    </row>
    <row r="14" spans="5:18" ht="19.5" customHeight="1">
      <c r="E14" s="97">
        <f t="shared" si="3"/>
        <v>8</v>
      </c>
      <c r="F14" s="98">
        <f>DGET(DATA,"Reference Load",criteria8)*IF(TypeofResult="Aggregate",AggregateTons/1000,1)*IF(TypeofResult&lt;&gt;"Average AC Unit",1/AverageTons,1)</f>
        <v>5.424206429685511</v>
      </c>
      <c r="G14" s="98">
        <f>DGET(DATA,"Observed Load",criteria8)*IF(TypeofResult="Aggregate",AggregateTons/1000,1)*IF(TypeofResult&lt;&gt;"Average AC Unit",1/AverageTons,1)</f>
        <v>5.424206429685511</v>
      </c>
      <c r="H14" s="95">
        <f t="shared" si="0"/>
        <v>0</v>
      </c>
      <c r="I14" s="5">
        <f>DGET(DATA,"Temperature",criteria8)</f>
        <v>72.9215</v>
      </c>
      <c r="J14" s="4">
        <f ca="1">-DGET(DATA,"PCTILE10",INDIRECT(LOOKUP!B22))*IF(TypeofResult="Aggregate",AggregateTons/1000,1)*IF(TypeofResult&lt;&gt;"Average AC Unit",1/AverageTons,1)</f>
        <v>0</v>
      </c>
      <c r="K14" s="4">
        <f ca="1">-DGET(DATA,"PCTILE30",INDIRECT(LOOKUP!B22))*IF(TypeofResult="Aggregate",AggregateTons/1000,1)*IF(TypeofResult&lt;&gt;"Average AC Unit",1/AverageTons,1)</f>
        <v>0</v>
      </c>
      <c r="L14" s="4">
        <f ca="1">-DGET(DATA,"PCTILE50",INDIRECT(LOOKUP!B22))*IF(TypeofResult="Aggregate",AggregateTons/1000,1)*IF(TypeofResult&lt;&gt;"Average AC Unit",1/AverageTons,1)</f>
        <v>0</v>
      </c>
      <c r="M14" s="4">
        <f ca="1">-DGET(DATA,"PCTILE70",INDIRECT(LOOKUP!B22))*IF(TypeofResult="Aggregate",AggregateTons/1000,1)*IF(TypeofResult&lt;&gt;"Average AC Unit",1/AverageTons,1)</f>
        <v>0</v>
      </c>
      <c r="N14" s="4">
        <f ca="1">-DGET(DATA,"PCTILE90",INDIRECT(LOOKUP!B22))*IF(TypeofResult="Aggregate",AggregateTons/1000,1)*IF(TypeofResult&lt;&gt;"Average AC Unit",1/AverageTons,1)</f>
        <v>0</v>
      </c>
      <c r="O14" s="69"/>
      <c r="P14" s="77">
        <f t="shared" si="1"/>
        <v>2.9214999999999947</v>
      </c>
      <c r="Q14" s="77">
        <f>DGET(DATA,"Standard Error",criteria8)*IF(TypeofResult="Aggregate",AggregateTons/1000,1)*IF(TypeofResult&lt;&gt;"Average AC Unit",1/AverageTons,1)</f>
        <v>6.163666983221549</v>
      </c>
      <c r="R14" s="76">
        <f t="shared" si="2"/>
        <v>37.990790680055426</v>
      </c>
    </row>
    <row r="15" spans="5:18" ht="19.5" customHeight="1">
      <c r="E15" s="97">
        <f t="shared" si="3"/>
        <v>9</v>
      </c>
      <c r="F15" s="98">
        <f>DGET(DATA,"Reference Load",criteria9)*IF(TypeofResult="Aggregate",AggregateTons/1000,1)*IF(TypeofResult&lt;&gt;"Average AC Unit",1/AverageTons,1)</f>
        <v>9.130526955901493</v>
      </c>
      <c r="G15" s="98">
        <f>DGET(DATA,"Observed Load",criteria9)*IF(TypeofResult="Aggregate",AggregateTons/1000,1)*IF(TypeofResult&lt;&gt;"Average AC Unit",1/AverageTons,1)</f>
        <v>9.130526955901493</v>
      </c>
      <c r="H15" s="95">
        <f t="shared" si="0"/>
        <v>0</v>
      </c>
      <c r="I15" s="5">
        <f>DGET(DATA,"Temperature",criteria9)</f>
        <v>77.9889</v>
      </c>
      <c r="J15" s="4">
        <f ca="1">-DGET(DATA,"PCTILE10",INDIRECT(LOOKUP!B23))*IF(TypeofResult="Aggregate",AggregateTons/1000,1)*IF(TypeofResult&lt;&gt;"Average AC Unit",1/AverageTons,1)</f>
        <v>0</v>
      </c>
      <c r="K15" s="4">
        <f ca="1">-DGET(DATA,"PCTILE30",INDIRECT(LOOKUP!B23))*IF(TypeofResult="Aggregate",AggregateTons/1000,1)*IF(TypeofResult&lt;&gt;"Average AC Unit",1/AverageTons,1)</f>
        <v>0</v>
      </c>
      <c r="L15" s="4">
        <f ca="1">-DGET(DATA,"PCTILE50",INDIRECT(LOOKUP!B23))*IF(TypeofResult="Aggregate",AggregateTons/1000,1)*IF(TypeofResult&lt;&gt;"Average AC Unit",1/AverageTons,1)</f>
        <v>0</v>
      </c>
      <c r="M15" s="4">
        <f ca="1">-DGET(DATA,"PCTILE70",INDIRECT(LOOKUP!B23))*IF(TypeofResult="Aggregate",AggregateTons/1000,1)*IF(TypeofResult&lt;&gt;"Average AC Unit",1/AverageTons,1)</f>
        <v>0</v>
      </c>
      <c r="N15" s="4">
        <f ca="1">-DGET(DATA,"PCTILE90",INDIRECT(LOOKUP!B23))*IF(TypeofResult="Aggregate",AggregateTons/1000,1)*IF(TypeofResult&lt;&gt;"Average AC Unit",1/AverageTons,1)</f>
        <v>0</v>
      </c>
      <c r="O15" s="69"/>
      <c r="P15" s="77">
        <f t="shared" si="1"/>
        <v>7.988900000000001</v>
      </c>
      <c r="Q15" s="77">
        <f>DGET(DATA,"Standard Error",criteria9)*IF(TypeofResult="Aggregate",AggregateTons/1000,1)*IF(TypeofResult&lt;&gt;"Average AC Unit",1/AverageTons,1)</f>
        <v>6.161060627519861</v>
      </c>
      <c r="R15" s="76">
        <f t="shared" si="2"/>
        <v>37.95866805597542</v>
      </c>
    </row>
    <row r="16" spans="5:18" ht="19.5" customHeight="1">
      <c r="E16" s="97">
        <f t="shared" si="3"/>
        <v>10</v>
      </c>
      <c r="F16" s="98">
        <f>DGET(DATA,"Reference Load",criteria10)*IF(TypeofResult="Aggregate",AggregateTons/1000,1)*IF(TypeofResult&lt;&gt;"Average AC Unit",1/AverageTons,1)</f>
        <v>13.756330881505448</v>
      </c>
      <c r="G16" s="98">
        <f>DGET(DATA,"Observed Load",criteria10)*IF(TypeofResult="Aggregate",AggregateTons/1000,1)*IF(TypeofResult&lt;&gt;"Average AC Unit",1/AverageTons,1)</f>
        <v>13.756330881505448</v>
      </c>
      <c r="H16" s="95">
        <f t="shared" si="0"/>
        <v>0</v>
      </c>
      <c r="I16" s="5">
        <f>DGET(DATA,"Temperature",criteria10)</f>
        <v>81.9223</v>
      </c>
      <c r="J16" s="4">
        <f ca="1">-DGET(DATA,"PCTILE10",INDIRECT(LOOKUP!B24))*IF(TypeofResult="Aggregate",AggregateTons/1000,1)*IF(TypeofResult&lt;&gt;"Average AC Unit",1/AverageTons,1)</f>
        <v>0</v>
      </c>
      <c r="K16" s="4">
        <f ca="1">-DGET(DATA,"PCTILE30",INDIRECT(LOOKUP!B24))*IF(TypeofResult="Aggregate",AggregateTons/1000,1)*IF(TypeofResult&lt;&gt;"Average AC Unit",1/AverageTons,1)</f>
        <v>0</v>
      </c>
      <c r="L16" s="4">
        <f ca="1">-DGET(DATA,"PCTILE50",INDIRECT(LOOKUP!B24))*IF(TypeofResult="Aggregate",AggregateTons/1000,1)*IF(TypeofResult&lt;&gt;"Average AC Unit",1/AverageTons,1)</f>
        <v>0</v>
      </c>
      <c r="M16" s="4">
        <f ca="1">-DGET(DATA,"PCTILE70",INDIRECT(LOOKUP!B24))*IF(TypeofResult="Aggregate",AggregateTons/1000,1)*IF(TypeofResult&lt;&gt;"Average AC Unit",1/AverageTons,1)</f>
        <v>0</v>
      </c>
      <c r="N16" s="4">
        <f ca="1">-DGET(DATA,"PCTILE90",INDIRECT(LOOKUP!B24))*IF(TypeofResult="Aggregate",AggregateTons/1000,1)*IF(TypeofResult&lt;&gt;"Average AC Unit",1/AverageTons,1)</f>
        <v>0</v>
      </c>
      <c r="O16" s="69"/>
      <c r="P16" s="77">
        <f t="shared" si="1"/>
        <v>11.922300000000007</v>
      </c>
      <c r="Q16" s="77">
        <f>DGET(DATA,"Standard Error",criteria10)*IF(TypeofResult="Aggregate",AggregateTons/1000,1)*IF(TypeofResult&lt;&gt;"Average AC Unit",1/AverageTons,1)</f>
        <v>6.15990547209751</v>
      </c>
      <c r="R16" s="76">
        <f t="shared" si="2"/>
        <v>37.94443542517684</v>
      </c>
    </row>
    <row r="17" spans="4:18" ht="19.5" customHeight="1">
      <c r="D17" s="11" t="s">
        <v>20</v>
      </c>
      <c r="E17" s="97">
        <f t="shared" si="3"/>
        <v>11</v>
      </c>
      <c r="F17" s="98">
        <f>DGET(DATA,"Reference Load",criteria11)*IF(TypeofResult="Aggregate",AggregateTons/1000,1)*IF(TypeofResult&lt;&gt;"Average AC Unit",1/AverageTons,1)</f>
        <v>18.58309847299216</v>
      </c>
      <c r="G17" s="98">
        <f>DGET(DATA,"Observed Load",criteria11)*IF(TypeofResult="Aggregate",AggregateTons/1000,1)*IF(TypeofResult&lt;&gt;"Average AC Unit",1/AverageTons,1)</f>
        <v>18.58309847299216</v>
      </c>
      <c r="H17" s="95">
        <f t="shared" si="0"/>
        <v>0</v>
      </c>
      <c r="I17" s="5">
        <f>DGET(DATA,"Temperature",criteria11)</f>
        <v>84.7809</v>
      </c>
      <c r="J17" s="4">
        <f ca="1">-DGET(DATA,"PCTILE10",INDIRECT(LOOKUP!B25))*IF(TypeofResult="Aggregate",AggregateTons/1000,1)*IF(TypeofResult&lt;&gt;"Average AC Unit",1/AverageTons,1)</f>
        <v>0</v>
      </c>
      <c r="K17" s="4">
        <f ca="1">-DGET(DATA,"PCTILE30",INDIRECT(LOOKUP!B25))*IF(TypeofResult="Aggregate",AggregateTons/1000,1)*IF(TypeofResult&lt;&gt;"Average AC Unit",1/AverageTons,1)</f>
        <v>0</v>
      </c>
      <c r="L17" s="4">
        <f ca="1">-DGET(DATA,"PCTILE50",INDIRECT(LOOKUP!B25))*IF(TypeofResult="Aggregate",AggregateTons/1000,1)*IF(TypeofResult&lt;&gt;"Average AC Unit",1/AverageTons,1)</f>
        <v>0</v>
      </c>
      <c r="M17" s="4">
        <f ca="1">-DGET(DATA,"PCTILE70",INDIRECT(LOOKUP!B25))*IF(TypeofResult="Aggregate",AggregateTons/1000,1)*IF(TypeofResult&lt;&gt;"Average AC Unit",1/AverageTons,1)</f>
        <v>0</v>
      </c>
      <c r="N17" s="4">
        <f ca="1">-DGET(DATA,"PCTILE90",INDIRECT(LOOKUP!B25))*IF(TypeofResult="Aggregate",AggregateTons/1000,1)*IF(TypeofResult&lt;&gt;"Average AC Unit",1/AverageTons,1)</f>
        <v>0</v>
      </c>
      <c r="O17" s="69"/>
      <c r="P17" s="77">
        <f t="shared" si="1"/>
        <v>14.780900000000003</v>
      </c>
      <c r="Q17" s="77">
        <f>DGET(DATA,"Standard Error",criteria11)*IF(TypeofResult="Aggregate",AggregateTons/1000,1)*IF(TypeofResult&lt;&gt;"Average AC Unit",1/AverageTons,1)</f>
        <v>6.162638082223499</v>
      </c>
      <c r="R17" s="76">
        <f t="shared" si="2"/>
        <v>37.978108132471334</v>
      </c>
    </row>
    <row r="18" spans="5:18" ht="19.5" customHeight="1">
      <c r="E18" s="97">
        <f t="shared" si="3"/>
        <v>12</v>
      </c>
      <c r="F18" s="98">
        <f>DGET(DATA,"Reference Load",criteria12)*IF(TypeofResult="Aggregate",AggregateTons/1000,1)*IF(TypeofResult&lt;&gt;"Average AC Unit",1/AverageTons,1)</f>
        <v>22.39206384616587</v>
      </c>
      <c r="G18" s="98">
        <f>DGET(DATA,"Observed Load",criteria12)*IF(TypeofResult="Aggregate",AggregateTons/1000,1)*IF(TypeofResult&lt;&gt;"Average AC Unit",1/AverageTons,1)</f>
        <v>22.39206384616587</v>
      </c>
      <c r="H18" s="95">
        <f t="shared" si="0"/>
        <v>0</v>
      </c>
      <c r="I18" s="5">
        <f>DGET(DATA,"Temperature",criteria12)</f>
        <v>85.5909</v>
      </c>
      <c r="J18" s="4">
        <f ca="1">-DGET(DATA,"PCTILE10",INDIRECT(LOOKUP!B26))*IF(TypeofResult="Aggregate",AggregateTons/1000,1)*IF(TypeofResult&lt;&gt;"Average AC Unit",1/AverageTons,1)</f>
        <v>0</v>
      </c>
      <c r="K18" s="4">
        <f ca="1">-DGET(DATA,"PCTILE30",INDIRECT(LOOKUP!B26))*IF(TypeofResult="Aggregate",AggregateTons/1000,1)*IF(TypeofResult&lt;&gt;"Average AC Unit",1/AverageTons,1)</f>
        <v>0</v>
      </c>
      <c r="L18" s="4">
        <f ca="1">-DGET(DATA,"PCTILE50",INDIRECT(LOOKUP!B26))*IF(TypeofResult="Aggregate",AggregateTons/1000,1)*IF(TypeofResult&lt;&gt;"Average AC Unit",1/AverageTons,1)</f>
        <v>0</v>
      </c>
      <c r="M18" s="4">
        <f ca="1">-DGET(DATA,"PCTILE70",INDIRECT(LOOKUP!B26))*IF(TypeofResult="Aggregate",AggregateTons/1000,1)*IF(TypeofResult&lt;&gt;"Average AC Unit",1/AverageTons,1)</f>
        <v>0</v>
      </c>
      <c r="N18" s="4">
        <f ca="1">-DGET(DATA,"PCTILE90",INDIRECT(LOOKUP!B26))*IF(TypeofResult="Aggregate",AggregateTons/1000,1)*IF(TypeofResult&lt;&gt;"Average AC Unit",1/AverageTons,1)</f>
        <v>0</v>
      </c>
      <c r="O18" s="69"/>
      <c r="P18" s="77">
        <f t="shared" si="1"/>
        <v>15.590900000000005</v>
      </c>
      <c r="Q18" s="77">
        <f>DGET(DATA,"Standard Error",criteria12)*IF(TypeofResult="Aggregate",AggregateTons/1000,1)*IF(TypeofResult&lt;&gt;"Average AC Unit",1/AverageTons,1)</f>
        <v>6.1619763348961225</v>
      </c>
      <c r="R18" s="76">
        <f t="shared" si="2"/>
        <v>37.96995235181985</v>
      </c>
    </row>
    <row r="19" spans="5:18" ht="19.5" customHeight="1">
      <c r="E19" s="97">
        <f t="shared" si="3"/>
        <v>13</v>
      </c>
      <c r="F19" s="98">
        <f>DGET(DATA,"Reference Load",criteria13)*IF(TypeofResult="Aggregate",AggregateTons/1000,1)*IF(TypeofResult&lt;&gt;"Average AC Unit",1/AverageTons,1)</f>
        <v>24.593824909974746</v>
      </c>
      <c r="G19" s="98">
        <f>DGET(DATA,"Observed Load",criteria13)*IF(TypeofResult="Aggregate",AggregateTons/1000,1)*IF(TypeofResult&lt;&gt;"Average AC Unit",1/AverageTons,1)</f>
        <v>24.593824909974746</v>
      </c>
      <c r="H19" s="95">
        <f t="shared" si="0"/>
        <v>0</v>
      </c>
      <c r="I19" s="5">
        <f>DGET(DATA,"Temperature",criteria13)</f>
        <v>86.3041</v>
      </c>
      <c r="J19" s="4">
        <f ca="1">-DGET(DATA,"PCTILE10",INDIRECT(LOOKUP!B27))*IF(TypeofResult="Aggregate",AggregateTons/1000,1)*IF(TypeofResult&lt;&gt;"Average AC Unit",1/AverageTons,1)</f>
        <v>0</v>
      </c>
      <c r="K19" s="4">
        <f ca="1">-DGET(DATA,"PCTILE30",INDIRECT(LOOKUP!B27))*IF(TypeofResult="Aggregate",AggregateTons/1000,1)*IF(TypeofResult&lt;&gt;"Average AC Unit",1/AverageTons,1)</f>
        <v>0</v>
      </c>
      <c r="L19" s="4">
        <f ca="1">-DGET(DATA,"PCTILE50",INDIRECT(LOOKUP!B27))*IF(TypeofResult="Aggregate",AggregateTons/1000,1)*IF(TypeofResult&lt;&gt;"Average AC Unit",1/AverageTons,1)</f>
        <v>0</v>
      </c>
      <c r="M19" s="4">
        <f ca="1">-DGET(DATA,"PCTILE70",INDIRECT(LOOKUP!B27))*IF(TypeofResult="Aggregate",AggregateTons/1000,1)*IF(TypeofResult&lt;&gt;"Average AC Unit",1/AverageTons,1)</f>
        <v>0</v>
      </c>
      <c r="N19" s="4">
        <f ca="1">-DGET(DATA,"PCTILE90",INDIRECT(LOOKUP!B27))*IF(TypeofResult="Aggregate",AggregateTons/1000,1)*IF(TypeofResult&lt;&gt;"Average AC Unit",1/AverageTons,1)</f>
        <v>0</v>
      </c>
      <c r="O19" s="69"/>
      <c r="P19" s="77">
        <f t="shared" si="1"/>
        <v>16.304100000000005</v>
      </c>
      <c r="Q19" s="77">
        <f>DGET(DATA,"Standard Error",criteria13)*IF(TypeofResult="Aggregate",AggregateTons/1000,1)*IF(TypeofResult&lt;&gt;"Average AC Unit",1/AverageTons,1)</f>
        <v>6.163083600709255</v>
      </c>
      <c r="R19" s="76">
        <f t="shared" si="2"/>
        <v>37.98359946933136</v>
      </c>
    </row>
    <row r="20" spans="5:18" ht="19.5" customHeight="1">
      <c r="E20" s="97">
        <f t="shared" si="3"/>
        <v>14</v>
      </c>
      <c r="F20" s="98">
        <f>DGET(DATA,"Reference Load",criteria14)*IF(TypeofResult="Aggregate",AggregateTons/1000,1)*IF(TypeofResult&lt;&gt;"Average AC Unit",1/AverageTons,1)</f>
        <v>23.461932228100896</v>
      </c>
      <c r="G20" s="98">
        <f>DGET(DATA,"Observed Load",criteria14)*IF(TypeofResult="Aggregate",AggregateTons/1000,1)*IF(TypeofResult&lt;&gt;"Average AC Unit",1/AverageTons,1)</f>
        <v>18.868273839884516</v>
      </c>
      <c r="H20" s="95">
        <f t="shared" si="0"/>
        <v>4.5936583882163795</v>
      </c>
      <c r="I20" s="5">
        <f>DGET(DATA,"Temperature",criteria14)</f>
        <v>85.161</v>
      </c>
      <c r="J20" s="4">
        <f ca="1">-DGET(DATA,"PCTILE10",INDIRECT(LOOKUP!B28))*IF(TypeofResult="Aggregate",AggregateTons/1000,1)*IF(TypeofResult&lt;&gt;"Average AC Unit",1/AverageTons,1)</f>
        <v>-4.100750957338444</v>
      </c>
      <c r="K20" s="4">
        <f ca="1">-DGET(DATA,"PCTILE30",INDIRECT(LOOKUP!B28))*IF(TypeofResult="Aggregate",AggregateTons/1000,1)*IF(TypeofResult&lt;&gt;"Average AC Unit",1/AverageTons,1)</f>
        <v>-4.391970573394234</v>
      </c>
      <c r="L20" s="4">
        <f ca="1">-DGET(DATA,"PCTILE50",INDIRECT(LOOKUP!B28))*IF(TypeofResult="Aggregate",AggregateTons/1000,1)*IF(TypeofResult&lt;&gt;"Average AC Unit",1/AverageTons,1)</f>
        <v>-4.593668546618335</v>
      </c>
      <c r="M20" s="4">
        <f ca="1">-DGET(DATA,"PCTILE70",INDIRECT(LOOKUP!B28))*IF(TypeofResult="Aggregate",AggregateTons/1000,1)*IF(TypeofResult&lt;&gt;"Average AC Unit",1/AverageTons,1)</f>
        <v>-4.795366519842434</v>
      </c>
      <c r="N20" s="4">
        <f ca="1">-DGET(DATA,"PCTILE90",INDIRECT(LOOKUP!B28))*IF(TypeofResult="Aggregate",AggregateTons/1000,1)*IF(TypeofResult&lt;&gt;"Average AC Unit",1/AverageTons,1)</f>
        <v>-5.086586135898225</v>
      </c>
      <c r="O20" s="96"/>
      <c r="P20" s="77">
        <f t="shared" si="1"/>
        <v>15.161000000000001</v>
      </c>
      <c r="Q20" s="77">
        <f>DGET(DATA,"Standard Error",criteria14)*IF(TypeofResult="Aggregate",AggregateTons/1000,1)*IF(TypeofResult&lt;&gt;"Average AC Unit",1/AverageTons,1)</f>
        <v>6.163501546389705</v>
      </c>
      <c r="R20" s="76">
        <f t="shared" si="2"/>
        <v>37.988751312348285</v>
      </c>
    </row>
    <row r="21" spans="1:18" ht="19.5" customHeight="1">
      <c r="A21" s="107"/>
      <c r="B21" s="107"/>
      <c r="E21" s="97">
        <f t="shared" si="3"/>
        <v>15</v>
      </c>
      <c r="F21" s="98">
        <f>DGET(DATA,"Reference Load",criteria15)*IF(TypeofResult="Aggregate",AggregateTons/1000,1)*IF(TypeofResult&lt;&gt;"Average AC Unit",1/AverageTons,1)</f>
        <v>25.466286517911666</v>
      </c>
      <c r="G21" s="98">
        <f>DGET(DATA,"Observed Load",criteria15)*IF(TypeofResult="Aggregate",AggregateTons/1000,1)*IF(TypeofResult&lt;&gt;"Average AC Unit",1/AverageTons,1)</f>
        <v>20.458528129986707</v>
      </c>
      <c r="H21" s="95">
        <f t="shared" si="0"/>
        <v>5.007758387924959</v>
      </c>
      <c r="I21" s="5">
        <f>DGET(DATA,"Temperature",criteria15)</f>
        <v>85.0499</v>
      </c>
      <c r="J21" s="4">
        <f ca="1">-DGET(DATA,"PCTILE10",INDIRECT(LOOKUP!B29))*IF(TypeofResult="Aggregate",AggregateTons/1000,1)*IF(TypeofResult&lt;&gt;"Average AC Unit",1/AverageTons,1)</f>
        <v>-4.508705123864038</v>
      </c>
      <c r="K21" s="4">
        <f ca="1">-DGET(DATA,"PCTILE30",INDIRECT(LOOKUP!B29))*IF(TypeofResult="Aggregate",AggregateTons/1000,1)*IF(TypeofResult&lt;&gt;"Average AC Unit",1/AverageTons,1)</f>
        <v>-4.803552740618169</v>
      </c>
      <c r="L21" s="4">
        <f ca="1">-DGET(DATA,"PCTILE50",INDIRECT(LOOKUP!B29))*IF(TypeofResult="Aggregate",AggregateTons/1000,1)*IF(TypeofResult&lt;&gt;"Average AC Unit",1/AverageTons,1)</f>
        <v>-5.0077641927260785</v>
      </c>
      <c r="M21" s="4">
        <f ca="1">-DGET(DATA,"PCTILE70",INDIRECT(LOOKUP!B29))*IF(TypeofResult="Aggregate",AggregateTons/1000,1)*IF(TypeofResult&lt;&gt;"Average AC Unit",1/AverageTons,1)</f>
        <v>-5.2119741936337105</v>
      </c>
      <c r="N21" s="4">
        <f ca="1">-DGET(DATA,"PCTILE90",INDIRECT(LOOKUP!B29))*IF(TypeofResult="Aggregate",AggregateTons/1000,1)*IF(TypeofResult&lt;&gt;"Average AC Unit",1/AverageTons,1)</f>
        <v>-5.506823261588122</v>
      </c>
      <c r="O21" s="96"/>
      <c r="P21" s="77">
        <f t="shared" si="1"/>
        <v>15.049899999999994</v>
      </c>
      <c r="Q21" s="77">
        <f>DGET(DATA,"Standard Error",criteria15)*IF(TypeofResult="Aggregate",AggregateTons/1000,1)*IF(TypeofResult&lt;&gt;"Average AC Unit",1/AverageTons,1)</f>
        <v>6.165164621909824</v>
      </c>
      <c r="R21" s="76">
        <f t="shared" si="2"/>
        <v>38.009254815248504</v>
      </c>
    </row>
    <row r="22" spans="1:18" ht="19.5" customHeight="1">
      <c r="A22" s="107"/>
      <c r="B22" s="107"/>
      <c r="E22" s="97">
        <f t="shared" si="3"/>
        <v>16</v>
      </c>
      <c r="F22" s="98">
        <f>DGET(DATA,"Reference Load",criteria16)*IF(TypeofResult="Aggregate",AggregateTons/1000,1)*IF(TypeofResult&lt;&gt;"Average AC Unit",1/AverageTons,1)</f>
        <v>25.16272444348012</v>
      </c>
      <c r="G22" s="98">
        <f>DGET(DATA,"Observed Load",criteria16)*IF(TypeofResult="Aggregate",AggregateTons/1000,1)*IF(TypeofResult&lt;&gt;"Average AC Unit",1/AverageTons,1)</f>
        <v>19.988237655462225</v>
      </c>
      <c r="H22" s="95">
        <f t="shared" si="0"/>
        <v>5.174486788017894</v>
      </c>
      <c r="I22" s="5">
        <f>DGET(DATA,"Temperature",criteria16)</f>
        <v>84.1263</v>
      </c>
      <c r="J22" s="4">
        <f ca="1">-DGET(DATA,"PCTILE10",INDIRECT(LOOKUP!B30))*IF(TypeofResult="Aggregate",AggregateTons/1000,1)*IF(TypeofResult&lt;&gt;"Average AC Unit",1/AverageTons,1)</f>
        <v>-4.675125869497754</v>
      </c>
      <c r="K22" s="4">
        <f ca="1">-DGET(DATA,"PCTILE30",INDIRECT(LOOKUP!B30))*IF(TypeofResult="Aggregate",AggregateTons/1000,1)*IF(TypeofResult&lt;&gt;"Average AC Unit",1/AverageTons,1)</f>
        <v>-4.970150532685964</v>
      </c>
      <c r="L22" s="4">
        <f ca="1">-DGET(DATA,"PCTILE50",INDIRECT(LOOKUP!B30))*IF(TypeofResult="Aggregate",AggregateTons/1000,1)*IF(TypeofResult&lt;&gt;"Average AC Unit",1/AverageTons,1)</f>
        <v>-5.174482434417059</v>
      </c>
      <c r="M22" s="4">
        <f ca="1">-DGET(DATA,"PCTILE70",INDIRECT(LOOKUP!B30))*IF(TypeofResult="Aggregate",AggregateTons/1000,1)*IF(TypeofResult&lt;&gt;"Average AC Unit",1/AverageTons,1)</f>
        <v>-5.378817238548713</v>
      </c>
      <c r="N22" s="4">
        <f ca="1">-DGET(DATA,"PCTILE90",INDIRECT(LOOKUP!B30))*IF(TypeofResult="Aggregate",AggregateTons/1000,1)*IF(TypeofResult&lt;&gt;"Average AC Unit",1/AverageTons,1)</f>
        <v>-5.673840450536644</v>
      </c>
      <c r="O22" s="96"/>
      <c r="P22" s="77">
        <f t="shared" si="1"/>
        <v>14.1263</v>
      </c>
      <c r="Q22" s="77">
        <f>DGET(DATA,"Standard Error",criteria16)*IF(TypeofResult="Aggregate",AggregateTons/1000,1)*IF(TypeofResult&lt;&gt;"Average AC Unit",1/AverageTons,1)</f>
        <v>6.1662762413237955</v>
      </c>
      <c r="R22" s="76">
        <f t="shared" si="2"/>
        <v>38.022962684314315</v>
      </c>
    </row>
    <row r="23" spans="1:18" ht="19.5" customHeight="1">
      <c r="A23" s="107"/>
      <c r="B23" s="107"/>
      <c r="E23" s="97">
        <f t="shared" si="3"/>
        <v>17</v>
      </c>
      <c r="F23" s="98">
        <f>DGET(DATA,"Reference Load",criteria17)*IF(TypeofResult="Aggregate",AggregateTons/1000,1)*IF(TypeofResult&lt;&gt;"Average AC Unit",1/AverageTons,1)</f>
        <v>23.543678339835903</v>
      </c>
      <c r="G23" s="98">
        <f>DGET(DATA,"Observed Load",criteria17)*IF(TypeofResult="Aggregate",AggregateTons/1000,1)*IF(TypeofResult&lt;&gt;"Average AC Unit",1/AverageTons,1)</f>
        <v>18.245404167990625</v>
      </c>
      <c r="H23" s="95">
        <f t="shared" si="0"/>
        <v>5.298274171845279</v>
      </c>
      <c r="I23" s="5">
        <f>DGET(DATA,"Temperature",criteria17)</f>
        <v>82.211</v>
      </c>
      <c r="J23" s="4">
        <f ca="1">-DGET(DATA,"PCTILE10",INDIRECT(LOOKUP!B31))*IF(TypeofResult="Aggregate",AggregateTons/1000,1)*IF(TypeofResult&lt;&gt;"Average AC Unit",1/AverageTons,1)</f>
        <v>-4.798547550854739</v>
      </c>
      <c r="K23" s="4">
        <f ca="1">-DGET(DATA,"PCTILE30",INDIRECT(LOOKUP!B31))*IF(TypeofResult="Aggregate",AggregateTons/1000,1)*IF(TypeofResult&lt;&gt;"Average AC Unit",1/AverageTons,1)</f>
        <v>-5.093786991684292</v>
      </c>
      <c r="L23" s="4">
        <f ca="1">-DGET(DATA,"PCTILE50",INDIRECT(LOOKUP!B31))*IF(TypeofResult="Aggregate",AggregateTons/1000,1)*IF(TypeofResult&lt;&gt;"Average AC Unit",1/AverageTons,1)</f>
        <v>-5.298268367044159</v>
      </c>
      <c r="M23" s="4">
        <f ca="1">-DGET(DATA,"PCTILE70",INDIRECT(LOOKUP!B31))*IF(TypeofResult="Aggregate",AggregateTons/1000,1)*IF(TypeofResult&lt;&gt;"Average AC Unit",1/AverageTons,1)</f>
        <v>-5.502751193604303</v>
      </c>
      <c r="N23" s="4">
        <f ca="1">-DGET(DATA,"PCTILE90",INDIRECT(LOOKUP!B31))*IF(TypeofResult="Aggregate",AggregateTons/1000,1)*IF(TypeofResult&lt;&gt;"Average AC Unit",1/AverageTons,1)</f>
        <v>-5.797989183233577</v>
      </c>
      <c r="O23" s="96"/>
      <c r="P23" s="77">
        <f t="shared" si="1"/>
        <v>12.210999999999999</v>
      </c>
      <c r="Q23" s="77">
        <f>DGET(DATA,"Standard Error",criteria17)*IF(TypeofResult="Aggregate",AggregateTons/1000,1)*IF(TypeofResult&lt;&gt;"Average AC Unit",1/AverageTons,1)</f>
        <v>6.166789966222681</v>
      </c>
      <c r="R23" s="76">
        <f t="shared" si="2"/>
        <v>38.02929848750473</v>
      </c>
    </row>
    <row r="24" spans="4:18" ht="19.5" customHeight="1">
      <c r="D24" s="39"/>
      <c r="E24" s="97">
        <f t="shared" si="3"/>
        <v>18</v>
      </c>
      <c r="F24" s="98">
        <f>DGET(DATA,"Reference Load",criteria18)*IF(TypeofResult="Aggregate",AggregateTons/1000,1)*IF(TypeofResult&lt;&gt;"Average AC Unit",1/AverageTons,1)</f>
        <v>21.07705871304538</v>
      </c>
      <c r="G24" s="98">
        <f>DGET(DATA,"Observed Load",criteria18)*IF(TypeofResult="Aggregate",AggregateTons/1000,1)*IF(TypeofResult&lt;&gt;"Average AC Unit",1/AverageTons,1)</f>
        <v>15.27446342012519</v>
      </c>
      <c r="H24" s="95">
        <f t="shared" si="0"/>
        <v>5.802595292920188</v>
      </c>
      <c r="I24" s="5">
        <f>DGET(DATA,"Temperature",criteria18)</f>
        <v>81.901</v>
      </c>
      <c r="J24" s="4">
        <f ca="1">-DGET(DATA,"PCTILE10",INDIRECT(LOOKUP!B32))*IF(TypeofResult="Aggregate",AggregateTons/1000,1)*IF(TypeofResult&lt;&gt;"Average AC Unit",1/AverageTons,1)</f>
        <v>-5.273304819839017</v>
      </c>
      <c r="K24" s="4">
        <f ca="1">-DGET(DATA,"PCTILE30",INDIRECT(LOOKUP!B32))*IF(TypeofResult="Aggregate",AggregateTons/1000,1)*IF(TypeofResult&lt;&gt;"Average AC Unit",1/AverageTons,1)</f>
        <v>-5.5860123584309385</v>
      </c>
      <c r="L24" s="4">
        <f ca="1">-DGET(DATA,"PCTILE50",INDIRECT(LOOKUP!B32))*IF(TypeofResult="Aggregate",AggregateTons/1000,1)*IF(TypeofResult&lt;&gt;"Average AC Unit",1/AverageTons,1)</f>
        <v>-5.802592390519631</v>
      </c>
      <c r="M24" s="4">
        <f ca="1">-DGET(DATA,"PCTILE70",INDIRECT(LOOKUP!B32))*IF(TypeofResult="Aggregate",AggregateTons/1000,1)*IF(TypeofResult&lt;&gt;"Average AC Unit",1/AverageTons,1)</f>
        <v>-6.019173873808602</v>
      </c>
      <c r="N24" s="4">
        <f ca="1">-DGET(DATA,"PCTILE90",INDIRECT(LOOKUP!B32))*IF(TypeofResult="Aggregate",AggregateTons/1000,1)*IF(TypeofResult&lt;&gt;"Average AC Unit",1/AverageTons,1)</f>
        <v>-6.3318814124005245</v>
      </c>
      <c r="O24" s="96"/>
      <c r="P24" s="77">
        <f t="shared" si="1"/>
        <v>11.900999999999996</v>
      </c>
      <c r="Q24" s="77">
        <f>DGET(DATA,"Standard Error",criteria18)*IF(TypeofResult="Aggregate",AggregateTons/1000,1)*IF(TypeofResult&lt;&gt;"Average AC Unit",1/AverageTons,1)</f>
        <v>6.163410120772106</v>
      </c>
      <c r="R24" s="76">
        <f t="shared" si="2"/>
        <v>37.987624316836026</v>
      </c>
    </row>
    <row r="25" spans="1:18" ht="19.5" customHeight="1">
      <c r="A25" s="68"/>
      <c r="B25" s="68"/>
      <c r="D25" s="39"/>
      <c r="E25" s="97">
        <f t="shared" si="3"/>
        <v>19</v>
      </c>
      <c r="F25" s="98">
        <f>DGET(DATA,"Reference Load",criteria19)*IF(TypeofResult="Aggregate",AggregateTons/1000,1)*IF(TypeofResult&lt;&gt;"Average AC Unit",1/AverageTons,1)</f>
        <v>12.922527797809765</v>
      </c>
      <c r="G25" s="98">
        <f>DGET(DATA,"Observed Load",criteria19)*IF(TypeofResult="Aggregate",AggregateTons/1000,1)*IF(TypeofResult&lt;&gt;"Average AC Unit",1/AverageTons,1)</f>
        <v>14.322471683279804</v>
      </c>
      <c r="H25" s="95">
        <f t="shared" si="0"/>
        <v>-1.399943885470039</v>
      </c>
      <c r="I25" s="5">
        <f>DGET(DATA,"Temperature",criteria19)</f>
        <v>76.6806</v>
      </c>
      <c r="J25" s="4">
        <f ca="1">-DGET(DATA,"PCTILE10",INDIRECT(LOOKUP!B33))*IF(TypeofResult="Aggregate",AggregateTons/1000,1)*IF(TypeofResult&lt;&gt;"Average AC Unit",1/AverageTons,1)</f>
        <v>1.901229095560584</v>
      </c>
      <c r="K25" s="4">
        <f ca="1">-DGET(DATA,"PCTILE30",INDIRECT(LOOKUP!B33))*IF(TypeofResult="Aggregate",AggregateTons/1000,1)*IF(TypeofResult&lt;&gt;"Average AC Unit",1/AverageTons,1)</f>
        <v>1.6050652401530945</v>
      </c>
      <c r="L25" s="4">
        <f ca="1">-DGET(DATA,"PCTILE50",INDIRECT(LOOKUP!B33))*IF(TypeofResult="Aggregate",AggregateTons/1000,1)*IF(TypeofResult&lt;&gt;"Average AC Unit",1/AverageTons,1)</f>
        <v>1.3999438854700408</v>
      </c>
      <c r="M25" s="4">
        <f ca="1">-DGET(DATA,"PCTILE70",INDIRECT(LOOKUP!B33))*IF(TypeofResult="Aggregate",AggregateTons/1000,1)*IF(TypeofResult&lt;&gt;"Average AC Unit",1/AverageTons,1)</f>
        <v>1.1948210795867076</v>
      </c>
      <c r="N25" s="4">
        <f ca="1">-DGET(DATA,"PCTILE90",INDIRECT(LOOKUP!B33))*IF(TypeofResult="Aggregate",AggregateTons/1000,1)*IF(TypeofResult&lt;&gt;"Average AC Unit",1/AverageTons,1)</f>
        <v>0.8986572241792181</v>
      </c>
      <c r="O25" s="69"/>
      <c r="P25" s="77">
        <f t="shared" si="1"/>
        <v>6.680599999999998</v>
      </c>
      <c r="Q25" s="77">
        <f>DGET(DATA,"Standard Error",criteria19)*IF(TypeofResult="Aggregate",AggregateTons/1000,1)*IF(TypeofResult&lt;&gt;"Average AC Unit",1/AverageTons,1)</f>
        <v>6.16368875122574</v>
      </c>
      <c r="R25" s="76">
        <f t="shared" si="2"/>
        <v>37.99105902198672</v>
      </c>
    </row>
    <row r="26" spans="2:18" ht="19.5" customHeight="1">
      <c r="B26" s="68"/>
      <c r="D26" s="39"/>
      <c r="E26" s="97">
        <f t="shared" si="3"/>
        <v>20</v>
      </c>
      <c r="F26" s="98">
        <f>DGET(DATA,"Reference Load",criteria20)*IF(TypeofResult="Aggregate",AggregateTons/1000,1)*IF(TypeofResult&lt;&gt;"Average AC Unit",1/AverageTons,1)</f>
        <v>9.10978349910866</v>
      </c>
      <c r="G26" s="98">
        <f>DGET(DATA,"Observed Load",criteria20)*IF(TypeofResult="Aggregate",AggregateTons/1000,1)*IF(TypeofResult&lt;&gt;"Average AC Unit",1/AverageTons,1)</f>
        <v>10.030056351448595</v>
      </c>
      <c r="H26" s="95">
        <f t="shared" si="0"/>
        <v>-0.9202728523399344</v>
      </c>
      <c r="I26" s="5">
        <f>DGET(DATA,"Temperature",criteria20)</f>
        <v>73.8583</v>
      </c>
      <c r="J26" s="4">
        <f ca="1">-DGET(DATA,"PCTILE10",INDIRECT(LOOKUP!B34))*IF(TypeofResult="Aggregate",AggregateTons/1000,1)*IF(TypeofResult&lt;&gt;"Average AC Unit",1/AverageTons,1)</f>
        <v>1.4165949574751442</v>
      </c>
      <c r="K26" s="4">
        <f ca="1">-DGET(DATA,"PCTILE30",INDIRECT(LOOKUP!B34))*IF(TypeofResult="Aggregate",AggregateTons/1000,1)*IF(TypeofResult&lt;&gt;"Average AC Unit",1/AverageTons,1)</f>
        <v>1.1233625266319138</v>
      </c>
      <c r="L26" s="4">
        <f ca="1">-DGET(DATA,"PCTILE50",INDIRECT(LOOKUP!B34))*IF(TypeofResult="Aggregate",AggregateTons/1000,1)*IF(TypeofResult&lt;&gt;"Average AC Unit",1/AverageTons,1)</f>
        <v>0.9202714011396514</v>
      </c>
      <c r="M26" s="4">
        <f ca="1">-DGET(DATA,"PCTILE70",INDIRECT(LOOKUP!B34))*IF(TypeofResult="Aggregate",AggregateTons/1000,1)*IF(TypeofResult&lt;&gt;"Average AC Unit",1/AverageTons,1)</f>
        <v>0.717180275647389</v>
      </c>
      <c r="N26" s="4">
        <f ca="1">-DGET(DATA,"PCTILE90",INDIRECT(LOOKUP!B34))*IF(TypeofResult="Aggregate",AggregateTons/1000,1)*IF(TypeofResult&lt;&gt;"Average AC Unit",1/AverageTons,1)</f>
        <v>0.42394929600443804</v>
      </c>
      <c r="O26" s="69"/>
      <c r="P26" s="77">
        <f t="shared" si="1"/>
        <v>3.8583</v>
      </c>
      <c r="Q26" s="77">
        <f>DGET(DATA,"Standard Error",criteria20)*IF(TypeofResult="Aggregate",AggregateTons/1000,1)*IF(TypeofResult&lt;&gt;"Average AC Unit",1/AverageTons,1)</f>
        <v>6.166893001442513</v>
      </c>
      <c r="R26" s="76">
        <f t="shared" si="2"/>
        <v>38.030569291240646</v>
      </c>
    </row>
    <row r="27" spans="1:18" ht="19.5" customHeight="1">
      <c r="A27" s="68"/>
      <c r="B27" s="68"/>
      <c r="E27" s="97">
        <f t="shared" si="3"/>
        <v>21</v>
      </c>
      <c r="F27" s="98">
        <f>DGET(DATA,"Reference Load",criteria21)*IF(TypeofResult="Aggregate",AggregateTons/1000,1)*IF(TypeofResult&lt;&gt;"Average AC Unit",1/AverageTons,1)</f>
        <v>6.807814153611065</v>
      </c>
      <c r="G27" s="98">
        <f>DGET(DATA,"Observed Load",criteria21)*IF(TypeofResult="Aggregate",AggregateTons/1000,1)*IF(TypeofResult&lt;&gt;"Average AC Unit",1/AverageTons,1)</f>
        <v>7.40428068762271</v>
      </c>
      <c r="H27" s="95">
        <f t="shared" si="0"/>
        <v>-0.5964665340116451</v>
      </c>
      <c r="I27" s="5">
        <f>DGET(DATA,"Temperature",criteria21)</f>
        <v>72.3253</v>
      </c>
      <c r="J27" s="4">
        <f ca="1">-DGET(DATA,"PCTILE10",INDIRECT(LOOKUP!B35))*IF(TypeofResult="Aggregate",AggregateTons/1000,1)*IF(TypeofResult&lt;&gt;"Average AC Unit",1/AverageTons,1)</f>
        <v>1.0906829475415423</v>
      </c>
      <c r="K27" s="4">
        <f ca="1">-DGET(DATA,"PCTILE30",INDIRECT(LOOKUP!B35))*IF(TypeofResult="Aggregate",AggregateTons/1000,1)*IF(TypeofResult&lt;&gt;"Average AC Unit",1/AverageTons,1)</f>
        <v>0.7986956465379824</v>
      </c>
      <c r="L27" s="4">
        <f ca="1">-DGET(DATA,"PCTILE50",INDIRECT(LOOKUP!B35))*IF(TypeofResult="Aggregate",AggregateTons/1000,1)*IF(TypeofResult&lt;&gt;"Average AC Unit",1/AverageTons,1)</f>
        <v>0.5964665340116456</v>
      </c>
      <c r="M27" s="4">
        <f ca="1">-DGET(DATA,"PCTILE70",INDIRECT(LOOKUP!B35))*IF(TypeofResult="Aggregate",AggregateTons/1000,1)*IF(TypeofResult&lt;&gt;"Average AC Unit",1/AverageTons,1)</f>
        <v>0.3942359702850295</v>
      </c>
      <c r="N27" s="4">
        <f ca="1">-DGET(DATA,"PCTILE90",INDIRECT(LOOKUP!B35))*IF(TypeofResult="Aggregate",AggregateTons/1000,1)*IF(TypeofResult&lt;&gt;"Average AC Unit",1/AverageTons,1)</f>
        <v>0.10224866928146963</v>
      </c>
      <c r="O27" s="69"/>
      <c r="P27" s="77">
        <f t="shared" si="1"/>
        <v>2.3252999999999986</v>
      </c>
      <c r="Q27" s="77">
        <f>DGET(DATA,"Standard Error",criteria21)*IF(TypeofResult="Aggregate",AggregateTons/1000,1)*IF(TypeofResult&lt;&gt;"Average AC Unit",1/AverageTons,1)</f>
        <v>6.165090610695578</v>
      </c>
      <c r="R27" s="76">
        <f t="shared" si="2"/>
        <v>38.008342238086776</v>
      </c>
    </row>
    <row r="28" spans="1:18" ht="19.5" customHeight="1">
      <c r="A28" s="68"/>
      <c r="B28" s="68"/>
      <c r="E28" s="97">
        <f t="shared" si="3"/>
        <v>22</v>
      </c>
      <c r="F28" s="98">
        <f>DGET(DATA,"Reference Load",criteria22)*IF(TypeofResult="Aggregate",AggregateTons/1000,1)*IF(TypeofResult&lt;&gt;"Average AC Unit",1/AverageTons,1)</f>
        <v>5.0926855306722745</v>
      </c>
      <c r="G28" s="98">
        <f>DGET(DATA,"Observed Load",criteria22)*IF(TypeofResult="Aggregate",AggregateTons/1000,1)*IF(TypeofResult&lt;&gt;"Average AC Unit",1/AverageTons,1)</f>
        <v>5.479116945855035</v>
      </c>
      <c r="H28" s="95">
        <f t="shared" si="0"/>
        <v>-0.38643141518276014</v>
      </c>
      <c r="I28" s="5">
        <f>DGET(DATA,"Temperature",criteria22)</f>
        <v>71.3055</v>
      </c>
      <c r="J28" s="4">
        <f ca="1">-DGET(DATA,"PCTILE10",INDIRECT(LOOKUP!B36))*IF(TypeofResult="Aggregate",AggregateTons/1000,1)*IF(TypeofResult&lt;&gt;"Average AC Unit",1/AverageTons,1)</f>
        <v>0.8800746046023182</v>
      </c>
      <c r="K28" s="4">
        <f ca="1">-DGET(DATA,"PCTILE30",INDIRECT(LOOKUP!B36))*IF(TypeofResult="Aggregate",AggregateTons/1000,1)*IF(TypeofResult&lt;&gt;"Average AC Unit",1/AverageTons,1)</f>
        <v>0.5884268844641231</v>
      </c>
      <c r="L28" s="4">
        <f ca="1">-DGET(DATA,"PCTILE50",INDIRECT(LOOKUP!B36))*IF(TypeofResult="Aggregate",AggregateTons/1000,1)*IF(TypeofResult&lt;&gt;"Average AC Unit",1/AverageTons,1)</f>
        <v>0.38643141518275936</v>
      </c>
      <c r="M28" s="4">
        <f ca="1">-DGET(DATA,"PCTILE70",INDIRECT(LOOKUP!B36))*IF(TypeofResult="Aggregate",AggregateTons/1000,1)*IF(TypeofResult&lt;&gt;"Average AC Unit",1/AverageTons,1)</f>
        <v>0.18443739710167506</v>
      </c>
      <c r="N28" s="4">
        <f ca="1">-DGET(DATA,"PCTILE90",INDIRECT(LOOKUP!B36))*IF(TypeofResult="Aggregate",AggregateTons/1000,1)*IF(TypeofResult&lt;&gt;"Average AC Unit",1/AverageTons,1)</f>
        <v>-0.10721032303652007</v>
      </c>
      <c r="O28" s="69"/>
      <c r="P28" s="77">
        <f t="shared" si="1"/>
        <v>1.305499999999995</v>
      </c>
      <c r="Q28" s="77">
        <f>DGET(DATA,"Standard Error",criteria22)*IF(TypeofResult="Aggregate",AggregateTons/1000,1)*IF(TypeofResult&lt;&gt;"Average AC Unit",1/AverageTons,1)</f>
        <v>6.169587880361241</v>
      </c>
      <c r="R28" s="76">
        <f t="shared" si="2"/>
        <v>38.063814613500305</v>
      </c>
    </row>
    <row r="29" spans="1:18" ht="19.5" customHeight="1">
      <c r="A29" s="68"/>
      <c r="B29" s="68"/>
      <c r="E29" s="97">
        <f t="shared" si="3"/>
        <v>23</v>
      </c>
      <c r="F29" s="98">
        <f>DGET(DATA,"Reference Load",criteria23)*IF(TypeofResult="Aggregate",AggregateTons/1000,1)*IF(TypeofResult&lt;&gt;"Average AC Unit",1/AverageTons,1)</f>
        <v>3.768990610279116</v>
      </c>
      <c r="G29" s="98">
        <f>DGET(DATA,"Observed Load",criteria23)*IF(TypeofResult="Aggregate",AggregateTons/1000,1)*IF(TypeofResult&lt;&gt;"Average AC Unit",1/AverageTons,1)</f>
        <v>4.019045479211257</v>
      </c>
      <c r="H29" s="95">
        <f t="shared" si="0"/>
        <v>-0.25005486893214046</v>
      </c>
      <c r="I29" s="5">
        <f>DGET(DATA,"Temperature",criteria23)</f>
        <v>70.5459</v>
      </c>
      <c r="J29" s="4">
        <f ca="1">-DGET(DATA,"PCTILE10",INDIRECT(LOOKUP!B37))*IF(TypeofResult="Aggregate",AggregateTons/1000,1)*IF(TypeofResult&lt;&gt;"Average AC Unit",1/AverageTons,1)</f>
        <v>0.743425232699184</v>
      </c>
      <c r="K29" s="4">
        <f ca="1">-DGET(DATA,"PCTILE30",INDIRECT(LOOKUP!B37))*IF(TypeofResult="Aggregate",AggregateTons/1000,1)*IF(TypeofResult&lt;&gt;"Average AC Unit",1/AverageTons,1)</f>
        <v>0.4519371445917159</v>
      </c>
      <c r="L29" s="4">
        <f ca="1">-DGET(DATA,"PCTILE50",INDIRECT(LOOKUP!B37))*IF(TypeofResult="Aggregate",AggregateTons/1000,1)*IF(TypeofResult&lt;&gt;"Average AC Unit",1/AverageTons,1)</f>
        <v>0.25005486893214046</v>
      </c>
      <c r="M29" s="4">
        <f ca="1">-DGET(DATA,"PCTILE70",INDIRECT(LOOKUP!B37))*IF(TypeofResult="Aggregate",AggregateTons/1000,1)*IF(TypeofResult&lt;&gt;"Average AC Unit",1/AverageTons,1)</f>
        <v>0.048171142072285664</v>
      </c>
      <c r="N29" s="4">
        <f ca="1">-DGET(DATA,"PCTILE90",INDIRECT(LOOKUP!B37))*IF(TypeofResult="Aggregate",AggregateTons/1000,1)*IF(TypeofResult&lt;&gt;"Average AC Unit",1/AverageTons,1)</f>
        <v>-0.24331549483490317</v>
      </c>
      <c r="O29" s="69"/>
      <c r="P29" s="77">
        <f t="shared" si="1"/>
        <v>0.5459000000000032</v>
      </c>
      <c r="Q29" s="77">
        <f>DGET(DATA,"Standard Error",criteria23)*IF(TypeofResult="Aggregate",AggregateTons/1000,1)*IF(TypeofResult&lt;&gt;"Average AC Unit",1/AverageTons,1)</f>
        <v>6.170927338219068</v>
      </c>
      <c r="R29" s="76">
        <f t="shared" si="2"/>
        <v>38.080344213579465</v>
      </c>
    </row>
    <row r="30" spans="1:18" ht="19.5" customHeight="1">
      <c r="A30" s="107"/>
      <c r="B30" s="107"/>
      <c r="E30" s="97">
        <f t="shared" si="3"/>
        <v>24</v>
      </c>
      <c r="F30" s="98">
        <f>DGET(DATA,"Reference Load",criteria24)*IF(TypeofResult="Aggregate",AggregateTons/1000,1)*IF(TypeofResult&lt;&gt;"Average AC Unit",1/AverageTons,1)</f>
        <v>3.0497206062294833</v>
      </c>
      <c r="G30" s="98">
        <f>DGET(DATA,"Observed Load",criteria24)*IF(TypeofResult="Aggregate",AggregateTons/1000,1)*IF(TypeofResult&lt;&gt;"Average AC Unit",1/AverageTons,1)</f>
        <v>3.1128463671803286</v>
      </c>
      <c r="H30" s="95">
        <f t="shared" si="0"/>
        <v>-0.06312576095084532</v>
      </c>
      <c r="I30" s="5">
        <f>DGET(DATA,"Temperature",criteria24)</f>
        <v>69.6892</v>
      </c>
      <c r="J30" s="4">
        <f ca="1">-DGET(DATA,"PCTILE10",INDIRECT(LOOKUP!B38))*IF(TypeofResult="Aggregate",AggregateTons/1000,1)*IF(TypeofResult&lt;&gt;"Average AC Unit",1/AverageTons,1)</f>
        <v>0.42328319507622275</v>
      </c>
      <c r="K30" s="4">
        <f ca="1">-DGET(DATA,"PCTILE30",INDIRECT(LOOKUP!B38))*IF(TypeofResult="Aggregate",AggregateTons/1000,1)*IF(TypeofResult&lt;&gt;"Average AC Unit",1/AverageTons,1)</f>
        <v>0.21049950291827377</v>
      </c>
      <c r="L30" s="4">
        <f ca="1">-DGET(DATA,"PCTILE50",INDIRECT(LOOKUP!B38))*IF(TypeofResult="Aggregate",AggregateTons/1000,1)*IF(TypeofResult&lt;&gt;"Average AC Unit",1/AverageTons,1)</f>
        <v>0.06312430975056582</v>
      </c>
      <c r="M30" s="4">
        <f ca="1">-DGET(DATA,"PCTILE70",INDIRECT(LOOKUP!B38))*IF(TypeofResult="Aggregate",AggregateTons/1000,1)*IF(TypeofResult&lt;&gt;"Average AC Unit",1/AverageTons,1)</f>
        <v>-0.0842494322168628</v>
      </c>
      <c r="N30" s="4">
        <f ca="1">-DGET(DATA,"PCTILE90",INDIRECT(LOOKUP!B38))*IF(TypeofResult="Aggregate",AggregateTons/1000,1)*IF(TypeofResult&lt;&gt;"Average AC Unit",1/AverageTons,1)</f>
        <v>-0.2970345755750911</v>
      </c>
      <c r="O30" s="69"/>
      <c r="P30" s="77">
        <f t="shared" si="1"/>
        <v>0</v>
      </c>
      <c r="Q30" s="77">
        <f>DGET(DATA,"Standard Error",criteria24)*IF(TypeofResult="Aggregate",AggregateTons/1000,1)*IF(TypeofResult&lt;&gt;"Average AC Unit",1/AverageTons,1)</f>
        <v>6.165433093961502</v>
      </c>
      <c r="R30" s="76">
        <f t="shared" si="2"/>
        <v>38.0125652361157</v>
      </c>
    </row>
    <row r="31" spans="1:18" ht="19.5" customHeight="1">
      <c r="A31" s="107"/>
      <c r="B31" s="107"/>
      <c r="E31" s="41"/>
      <c r="F31" s="112" t="str">
        <f>IF(TypeofResult="Aggregate","Reference Energy Use (MWh)",IF(TypeofResult="Per Ton","Reference Energy Use (kWh/Ton)","Reference Energy Use (kWh)"))</f>
        <v>Reference Energy Use (MWh)</v>
      </c>
      <c r="G31" s="112" t="str">
        <f>IF(TypeofResult="Aggregate","Observed Energy Use (MWh)",IF(TypeofResult="Per Ton","Observed Energy Use (kWh/Ton)","Observed Energy Use (kWh)"))</f>
        <v>Observed Energy Use (MWh)</v>
      </c>
      <c r="H31" s="112" t="str">
        <f>IF(TypeofResult="Aggregate","Change in Energy Use (MWh)",IF(TypeofResult="Per Ton","Change in Energy Use (kWh/Ton)","Change in Energy Use (kWh)"))</f>
        <v>Change in Energy Use (MWh)</v>
      </c>
      <c r="I31" s="110"/>
      <c r="J31" s="101" t="s">
        <v>13</v>
      </c>
      <c r="K31" s="42"/>
      <c r="L31" s="42"/>
      <c r="M31" s="42"/>
      <c r="N31" s="43"/>
      <c r="Q31" s="81">
        <f>SQRT(R31)</f>
        <v>15.101569839888922</v>
      </c>
      <c r="R31" s="81">
        <f>SUM(R7:R30)/4</f>
        <v>228.05741162904275</v>
      </c>
    </row>
    <row r="32" spans="2:14" ht="19.5" customHeight="1">
      <c r="B32" s="91"/>
      <c r="E32" s="32"/>
      <c r="F32" s="113"/>
      <c r="G32" s="113"/>
      <c r="H32" s="113"/>
      <c r="I32" s="111"/>
      <c r="J32" s="102" t="s">
        <v>15</v>
      </c>
      <c r="K32" s="33" t="s">
        <v>16</v>
      </c>
      <c r="L32" s="33" t="s">
        <v>17</v>
      </c>
      <c r="M32" s="33" t="s">
        <v>18</v>
      </c>
      <c r="N32" s="34" t="s">
        <v>19</v>
      </c>
    </row>
    <row r="33" spans="3:18" ht="19.5" customHeight="1">
      <c r="C33" s="40"/>
      <c r="E33" s="44" t="s">
        <v>21</v>
      </c>
      <c r="F33" s="45">
        <f>SUM(F7:F30)/4</f>
        <v>67.42544643327577</v>
      </c>
      <c r="G33" s="6">
        <f>SUM(G7:G30)/4</f>
        <v>61.860327005266434</v>
      </c>
      <c r="H33" s="6">
        <f>F33-G33</f>
        <v>5.565119428009332</v>
      </c>
      <c r="I33" s="6"/>
      <c r="J33" s="82">
        <f>SUM(J7:J30)</f>
        <v>-16.901144288438996</v>
      </c>
      <c r="K33" s="82">
        <f>SUM(K7:K30)</f>
        <v>-20.06748625151649</v>
      </c>
      <c r="L33" s="82">
        <f>SUM(L7:L30)</f>
        <v>-22.26048351683846</v>
      </c>
      <c r="M33" s="82">
        <f>SUM(M7:M30)</f>
        <v>-24.453486586961535</v>
      </c>
      <c r="N33" s="82">
        <f>SUM(N7:N30)</f>
        <v>-27.61982564763848</v>
      </c>
      <c r="R33" s="46"/>
    </row>
    <row r="34" spans="3:14" ht="19.5" customHeight="1" thickBot="1">
      <c r="C34" s="40"/>
      <c r="D34" s="47"/>
      <c r="E34" s="48"/>
      <c r="F34" s="49"/>
      <c r="G34" s="50"/>
      <c r="H34" s="51"/>
      <c r="I34" s="7"/>
      <c r="J34" s="51"/>
      <c r="K34" s="51"/>
      <c r="L34" s="51"/>
      <c r="M34" s="51"/>
      <c r="N34" s="52"/>
    </row>
    <row r="35" spans="6:14" ht="19.5" customHeight="1">
      <c r="F35" s="92"/>
      <c r="G35" s="92"/>
      <c r="H35" s="108"/>
      <c r="I35" s="8"/>
      <c r="J35" s="53"/>
      <c r="K35" s="53"/>
      <c r="L35" s="53"/>
      <c r="M35" s="53"/>
      <c r="N35" s="53"/>
    </row>
    <row r="36" spans="5:14" ht="19.5" customHeight="1">
      <c r="E36" s="54"/>
      <c r="F36" s="21"/>
      <c r="G36" s="21"/>
      <c r="H36" s="109"/>
      <c r="I36" s="8"/>
      <c r="J36" s="53"/>
      <c r="K36" s="53"/>
      <c r="L36" s="53"/>
      <c r="M36" s="53"/>
      <c r="N36" s="53"/>
    </row>
    <row r="37" spans="6:17" ht="19.5" customHeight="1">
      <c r="F37" s="94"/>
      <c r="G37" s="94"/>
      <c r="H37" s="100"/>
      <c r="I37" s="91"/>
      <c r="P37" s="55"/>
      <c r="Q37" s="56"/>
    </row>
    <row r="38" spans="4:17" ht="19.5" customHeight="1">
      <c r="D38" s="39"/>
      <c r="F38" s="92"/>
      <c r="G38" s="92"/>
      <c r="H38" s="94"/>
      <c r="I38" s="91"/>
      <c r="P38" s="57"/>
      <c r="Q38" s="57"/>
    </row>
    <row r="39" spans="1:17" ht="19.5" customHeight="1">
      <c r="A39" s="20"/>
      <c r="B39" s="20"/>
      <c r="D39" s="39"/>
      <c r="H39" s="94"/>
      <c r="P39" s="58"/>
      <c r="Q39" s="58"/>
    </row>
    <row r="40" spans="1:17" ht="19.5" customHeight="1">
      <c r="A40" s="20"/>
      <c r="B40" s="20"/>
      <c r="D40" s="39"/>
      <c r="P40" s="58"/>
      <c r="Q40" s="58"/>
    </row>
    <row r="41" spans="1:5" ht="19.5" customHeight="1">
      <c r="A41" s="20"/>
      <c r="B41" s="20"/>
      <c r="D41" s="39"/>
      <c r="E41" s="39"/>
    </row>
    <row r="42" spans="1:5" ht="19.5" customHeight="1">
      <c r="A42" s="59"/>
      <c r="B42" s="59"/>
      <c r="E42" s="39"/>
    </row>
    <row r="43" spans="1:5" ht="19.5" customHeight="1">
      <c r="A43" s="60"/>
      <c r="B43" s="61"/>
      <c r="D43" s="39"/>
      <c r="E43" s="39"/>
    </row>
    <row r="44" spans="1:5" ht="19.5" customHeight="1">
      <c r="A44" s="62"/>
      <c r="B44" s="63"/>
      <c r="E44" s="39"/>
    </row>
    <row r="45" spans="1:2" ht="19.5" customHeight="1">
      <c r="A45" s="60"/>
      <c r="B45" s="61"/>
    </row>
    <row r="46" spans="1:5" ht="19.5" customHeight="1">
      <c r="A46" s="60"/>
      <c r="B46" s="61"/>
      <c r="E46" s="39"/>
    </row>
    <row r="47" spans="1:4" ht="19.5" customHeight="1">
      <c r="A47" s="59"/>
      <c r="B47" s="59"/>
      <c r="D47" s="20"/>
    </row>
    <row r="48" spans="1:4" ht="19.5" customHeight="1">
      <c r="A48" s="59"/>
      <c r="B48" s="59"/>
      <c r="D48" s="20"/>
    </row>
    <row r="49" spans="1:4" ht="19.5" customHeight="1">
      <c r="A49" s="60"/>
      <c r="B49" s="64"/>
      <c r="D49" s="20"/>
    </row>
    <row r="50" spans="1:5" ht="19.5" customHeight="1">
      <c r="A50" s="54"/>
      <c r="B50" s="63"/>
      <c r="C50" s="20"/>
      <c r="D50" s="20"/>
      <c r="E50" s="20"/>
    </row>
    <row r="51" spans="1:5" ht="19.5" customHeight="1">
      <c r="A51" s="60"/>
      <c r="B51" s="65"/>
      <c r="C51" s="20"/>
      <c r="D51" s="20"/>
      <c r="E51" s="20"/>
    </row>
    <row r="52" spans="1:5" ht="19.5" customHeight="1">
      <c r="A52" s="59"/>
      <c r="B52" s="59"/>
      <c r="C52" s="20"/>
      <c r="E52" s="20"/>
    </row>
    <row r="53" spans="1:5" ht="19.5" customHeight="1">
      <c r="A53" s="20"/>
      <c r="B53" s="20"/>
      <c r="C53" s="20"/>
      <c r="E53" s="20"/>
    </row>
    <row r="54" spans="1:5" ht="19.5" customHeight="1">
      <c r="A54" s="20"/>
      <c r="B54" s="20"/>
      <c r="C54" s="20"/>
      <c r="E54" s="20"/>
    </row>
    <row r="55" spans="1:3" ht="26.25" customHeight="1">
      <c r="A55" s="20"/>
      <c r="B55" s="20"/>
      <c r="C55" s="20"/>
    </row>
    <row r="56" spans="1:3" ht="26.25" customHeight="1">
      <c r="A56" s="20"/>
      <c r="B56" s="20"/>
      <c r="C56" s="20"/>
    </row>
    <row r="57" spans="1:3" ht="24.75" customHeight="1">
      <c r="A57" s="20"/>
      <c r="B57" s="20"/>
      <c r="C57" s="20"/>
    </row>
    <row r="58" ht="7.5" customHeight="1">
      <c r="C58" s="20"/>
    </row>
    <row r="59" ht="12.75">
      <c r="C59" s="20"/>
    </row>
    <row r="60" ht="12.75">
      <c r="C60" s="20"/>
    </row>
    <row r="61" ht="12.75">
      <c r="C61" s="20"/>
    </row>
    <row r="62" ht="12.75">
      <c r="C62" s="20"/>
    </row>
    <row r="63" ht="12.75">
      <c r="C63" s="20"/>
    </row>
    <row r="64" ht="12.75">
      <c r="C64" s="20"/>
    </row>
    <row r="65" ht="12.75">
      <c r="C65" s="20"/>
    </row>
    <row r="66" ht="12.75">
      <c r="C66" s="20"/>
    </row>
    <row r="67" ht="12.75">
      <c r="C67" s="20"/>
    </row>
    <row r="68" ht="12.75">
      <c r="C68" s="20"/>
    </row>
    <row r="70" ht="12.75">
      <c r="C70" s="59"/>
    </row>
    <row r="71" ht="12.75">
      <c r="C71" s="37"/>
    </row>
    <row r="72" ht="12.75">
      <c r="C72" s="59"/>
    </row>
    <row r="73" ht="12.75">
      <c r="C73" s="59"/>
    </row>
    <row r="74" ht="12.75">
      <c r="C74" s="37"/>
    </row>
    <row r="75" ht="12.75">
      <c r="C75" s="59"/>
    </row>
    <row r="76" ht="12.75">
      <c r="C76" s="59"/>
    </row>
    <row r="77" ht="12.75">
      <c r="C77" s="37"/>
    </row>
    <row r="78" ht="12.75">
      <c r="C78" s="59"/>
    </row>
    <row r="79" ht="12.75">
      <c r="C79" s="59"/>
    </row>
    <row r="80" ht="12.75">
      <c r="C80" s="37"/>
    </row>
    <row r="81" ht="12.75">
      <c r="C81" s="59"/>
    </row>
    <row r="82" ht="12.75">
      <c r="C82" s="59"/>
    </row>
    <row r="83" ht="12.75">
      <c r="C83" s="37"/>
    </row>
    <row r="84" ht="12.75">
      <c r="C84" s="59"/>
    </row>
    <row r="85" ht="12.75">
      <c r="C85" s="59"/>
    </row>
    <row r="86" ht="12.75">
      <c r="C86" s="37"/>
    </row>
    <row r="87" ht="12.75">
      <c r="C87" s="59"/>
    </row>
    <row r="88" ht="12.75">
      <c r="C88" s="59"/>
    </row>
    <row r="89" ht="12.75">
      <c r="C89" s="37"/>
    </row>
    <row r="90" ht="12.75">
      <c r="C90" s="59"/>
    </row>
    <row r="91" ht="12.75">
      <c r="C91" s="59"/>
    </row>
    <row r="92" ht="12.75">
      <c r="C92" s="37"/>
    </row>
    <row r="93" ht="12.75">
      <c r="C93" s="59"/>
    </row>
    <row r="94" ht="12.75">
      <c r="C94" s="59"/>
    </row>
    <row r="95" ht="12.75">
      <c r="C95" s="37"/>
    </row>
    <row r="96" ht="12.75">
      <c r="C96" s="59"/>
    </row>
    <row r="97" ht="12.75">
      <c r="C97" s="59"/>
    </row>
    <row r="98" ht="12.75">
      <c r="C98" s="37"/>
    </row>
    <row r="99" ht="12.75">
      <c r="C99" s="59"/>
    </row>
    <row r="100" ht="12.75">
      <c r="C100" s="59"/>
    </row>
    <row r="101" ht="12.75">
      <c r="C101" s="37"/>
    </row>
    <row r="102" ht="12.75">
      <c r="C102" s="59"/>
    </row>
    <row r="103" ht="12.75">
      <c r="C103" s="59"/>
    </row>
    <row r="104" ht="12.75">
      <c r="C104" s="37"/>
    </row>
    <row r="105" ht="12.75">
      <c r="C105" s="59"/>
    </row>
    <row r="106" ht="12.75">
      <c r="C106" s="59"/>
    </row>
    <row r="107" ht="12.75">
      <c r="C107" s="37"/>
    </row>
    <row r="108" ht="12.75">
      <c r="C108" s="59"/>
    </row>
    <row r="109" ht="12.75">
      <c r="C109" s="59"/>
    </row>
    <row r="110" ht="12.75">
      <c r="C110" s="37"/>
    </row>
    <row r="111" ht="12.75">
      <c r="C111" s="59"/>
    </row>
    <row r="112" ht="12.75">
      <c r="C112" s="59"/>
    </row>
    <row r="113" ht="12.75">
      <c r="C113" s="37"/>
    </row>
    <row r="114" ht="12.75">
      <c r="C114" s="59"/>
    </row>
    <row r="115" ht="12.75">
      <c r="C115" s="59"/>
    </row>
    <row r="116" ht="12.75">
      <c r="C116" s="37"/>
    </row>
    <row r="117" ht="12.75">
      <c r="C117" s="59"/>
    </row>
    <row r="118" ht="12.75">
      <c r="C118" s="59"/>
    </row>
    <row r="119" ht="12.75">
      <c r="C119" s="37"/>
    </row>
  </sheetData>
  <sheetProtection/>
  <protectedRanges>
    <protectedRange sqref="B49 B45:B46 B7:B8 B10:B12" name="INPUT CELLS"/>
  </protectedRanges>
  <mergeCells count="12">
    <mergeCell ref="A21:B23"/>
    <mergeCell ref="H35:H36"/>
    <mergeCell ref="I31:I32"/>
    <mergeCell ref="F31:F32"/>
    <mergeCell ref="G31:G32"/>
    <mergeCell ref="H31:H32"/>
    <mergeCell ref="A30:B31"/>
    <mergeCell ref="F5:F6"/>
    <mergeCell ref="G5:G6"/>
    <mergeCell ref="I5:I6"/>
    <mergeCell ref="E5:E6"/>
    <mergeCell ref="H5:H6"/>
  </mergeCells>
  <conditionalFormatting sqref="F7:G30 I7:N30">
    <cfRule type="expression" priority="3" dxfId="0" stopIfTrue="1">
      <formula>($B$43="CUSTOM")</formula>
    </cfRule>
  </conditionalFormatting>
  <conditionalFormatting sqref="P7:R30">
    <cfRule type="expression" priority="1" dxfId="0" stopIfTrue="1">
      <formula>($B$46="CUSTOM")</formula>
    </cfRule>
  </conditionalFormatting>
  <dataValidations count="6">
    <dataValidation type="list" allowBlank="1" showInputMessage="1" showErrorMessage="1" sqref="B45">
      <formula1>"1-in-2 weather year, 1-in-10 weather year"</formula1>
    </dataValidation>
    <dataValidation type="list" allowBlank="1" showInputMessage="1" showErrorMessage="1" sqref="B46">
      <formula1>DayTypeList</formula1>
    </dataValidation>
    <dataValidation type="list" allowBlank="1" showInputMessage="1" showErrorMessage="1" sqref="B43">
      <formula1>"PROTOCOLS, CUSTOM"</formula1>
    </dataValidation>
    <dataValidation type="list" allowBlank="1" showInputMessage="1" showErrorMessage="1" sqref="B8">
      <formula1>CustCharList</formula1>
    </dataValidation>
    <dataValidation type="list" allowBlank="1" showErrorMessage="1" promptTitle="Type of Results" prompt="Results can be obtained for the all enrolled customers combined (Aggregate) or for the average customer" errorTitle="Invalid Input" error="Invalid choice" sqref="B6">
      <formula1>TypeofResultList</formula1>
    </dataValidation>
    <dataValidation type="list" allowBlank="1" showInputMessage="1" showErrorMessage="1" sqref="B7">
      <formula1>EventList</formula1>
    </dataValidation>
  </dataValidations>
  <printOptions/>
  <pageMargins left="0.5" right="0.5" top="0.5" bottom="0.5" header="0.5" footer="0.5"/>
  <pageSetup fitToHeight="1" fitToWidth="1" horizontalDpi="600" verticalDpi="600" orientation="landscape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B15" sqref="B15:B38"/>
    </sheetView>
  </sheetViews>
  <sheetFormatPr defaultColWidth="9.140625" defaultRowHeight="12.75"/>
  <cols>
    <col min="1" max="1" width="29.28125" style="0" bestFit="1" customWidth="1"/>
    <col min="3" max="3" width="33.00390625" style="0" bestFit="1" customWidth="1"/>
    <col min="5" max="5" width="22.7109375" style="0" bestFit="1" customWidth="1"/>
    <col min="7" max="7" width="21.421875" style="0" bestFit="1" customWidth="1"/>
    <col min="8" max="8" width="21.421875" style="0" customWidth="1"/>
    <col min="9" max="9" width="6.7109375" style="0" bestFit="1" customWidth="1"/>
  </cols>
  <sheetData>
    <row r="1" spans="1:5" ht="12.75">
      <c r="A1" t="s">
        <v>26</v>
      </c>
      <c r="C1" t="s">
        <v>24</v>
      </c>
      <c r="E1" t="s">
        <v>0</v>
      </c>
    </row>
    <row r="2" spans="1:9" ht="12.75">
      <c r="A2" t="s">
        <v>43</v>
      </c>
      <c r="C2" s="11" t="s">
        <v>35</v>
      </c>
      <c r="E2" t="s">
        <v>1</v>
      </c>
      <c r="G2" s="73" t="s">
        <v>23</v>
      </c>
      <c r="H2" s="86" t="s">
        <v>25</v>
      </c>
      <c r="I2" s="72" t="s">
        <v>30</v>
      </c>
    </row>
    <row r="3" spans="1:9" ht="12.75">
      <c r="A3" s="74">
        <v>40374</v>
      </c>
      <c r="C3" s="11" t="s">
        <v>37</v>
      </c>
      <c r="E3" t="s">
        <v>33</v>
      </c>
      <c r="G3" t="str">
        <f>CustChar</f>
        <v>All Commercial Customers</v>
      </c>
      <c r="H3" t="str">
        <f>Event</f>
        <v>Average Event</v>
      </c>
      <c r="I3">
        <v>1</v>
      </c>
    </row>
    <row r="4" spans="1:5" ht="12.75">
      <c r="A4" s="74">
        <v>40375</v>
      </c>
      <c r="C4" s="11" t="s">
        <v>36</v>
      </c>
      <c r="E4" t="s">
        <v>34</v>
      </c>
    </row>
    <row r="5" spans="1:9" ht="12.75">
      <c r="A5" s="74">
        <v>40407</v>
      </c>
      <c r="C5" s="83"/>
      <c r="G5" s="73" t="s">
        <v>23</v>
      </c>
      <c r="H5" s="86" t="s">
        <v>25</v>
      </c>
      <c r="I5" s="72" t="s">
        <v>30</v>
      </c>
    </row>
    <row r="6" spans="1:9" ht="12.75">
      <c r="A6" s="74">
        <v>40408</v>
      </c>
      <c r="C6" s="66"/>
      <c r="G6" t="str">
        <f>CustChar</f>
        <v>All Commercial Customers</v>
      </c>
      <c r="H6" t="str">
        <f>Event</f>
        <v>Average Event</v>
      </c>
      <c r="I6">
        <v>2</v>
      </c>
    </row>
    <row r="7" spans="1:3" ht="12.75">
      <c r="A7" s="74">
        <v>40409</v>
      </c>
      <c r="C7" s="66"/>
    </row>
    <row r="8" spans="1:9" ht="12.75">
      <c r="A8" s="74">
        <v>40413</v>
      </c>
      <c r="C8" s="87"/>
      <c r="G8" s="73" t="s">
        <v>23</v>
      </c>
      <c r="H8" s="86" t="s">
        <v>25</v>
      </c>
      <c r="I8" s="72" t="s">
        <v>30</v>
      </c>
    </row>
    <row r="9" spans="1:9" ht="12.75">
      <c r="A9" s="74">
        <v>40414</v>
      </c>
      <c r="G9" t="str">
        <f>CustChar</f>
        <v>All Commercial Customers</v>
      </c>
      <c r="H9" t="str">
        <f>Event</f>
        <v>Average Event</v>
      </c>
      <c r="I9">
        <v>3</v>
      </c>
    </row>
    <row r="10" ht="12.75">
      <c r="A10" s="74">
        <v>40415</v>
      </c>
    </row>
    <row r="11" spans="1:9" ht="12.75">
      <c r="A11" s="74">
        <v>40448</v>
      </c>
      <c r="G11" s="73" t="s">
        <v>23</v>
      </c>
      <c r="H11" s="86" t="s">
        <v>25</v>
      </c>
      <c r="I11" s="72" t="s">
        <v>30</v>
      </c>
    </row>
    <row r="12" spans="1:9" ht="12.75">
      <c r="A12" s="74">
        <v>40449</v>
      </c>
      <c r="G12" t="str">
        <f>CustChar</f>
        <v>All Commercial Customers</v>
      </c>
      <c r="H12" t="str">
        <f>Event</f>
        <v>Average Event</v>
      </c>
      <c r="I12">
        <v>4</v>
      </c>
    </row>
    <row r="13" ht="12.75">
      <c r="A13" s="74">
        <v>40450</v>
      </c>
    </row>
    <row r="14" spans="1:9" ht="12.75">
      <c r="A14" s="66"/>
      <c r="G14" s="73" t="s">
        <v>23</v>
      </c>
      <c r="H14" s="86" t="s">
        <v>25</v>
      </c>
      <c r="I14" s="72" t="s">
        <v>30</v>
      </c>
    </row>
    <row r="15" spans="1:9" ht="12.75">
      <c r="A15" s="66"/>
      <c r="B15" t="s">
        <v>46</v>
      </c>
      <c r="G15" t="str">
        <f>CustChar</f>
        <v>All Commercial Customers</v>
      </c>
      <c r="H15" t="str">
        <f>Event</f>
        <v>Average Event</v>
      </c>
      <c r="I15">
        <v>5</v>
      </c>
    </row>
    <row r="16" spans="1:2" ht="12.75">
      <c r="A16" s="66"/>
      <c r="B16" t="s">
        <v>47</v>
      </c>
    </row>
    <row r="17" spans="1:9" ht="12.75">
      <c r="A17" s="66"/>
      <c r="B17" t="s">
        <v>48</v>
      </c>
      <c r="G17" s="73" t="s">
        <v>23</v>
      </c>
      <c r="H17" s="86" t="s">
        <v>25</v>
      </c>
      <c r="I17" s="72" t="s">
        <v>30</v>
      </c>
    </row>
    <row r="18" spans="1:9" ht="12.75">
      <c r="A18" s="85"/>
      <c r="B18" t="s">
        <v>49</v>
      </c>
      <c r="G18" t="str">
        <f>CustChar</f>
        <v>All Commercial Customers</v>
      </c>
      <c r="H18" t="str">
        <f>Event</f>
        <v>Average Event</v>
      </c>
      <c r="I18">
        <v>6</v>
      </c>
    </row>
    <row r="19" spans="1:2" ht="12.75">
      <c r="A19" s="85"/>
      <c r="B19" t="s">
        <v>50</v>
      </c>
    </row>
    <row r="20" spans="1:9" ht="12.75">
      <c r="A20" s="85"/>
      <c r="B20" t="s">
        <v>51</v>
      </c>
      <c r="G20" s="73" t="s">
        <v>23</v>
      </c>
      <c r="H20" s="86" t="s">
        <v>25</v>
      </c>
      <c r="I20" s="72" t="s">
        <v>30</v>
      </c>
    </row>
    <row r="21" spans="1:9" ht="12.75">
      <c r="A21" s="85"/>
      <c r="B21" t="s">
        <v>52</v>
      </c>
      <c r="G21" t="str">
        <f>CustChar</f>
        <v>All Commercial Customers</v>
      </c>
      <c r="H21" t="str">
        <f>Event</f>
        <v>Average Event</v>
      </c>
      <c r="I21">
        <v>7</v>
      </c>
    </row>
    <row r="22" spans="1:2" ht="12.75">
      <c r="A22" s="85"/>
      <c r="B22" t="s">
        <v>53</v>
      </c>
    </row>
    <row r="23" spans="1:9" ht="12.75">
      <c r="A23" s="85"/>
      <c r="B23" t="s">
        <v>54</v>
      </c>
      <c r="G23" s="73" t="s">
        <v>23</v>
      </c>
      <c r="H23" s="86" t="s">
        <v>25</v>
      </c>
      <c r="I23" s="72" t="s">
        <v>30</v>
      </c>
    </row>
    <row r="24" spans="1:9" ht="12.75">
      <c r="A24" s="85"/>
      <c r="B24" t="s">
        <v>55</v>
      </c>
      <c r="G24" t="str">
        <f>CustChar</f>
        <v>All Commercial Customers</v>
      </c>
      <c r="H24" t="str">
        <f>Event</f>
        <v>Average Event</v>
      </c>
      <c r="I24">
        <v>8</v>
      </c>
    </row>
    <row r="25" spans="1:2" ht="12.75">
      <c r="A25" s="66"/>
      <c r="B25" t="s">
        <v>56</v>
      </c>
    </row>
    <row r="26" spans="1:9" ht="12.75">
      <c r="A26" s="66"/>
      <c r="B26" t="s">
        <v>57</v>
      </c>
      <c r="G26" s="73" t="s">
        <v>23</v>
      </c>
      <c r="H26" s="86" t="s">
        <v>25</v>
      </c>
      <c r="I26" s="72" t="s">
        <v>30</v>
      </c>
    </row>
    <row r="27" spans="1:9" ht="12.75">
      <c r="A27" s="66"/>
      <c r="B27" t="s">
        <v>58</v>
      </c>
      <c r="G27" t="str">
        <f>CustChar</f>
        <v>All Commercial Customers</v>
      </c>
      <c r="H27" t="str">
        <f>Event</f>
        <v>Average Event</v>
      </c>
      <c r="I27">
        <v>9</v>
      </c>
    </row>
    <row r="28" spans="1:2" ht="12.75">
      <c r="A28" s="66"/>
      <c r="B28" t="s">
        <v>59</v>
      </c>
    </row>
    <row r="29" spans="1:9" ht="12.75">
      <c r="A29" s="66"/>
      <c r="B29" t="s">
        <v>60</v>
      </c>
      <c r="G29" s="73" t="s">
        <v>23</v>
      </c>
      <c r="H29" s="86" t="s">
        <v>25</v>
      </c>
      <c r="I29" s="72" t="s">
        <v>30</v>
      </c>
    </row>
    <row r="30" spans="1:9" ht="12.75">
      <c r="A30" s="66"/>
      <c r="B30" t="s">
        <v>61</v>
      </c>
      <c r="G30" t="str">
        <f>CustChar</f>
        <v>All Commercial Customers</v>
      </c>
      <c r="H30" t="str">
        <f>Event</f>
        <v>Average Event</v>
      </c>
      <c r="I30">
        <v>10</v>
      </c>
    </row>
    <row r="31" spans="1:2" ht="12.75">
      <c r="A31" s="66"/>
      <c r="B31" t="s">
        <v>62</v>
      </c>
    </row>
    <row r="32" spans="1:9" ht="12.75">
      <c r="A32" s="66"/>
      <c r="B32" t="s">
        <v>63</v>
      </c>
      <c r="G32" s="73" t="s">
        <v>23</v>
      </c>
      <c r="H32" s="86" t="s">
        <v>25</v>
      </c>
      <c r="I32" s="72" t="s">
        <v>30</v>
      </c>
    </row>
    <row r="33" spans="1:9" ht="12.75">
      <c r="A33" s="66"/>
      <c r="B33" t="s">
        <v>64</v>
      </c>
      <c r="G33" t="str">
        <f>CustChar</f>
        <v>All Commercial Customers</v>
      </c>
      <c r="H33" t="str">
        <f>Event</f>
        <v>Average Event</v>
      </c>
      <c r="I33">
        <v>11</v>
      </c>
    </row>
    <row r="34" spans="1:2" ht="12.75">
      <c r="A34" s="66"/>
      <c r="B34" t="s">
        <v>65</v>
      </c>
    </row>
    <row r="35" spans="1:9" ht="12.75">
      <c r="A35" s="66"/>
      <c r="B35" t="s">
        <v>66</v>
      </c>
      <c r="G35" s="73" t="s">
        <v>23</v>
      </c>
      <c r="H35" s="86" t="s">
        <v>25</v>
      </c>
      <c r="I35" s="72" t="s">
        <v>30</v>
      </c>
    </row>
    <row r="36" spans="1:9" ht="12.75">
      <c r="A36" s="66"/>
      <c r="B36" t="s">
        <v>67</v>
      </c>
      <c r="G36" t="str">
        <f>CustChar</f>
        <v>All Commercial Customers</v>
      </c>
      <c r="H36" t="str">
        <f>Event</f>
        <v>Average Event</v>
      </c>
      <c r="I36">
        <v>12</v>
      </c>
    </row>
    <row r="37" ht="12.75">
      <c r="B37" t="s">
        <v>68</v>
      </c>
    </row>
    <row r="38" spans="2:9" ht="12.75">
      <c r="B38" t="s">
        <v>69</v>
      </c>
      <c r="G38" s="73" t="s">
        <v>23</v>
      </c>
      <c r="H38" s="86" t="s">
        <v>25</v>
      </c>
      <c r="I38" s="72" t="s">
        <v>30</v>
      </c>
    </row>
    <row r="39" spans="7:9" ht="12.75">
      <c r="G39" t="str">
        <f>CustChar</f>
        <v>All Commercial Customers</v>
      </c>
      <c r="H39" t="str">
        <f>Event</f>
        <v>Average Event</v>
      </c>
      <c r="I39">
        <v>13</v>
      </c>
    </row>
    <row r="41" spans="7:9" ht="12.75">
      <c r="G41" s="73" t="s">
        <v>23</v>
      </c>
      <c r="H41" s="86" t="s">
        <v>25</v>
      </c>
      <c r="I41" s="72" t="s">
        <v>30</v>
      </c>
    </row>
    <row r="42" spans="7:9" ht="12.75">
      <c r="G42" t="str">
        <f>CustChar</f>
        <v>All Commercial Customers</v>
      </c>
      <c r="H42" t="str">
        <f>Event</f>
        <v>Average Event</v>
      </c>
      <c r="I42">
        <v>14</v>
      </c>
    </row>
    <row r="44" spans="7:9" ht="12.75">
      <c r="G44" s="73" t="s">
        <v>23</v>
      </c>
      <c r="H44" s="86" t="s">
        <v>25</v>
      </c>
      <c r="I44" s="72" t="s">
        <v>30</v>
      </c>
    </row>
    <row r="45" spans="7:9" ht="12.75">
      <c r="G45" t="str">
        <f>CustChar</f>
        <v>All Commercial Customers</v>
      </c>
      <c r="H45" t="str">
        <f>Event</f>
        <v>Average Event</v>
      </c>
      <c r="I45">
        <v>15</v>
      </c>
    </row>
    <row r="47" spans="7:9" ht="12.75">
      <c r="G47" s="73" t="s">
        <v>23</v>
      </c>
      <c r="H47" s="86" t="s">
        <v>25</v>
      </c>
      <c r="I47" s="72" t="s">
        <v>30</v>
      </c>
    </row>
    <row r="48" spans="7:9" ht="12.75">
      <c r="G48" t="str">
        <f>CustChar</f>
        <v>All Commercial Customers</v>
      </c>
      <c r="H48" t="str">
        <f>Event</f>
        <v>Average Event</v>
      </c>
      <c r="I48">
        <v>16</v>
      </c>
    </row>
    <row r="50" spans="7:9" ht="12.75">
      <c r="G50" s="73" t="s">
        <v>23</v>
      </c>
      <c r="H50" s="86" t="s">
        <v>25</v>
      </c>
      <c r="I50" s="72" t="s">
        <v>30</v>
      </c>
    </row>
    <row r="51" spans="7:9" ht="12.75">
      <c r="G51" t="str">
        <f>CustChar</f>
        <v>All Commercial Customers</v>
      </c>
      <c r="H51" t="str">
        <f>Event</f>
        <v>Average Event</v>
      </c>
      <c r="I51">
        <v>17</v>
      </c>
    </row>
    <row r="53" spans="7:9" ht="12.75">
      <c r="G53" s="73" t="s">
        <v>23</v>
      </c>
      <c r="H53" s="86" t="s">
        <v>25</v>
      </c>
      <c r="I53" s="72" t="s">
        <v>30</v>
      </c>
    </row>
    <row r="54" spans="7:9" ht="12.75">
      <c r="G54" t="str">
        <f>CustChar</f>
        <v>All Commercial Customers</v>
      </c>
      <c r="H54" t="str">
        <f>Event</f>
        <v>Average Event</v>
      </c>
      <c r="I54">
        <v>18</v>
      </c>
    </row>
    <row r="56" spans="7:9" ht="12.75">
      <c r="G56" s="73" t="s">
        <v>23</v>
      </c>
      <c r="H56" s="86" t="s">
        <v>25</v>
      </c>
      <c r="I56" s="72" t="s">
        <v>30</v>
      </c>
    </row>
    <row r="57" spans="7:9" ht="12.75">
      <c r="G57" t="str">
        <f>CustChar</f>
        <v>All Commercial Customers</v>
      </c>
      <c r="H57" t="str">
        <f>Event</f>
        <v>Average Event</v>
      </c>
      <c r="I57">
        <v>19</v>
      </c>
    </row>
    <row r="59" spans="7:9" ht="12.75">
      <c r="G59" s="73" t="s">
        <v>23</v>
      </c>
      <c r="H59" s="86" t="s">
        <v>25</v>
      </c>
      <c r="I59" s="72" t="s">
        <v>30</v>
      </c>
    </row>
    <row r="60" spans="7:9" ht="12.75">
      <c r="G60" t="str">
        <f>CustChar</f>
        <v>All Commercial Customers</v>
      </c>
      <c r="H60" t="str">
        <f>Event</f>
        <v>Average Event</v>
      </c>
      <c r="I60">
        <v>20</v>
      </c>
    </row>
    <row r="62" spans="7:9" ht="12.75">
      <c r="G62" s="73" t="s">
        <v>23</v>
      </c>
      <c r="H62" s="86" t="s">
        <v>25</v>
      </c>
      <c r="I62" s="72" t="s">
        <v>30</v>
      </c>
    </row>
    <row r="63" spans="7:9" ht="12.75">
      <c r="G63" t="str">
        <f>CustChar</f>
        <v>All Commercial Customers</v>
      </c>
      <c r="H63" t="str">
        <f>Event</f>
        <v>Average Event</v>
      </c>
      <c r="I63">
        <v>21</v>
      </c>
    </row>
    <row r="65" spans="7:9" ht="12.75">
      <c r="G65" s="73" t="s">
        <v>23</v>
      </c>
      <c r="H65" s="86" t="s">
        <v>25</v>
      </c>
      <c r="I65" s="72" t="s">
        <v>30</v>
      </c>
    </row>
    <row r="66" spans="7:9" ht="12.75">
      <c r="G66" t="str">
        <f>CustChar</f>
        <v>All Commercial Customers</v>
      </c>
      <c r="H66" t="str">
        <f>Event</f>
        <v>Average Event</v>
      </c>
      <c r="I66">
        <v>22</v>
      </c>
    </row>
    <row r="68" spans="7:9" ht="12.75">
      <c r="G68" s="73" t="s">
        <v>23</v>
      </c>
      <c r="H68" s="86" t="s">
        <v>25</v>
      </c>
      <c r="I68" s="72" t="s">
        <v>30</v>
      </c>
    </row>
    <row r="69" spans="7:9" ht="12.75">
      <c r="G69" t="str">
        <f>CustChar</f>
        <v>All Commercial Customers</v>
      </c>
      <c r="H69" t="str">
        <f>Event</f>
        <v>Average Event</v>
      </c>
      <c r="I69">
        <v>23</v>
      </c>
    </row>
    <row r="71" spans="7:9" ht="12.75">
      <c r="G71" s="73" t="s">
        <v>23</v>
      </c>
      <c r="H71" s="86" t="s">
        <v>25</v>
      </c>
      <c r="I71" s="72" t="s">
        <v>30</v>
      </c>
    </row>
    <row r="72" spans="7:9" ht="12.75">
      <c r="G72" t="str">
        <f>CustChar</f>
        <v>All Commercial Customers</v>
      </c>
      <c r="H72" t="str">
        <f>Event</f>
        <v>Average Event</v>
      </c>
      <c r="I72">
        <v>24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480"/>
  <sheetViews>
    <sheetView zoomScalePageLayoutView="0" workbookViewId="0" topLeftCell="A1">
      <selection activeCell="A2" sqref="A2:Q865"/>
    </sheetView>
  </sheetViews>
  <sheetFormatPr defaultColWidth="9.140625" defaultRowHeight="12.75"/>
  <cols>
    <col min="1" max="1" width="31.00390625" style="0" bestFit="1" customWidth="1"/>
    <col min="2" max="2" width="12.28125" style="0" bestFit="1" customWidth="1"/>
    <col min="3" max="3" width="7.28125" style="0" customWidth="1"/>
    <col min="4" max="4" width="14.00390625" style="0" bestFit="1" customWidth="1"/>
    <col min="5" max="5" width="13.421875" style="0" bestFit="1" customWidth="1"/>
    <col min="6" max="6" width="11.28125" style="0" bestFit="1" customWidth="1"/>
    <col min="7" max="7" width="13.140625" style="0" bestFit="1" customWidth="1"/>
    <col min="8" max="8" width="9.57421875" style="0" bestFit="1" customWidth="1"/>
    <col min="9" max="11" width="10.57421875" style="0" bestFit="1" customWidth="1"/>
    <col min="12" max="12" width="9.57421875" style="0" bestFit="1" customWidth="1"/>
    <col min="13" max="13" width="7.57421875" style="0" bestFit="1" customWidth="1"/>
    <col min="14" max="14" width="9.421875" style="0" bestFit="1" customWidth="1"/>
    <col min="15" max="15" width="10.8515625" style="0" bestFit="1" customWidth="1"/>
  </cols>
  <sheetData>
    <row r="1" spans="1:17" s="3" customFormat="1" ht="40.5" customHeight="1">
      <c r="A1" s="1" t="s">
        <v>23</v>
      </c>
      <c r="B1" s="2" t="s">
        <v>25</v>
      </c>
      <c r="C1" s="2" t="s">
        <v>30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88" t="s">
        <v>41</v>
      </c>
      <c r="N1" s="88" t="s">
        <v>39</v>
      </c>
      <c r="O1" s="88" t="s">
        <v>40</v>
      </c>
      <c r="P1" s="3" t="s">
        <v>44</v>
      </c>
      <c r="Q1" s="3" t="s">
        <v>45</v>
      </c>
    </row>
    <row r="2" spans="1:17" ht="12.75">
      <c r="A2" t="s">
        <v>35</v>
      </c>
      <c r="B2" s="93">
        <v>40374</v>
      </c>
      <c r="C2">
        <v>1</v>
      </c>
      <c r="D2">
        <v>0.1637478</v>
      </c>
      <c r="E2">
        <v>0.1637478</v>
      </c>
      <c r="F2">
        <v>66.4548</v>
      </c>
      <c r="G2">
        <v>0.4263728</v>
      </c>
      <c r="H2">
        <v>0</v>
      </c>
      <c r="I2">
        <v>0</v>
      </c>
      <c r="J2">
        <v>0</v>
      </c>
      <c r="K2">
        <v>0</v>
      </c>
      <c r="L2">
        <v>0</v>
      </c>
      <c r="M2">
        <v>3.774663</v>
      </c>
      <c r="N2">
        <v>54777.92</v>
      </c>
      <c r="O2">
        <v>458.0045109</v>
      </c>
      <c r="P2">
        <v>2376.309</v>
      </c>
      <c r="Q2">
        <v>2376.309</v>
      </c>
    </row>
    <row r="3" spans="1:17" ht="12.75">
      <c r="A3" t="s">
        <v>35</v>
      </c>
      <c r="B3" s="93">
        <v>40374</v>
      </c>
      <c r="C3">
        <v>2</v>
      </c>
      <c r="D3">
        <v>0.1539306</v>
      </c>
      <c r="E3">
        <v>0.1539306</v>
      </c>
      <c r="F3">
        <v>66.6362</v>
      </c>
      <c r="G3">
        <v>0.4263728</v>
      </c>
      <c r="H3">
        <v>0</v>
      </c>
      <c r="I3">
        <v>0</v>
      </c>
      <c r="J3">
        <v>0</v>
      </c>
      <c r="K3">
        <v>0</v>
      </c>
      <c r="L3">
        <v>0</v>
      </c>
      <c r="M3">
        <v>3.774663</v>
      </c>
      <c r="N3">
        <v>54777.92</v>
      </c>
      <c r="O3">
        <v>458.0045109</v>
      </c>
      <c r="P3">
        <v>2233.842</v>
      </c>
      <c r="Q3">
        <v>2233.842</v>
      </c>
    </row>
    <row r="4" spans="1:17" ht="12.75">
      <c r="A4" t="s">
        <v>35</v>
      </c>
      <c r="B4" s="93">
        <v>40374</v>
      </c>
      <c r="C4">
        <v>3</v>
      </c>
      <c r="D4">
        <v>0.144991</v>
      </c>
      <c r="E4">
        <v>0.144991</v>
      </c>
      <c r="F4">
        <v>66.1204</v>
      </c>
      <c r="G4">
        <v>0.4265897</v>
      </c>
      <c r="H4">
        <v>0</v>
      </c>
      <c r="I4">
        <v>0</v>
      </c>
      <c r="J4">
        <v>0</v>
      </c>
      <c r="K4">
        <v>0</v>
      </c>
      <c r="L4">
        <v>0</v>
      </c>
      <c r="M4">
        <v>3.774663</v>
      </c>
      <c r="N4">
        <v>54777.92</v>
      </c>
      <c r="O4">
        <v>456.9767043</v>
      </c>
      <c r="P4">
        <v>2104.11</v>
      </c>
      <c r="Q4">
        <v>2104.11</v>
      </c>
    </row>
    <row r="5" spans="1:17" ht="12.75">
      <c r="A5" t="s">
        <v>35</v>
      </c>
      <c r="B5" s="93">
        <v>40374</v>
      </c>
      <c r="C5">
        <v>4</v>
      </c>
      <c r="D5">
        <v>0.1391894</v>
      </c>
      <c r="E5">
        <v>0.1391894</v>
      </c>
      <c r="F5">
        <v>65.8088</v>
      </c>
      <c r="G5">
        <v>0.4259563</v>
      </c>
      <c r="H5">
        <v>0</v>
      </c>
      <c r="I5">
        <v>0</v>
      </c>
      <c r="J5">
        <v>0</v>
      </c>
      <c r="K5">
        <v>0</v>
      </c>
      <c r="L5">
        <v>0</v>
      </c>
      <c r="M5">
        <v>3.774663</v>
      </c>
      <c r="N5">
        <v>54777.92</v>
      </c>
      <c r="O5">
        <v>457.0987454</v>
      </c>
      <c r="P5">
        <v>2019.917</v>
      </c>
      <c r="Q5">
        <v>2019.917</v>
      </c>
    </row>
    <row r="6" spans="1:17" ht="12.75">
      <c r="A6" t="s">
        <v>35</v>
      </c>
      <c r="B6" s="93">
        <v>40374</v>
      </c>
      <c r="C6">
        <v>5</v>
      </c>
      <c r="D6">
        <v>0.1371468</v>
      </c>
      <c r="E6">
        <v>0.1371468</v>
      </c>
      <c r="F6">
        <v>65.1638</v>
      </c>
      <c r="G6">
        <v>0.4259563</v>
      </c>
      <c r="H6">
        <v>0</v>
      </c>
      <c r="I6">
        <v>0</v>
      </c>
      <c r="J6">
        <v>0</v>
      </c>
      <c r="K6">
        <v>0</v>
      </c>
      <c r="L6">
        <v>0</v>
      </c>
      <c r="M6">
        <v>3.774663</v>
      </c>
      <c r="N6">
        <v>54777.92</v>
      </c>
      <c r="O6">
        <v>457.0987454</v>
      </c>
      <c r="P6">
        <v>1990.275</v>
      </c>
      <c r="Q6">
        <v>1990.275</v>
      </c>
    </row>
    <row r="7" spans="1:17" ht="12.75">
      <c r="A7" t="s">
        <v>35</v>
      </c>
      <c r="B7" s="93">
        <v>40374</v>
      </c>
      <c r="C7">
        <v>6</v>
      </c>
      <c r="D7">
        <v>0.1487924</v>
      </c>
      <c r="E7">
        <v>0.1487924</v>
      </c>
      <c r="F7">
        <v>65.292</v>
      </c>
      <c r="G7">
        <v>0.4259563</v>
      </c>
      <c r="H7">
        <v>0</v>
      </c>
      <c r="I7">
        <v>0</v>
      </c>
      <c r="J7">
        <v>0</v>
      </c>
      <c r="K7">
        <v>0</v>
      </c>
      <c r="L7">
        <v>0</v>
      </c>
      <c r="M7">
        <v>3.774663</v>
      </c>
      <c r="N7">
        <v>54777.92</v>
      </c>
      <c r="O7">
        <v>457.0987454</v>
      </c>
      <c r="P7">
        <v>2159.275</v>
      </c>
      <c r="Q7">
        <v>2159.275</v>
      </c>
    </row>
    <row r="8" spans="1:17" ht="12.75">
      <c r="A8" t="s">
        <v>35</v>
      </c>
      <c r="B8" s="93">
        <v>40374</v>
      </c>
      <c r="C8">
        <v>7</v>
      </c>
      <c r="D8">
        <v>0.1918121</v>
      </c>
      <c r="E8">
        <v>0.1918121</v>
      </c>
      <c r="F8">
        <v>67.6402</v>
      </c>
      <c r="G8">
        <v>0.4259563</v>
      </c>
      <c r="H8">
        <v>0</v>
      </c>
      <c r="I8">
        <v>0</v>
      </c>
      <c r="J8">
        <v>0</v>
      </c>
      <c r="K8">
        <v>0</v>
      </c>
      <c r="L8">
        <v>0</v>
      </c>
      <c r="M8">
        <v>3.774663</v>
      </c>
      <c r="N8">
        <v>54777.92</v>
      </c>
      <c r="O8">
        <v>457.0987454</v>
      </c>
      <c r="P8">
        <v>2783.578</v>
      </c>
      <c r="Q8">
        <v>2783.578</v>
      </c>
    </row>
    <row r="9" spans="1:17" ht="12.75">
      <c r="A9" t="s">
        <v>35</v>
      </c>
      <c r="B9" s="93">
        <v>40374</v>
      </c>
      <c r="C9">
        <v>8</v>
      </c>
      <c r="D9">
        <v>0.3266106</v>
      </c>
      <c r="E9">
        <v>0.3266106</v>
      </c>
      <c r="F9">
        <v>71.7794</v>
      </c>
      <c r="G9">
        <v>0.4254835</v>
      </c>
      <c r="H9">
        <v>0</v>
      </c>
      <c r="I9">
        <v>0</v>
      </c>
      <c r="J9">
        <v>0</v>
      </c>
      <c r="K9">
        <v>0</v>
      </c>
      <c r="L9">
        <v>0</v>
      </c>
      <c r="M9">
        <v>3.774663</v>
      </c>
      <c r="N9">
        <v>54777.92</v>
      </c>
      <c r="O9">
        <v>459.1243456</v>
      </c>
      <c r="P9">
        <v>4739.773</v>
      </c>
      <c r="Q9">
        <v>4739.773</v>
      </c>
    </row>
    <row r="10" spans="1:17" ht="12.75">
      <c r="A10" t="s">
        <v>35</v>
      </c>
      <c r="B10" s="93">
        <v>40374</v>
      </c>
      <c r="C10">
        <v>9</v>
      </c>
      <c r="D10">
        <v>0.5370975</v>
      </c>
      <c r="E10">
        <v>0.5370975</v>
      </c>
      <c r="F10">
        <v>77.2987</v>
      </c>
      <c r="G10">
        <v>0.4254835</v>
      </c>
      <c r="H10">
        <v>0</v>
      </c>
      <c r="I10">
        <v>0</v>
      </c>
      <c r="J10">
        <v>0</v>
      </c>
      <c r="K10">
        <v>0</v>
      </c>
      <c r="L10">
        <v>0</v>
      </c>
      <c r="M10">
        <v>3.774663</v>
      </c>
      <c r="N10">
        <v>54777.92</v>
      </c>
      <c r="O10">
        <v>459.1243456</v>
      </c>
      <c r="P10">
        <v>7794.358</v>
      </c>
      <c r="Q10">
        <v>7794.358</v>
      </c>
    </row>
    <row r="11" spans="1:17" ht="12.75">
      <c r="A11" t="s">
        <v>35</v>
      </c>
      <c r="B11" s="93">
        <v>40374</v>
      </c>
      <c r="C11">
        <v>10</v>
      </c>
      <c r="D11">
        <v>0.8058602</v>
      </c>
      <c r="E11">
        <v>0.8058602</v>
      </c>
      <c r="F11">
        <v>78.7497</v>
      </c>
      <c r="G11">
        <v>0.4254835</v>
      </c>
      <c r="H11">
        <v>0</v>
      </c>
      <c r="I11">
        <v>0</v>
      </c>
      <c r="J11">
        <v>0</v>
      </c>
      <c r="K11">
        <v>0</v>
      </c>
      <c r="L11">
        <v>0</v>
      </c>
      <c r="M11">
        <v>3.774663</v>
      </c>
      <c r="N11">
        <v>54777.92</v>
      </c>
      <c r="O11">
        <v>459.1243456</v>
      </c>
      <c r="P11">
        <v>11694.64</v>
      </c>
      <c r="Q11">
        <v>11694.64</v>
      </c>
    </row>
    <row r="12" spans="1:17" ht="12.75">
      <c r="A12" t="s">
        <v>35</v>
      </c>
      <c r="B12" s="93">
        <v>40374</v>
      </c>
      <c r="C12">
        <v>11</v>
      </c>
      <c r="D12">
        <v>1.077118</v>
      </c>
      <c r="E12">
        <v>1.077118</v>
      </c>
      <c r="F12">
        <v>80.5625</v>
      </c>
      <c r="G12">
        <v>0.4263728</v>
      </c>
      <c r="H12">
        <v>0</v>
      </c>
      <c r="I12">
        <v>0</v>
      </c>
      <c r="J12">
        <v>0</v>
      </c>
      <c r="K12">
        <v>0</v>
      </c>
      <c r="L12">
        <v>0</v>
      </c>
      <c r="M12">
        <v>3.774663</v>
      </c>
      <c r="N12">
        <v>54777.92</v>
      </c>
      <c r="O12">
        <v>458.0045109</v>
      </c>
      <c r="P12">
        <v>15631.14</v>
      </c>
      <c r="Q12">
        <v>15631.14</v>
      </c>
    </row>
    <row r="13" spans="1:17" ht="12.75">
      <c r="A13" t="s">
        <v>35</v>
      </c>
      <c r="B13" s="93">
        <v>40374</v>
      </c>
      <c r="C13">
        <v>12</v>
      </c>
      <c r="D13">
        <v>1.293246</v>
      </c>
      <c r="E13">
        <v>1.293246</v>
      </c>
      <c r="F13">
        <v>81.6639</v>
      </c>
      <c r="G13">
        <v>0.4265897</v>
      </c>
      <c r="H13">
        <v>0</v>
      </c>
      <c r="I13">
        <v>0</v>
      </c>
      <c r="J13">
        <v>0</v>
      </c>
      <c r="K13">
        <v>0</v>
      </c>
      <c r="L13">
        <v>0</v>
      </c>
      <c r="M13">
        <v>3.774663</v>
      </c>
      <c r="N13">
        <v>54777.92</v>
      </c>
      <c r="O13">
        <v>456.9767043</v>
      </c>
      <c r="P13">
        <v>18767.58</v>
      </c>
      <c r="Q13">
        <v>18767.58</v>
      </c>
    </row>
    <row r="14" spans="1:17" ht="12.75">
      <c r="A14" t="s">
        <v>35</v>
      </c>
      <c r="B14" s="93">
        <v>40374</v>
      </c>
      <c r="C14">
        <v>13</v>
      </c>
      <c r="D14">
        <v>1.465273</v>
      </c>
      <c r="E14">
        <v>1.465273</v>
      </c>
      <c r="F14">
        <v>85.4027</v>
      </c>
      <c r="G14">
        <v>0.4257221</v>
      </c>
      <c r="H14">
        <v>0</v>
      </c>
      <c r="I14">
        <v>0</v>
      </c>
      <c r="J14">
        <v>0</v>
      </c>
      <c r="K14">
        <v>0</v>
      </c>
      <c r="L14">
        <v>0</v>
      </c>
      <c r="M14">
        <v>3.774663</v>
      </c>
      <c r="N14">
        <v>54777.92</v>
      </c>
      <c r="O14">
        <v>459.0943325</v>
      </c>
      <c r="P14">
        <v>21264.04</v>
      </c>
      <c r="Q14">
        <v>21264.04</v>
      </c>
    </row>
    <row r="15" spans="1:17" ht="12.75">
      <c r="A15" t="s">
        <v>35</v>
      </c>
      <c r="B15" s="93">
        <v>40374</v>
      </c>
      <c r="C15">
        <v>14</v>
      </c>
      <c r="D15">
        <v>1.521198</v>
      </c>
      <c r="E15">
        <v>1.21675</v>
      </c>
      <c r="F15">
        <v>84.0733</v>
      </c>
      <c r="G15">
        <v>0.4255081</v>
      </c>
      <c r="H15">
        <v>0.2706965</v>
      </c>
      <c r="I15">
        <v>0.2906372</v>
      </c>
      <c r="J15">
        <v>0.3044481</v>
      </c>
      <c r="K15">
        <v>0.318259</v>
      </c>
      <c r="L15">
        <v>0.3381998</v>
      </c>
      <c r="M15">
        <v>3.774663</v>
      </c>
      <c r="N15">
        <v>54777.92</v>
      </c>
      <c r="O15">
        <v>460.1221392</v>
      </c>
      <c r="P15">
        <v>22075.63</v>
      </c>
      <c r="Q15">
        <v>17657.48</v>
      </c>
    </row>
    <row r="16" spans="1:17" ht="12.75">
      <c r="A16" t="s">
        <v>35</v>
      </c>
      <c r="B16" s="93">
        <v>40374</v>
      </c>
      <c r="C16">
        <v>15</v>
      </c>
      <c r="D16">
        <v>1.575106</v>
      </c>
      <c r="E16">
        <v>1.254104</v>
      </c>
      <c r="F16">
        <v>83.9813</v>
      </c>
      <c r="G16">
        <v>0.4254835</v>
      </c>
      <c r="H16">
        <v>0.2872767</v>
      </c>
      <c r="I16">
        <v>0.3072021</v>
      </c>
      <c r="J16">
        <v>0.3210025</v>
      </c>
      <c r="K16">
        <v>0.3348028</v>
      </c>
      <c r="L16">
        <v>0.3547283</v>
      </c>
      <c r="M16">
        <v>3.774663</v>
      </c>
      <c r="N16">
        <v>54777.92</v>
      </c>
      <c r="O16">
        <v>459.1243456</v>
      </c>
      <c r="P16">
        <v>22857.94</v>
      </c>
      <c r="Q16">
        <v>18199.55</v>
      </c>
    </row>
    <row r="17" spans="1:17" ht="12.75">
      <c r="A17" t="s">
        <v>35</v>
      </c>
      <c r="B17" s="93">
        <v>40374</v>
      </c>
      <c r="C17">
        <v>16</v>
      </c>
      <c r="D17">
        <v>1.587329</v>
      </c>
      <c r="E17">
        <v>1.251698</v>
      </c>
      <c r="F17">
        <v>83.9493</v>
      </c>
      <c r="G17">
        <v>0.4254835</v>
      </c>
      <c r="H17">
        <v>0.3018255</v>
      </c>
      <c r="I17">
        <v>0.3217978</v>
      </c>
      <c r="J17">
        <v>0.3356305</v>
      </c>
      <c r="K17">
        <v>0.3494633</v>
      </c>
      <c r="L17">
        <v>0.3694355</v>
      </c>
      <c r="M17">
        <v>3.774663</v>
      </c>
      <c r="N17">
        <v>54777.92</v>
      </c>
      <c r="O17">
        <v>459.1243456</v>
      </c>
      <c r="P17">
        <v>23035.32</v>
      </c>
      <c r="Q17">
        <v>18164.65</v>
      </c>
    </row>
    <row r="18" spans="1:17" ht="12.75">
      <c r="A18" t="s">
        <v>35</v>
      </c>
      <c r="B18" s="93">
        <v>40374</v>
      </c>
      <c r="C18">
        <v>17</v>
      </c>
      <c r="D18">
        <v>1.46505</v>
      </c>
      <c r="E18">
        <v>1.124939</v>
      </c>
      <c r="F18">
        <v>78.1122</v>
      </c>
      <c r="G18">
        <v>0.4255081</v>
      </c>
      <c r="H18">
        <v>0.3063692</v>
      </c>
      <c r="I18">
        <v>0.3263041</v>
      </c>
      <c r="J18">
        <v>0.340111</v>
      </c>
      <c r="K18">
        <v>0.3539179</v>
      </c>
      <c r="L18">
        <v>0.3738529</v>
      </c>
      <c r="M18">
        <v>3.774663</v>
      </c>
      <c r="N18">
        <v>54777.92</v>
      </c>
      <c r="O18">
        <v>460.1221392</v>
      </c>
      <c r="P18">
        <v>21260.8</v>
      </c>
      <c r="Q18">
        <v>16325.11</v>
      </c>
    </row>
    <row r="19" spans="1:17" ht="12.75">
      <c r="A19" t="s">
        <v>35</v>
      </c>
      <c r="B19" s="93">
        <v>40374</v>
      </c>
      <c r="C19">
        <v>18</v>
      </c>
      <c r="D19">
        <v>1.161824</v>
      </c>
      <c r="E19">
        <v>1.271258</v>
      </c>
      <c r="F19">
        <v>76.0263</v>
      </c>
      <c r="G19">
        <v>0.4258852</v>
      </c>
      <c r="H19">
        <v>-0.1441836</v>
      </c>
      <c r="I19">
        <v>-0.1236534</v>
      </c>
      <c r="J19">
        <v>-0.1094342</v>
      </c>
      <c r="K19">
        <v>-0.0952151</v>
      </c>
      <c r="L19">
        <v>-0.0746849</v>
      </c>
      <c r="M19">
        <v>3.774663</v>
      </c>
      <c r="N19">
        <v>54777.92</v>
      </c>
      <c r="O19">
        <v>458.096539</v>
      </c>
      <c r="P19">
        <v>16860.39</v>
      </c>
      <c r="Q19">
        <v>18448.5</v>
      </c>
    </row>
    <row r="20" spans="1:17" ht="12.75">
      <c r="A20" t="s">
        <v>35</v>
      </c>
      <c r="B20" s="93">
        <v>40374</v>
      </c>
      <c r="C20">
        <v>19</v>
      </c>
      <c r="D20">
        <v>0.794727</v>
      </c>
      <c r="E20">
        <v>0.8670359</v>
      </c>
      <c r="F20">
        <v>72.9042</v>
      </c>
      <c r="G20">
        <v>0.4258852</v>
      </c>
      <c r="H20">
        <v>-0.1060178</v>
      </c>
      <c r="I20">
        <v>-0.0861023</v>
      </c>
      <c r="J20">
        <v>-0.0723089</v>
      </c>
      <c r="K20">
        <v>-0.0585155</v>
      </c>
      <c r="L20">
        <v>-0.0386</v>
      </c>
      <c r="M20">
        <v>3.774663</v>
      </c>
      <c r="N20">
        <v>54777.92</v>
      </c>
      <c r="O20">
        <v>458.096539</v>
      </c>
      <c r="P20">
        <v>11533.08</v>
      </c>
      <c r="Q20">
        <v>12582.42</v>
      </c>
    </row>
    <row r="21" spans="1:17" ht="12.75">
      <c r="A21" t="s">
        <v>35</v>
      </c>
      <c r="B21" s="93">
        <v>40374</v>
      </c>
      <c r="C21">
        <v>20</v>
      </c>
      <c r="D21">
        <v>0.5588306</v>
      </c>
      <c r="E21">
        <v>0.6060187</v>
      </c>
      <c r="F21">
        <v>70.5218</v>
      </c>
      <c r="G21">
        <v>0.4258852</v>
      </c>
      <c r="H21">
        <v>-0.0806134</v>
      </c>
      <c r="I21">
        <v>-0.0608655</v>
      </c>
      <c r="J21">
        <v>-0.0471882</v>
      </c>
      <c r="K21">
        <v>-0.0335108</v>
      </c>
      <c r="L21">
        <v>-0.013763</v>
      </c>
      <c r="M21">
        <v>3.774663</v>
      </c>
      <c r="N21">
        <v>54777.92</v>
      </c>
      <c r="O21">
        <v>458.096539</v>
      </c>
      <c r="P21">
        <v>8109.749</v>
      </c>
      <c r="Q21">
        <v>8794.544</v>
      </c>
    </row>
    <row r="22" spans="1:17" ht="12.75">
      <c r="A22" t="s">
        <v>35</v>
      </c>
      <c r="B22" s="93">
        <v>40374</v>
      </c>
      <c r="C22">
        <v>21</v>
      </c>
      <c r="D22">
        <v>0.4188175</v>
      </c>
      <c r="E22">
        <v>0.4494655</v>
      </c>
      <c r="F22">
        <v>70.3202</v>
      </c>
      <c r="G22">
        <v>0.4258852</v>
      </c>
      <c r="H22">
        <v>-0.0639644</v>
      </c>
      <c r="I22">
        <v>-0.0442807</v>
      </c>
      <c r="J22">
        <v>-0.0306479</v>
      </c>
      <c r="K22">
        <v>-0.0170151</v>
      </c>
      <c r="L22">
        <v>0.0026686</v>
      </c>
      <c r="M22">
        <v>3.774663</v>
      </c>
      <c r="N22">
        <v>54777.92</v>
      </c>
      <c r="O22">
        <v>458.096539</v>
      </c>
      <c r="P22">
        <v>6077.88</v>
      </c>
      <c r="Q22">
        <v>6522.643</v>
      </c>
    </row>
    <row r="23" spans="1:17" ht="12.75">
      <c r="A23" t="s">
        <v>35</v>
      </c>
      <c r="B23" s="93">
        <v>40374</v>
      </c>
      <c r="C23">
        <v>22</v>
      </c>
      <c r="D23">
        <v>0.3165838</v>
      </c>
      <c r="E23">
        <v>0.3363827</v>
      </c>
      <c r="F23">
        <v>70.4407</v>
      </c>
      <c r="G23">
        <v>0.4258852</v>
      </c>
      <c r="H23">
        <v>-0.0530822</v>
      </c>
      <c r="I23">
        <v>-0.0334181</v>
      </c>
      <c r="J23">
        <v>-0.0197989</v>
      </c>
      <c r="K23">
        <v>-0.0061797</v>
      </c>
      <c r="L23">
        <v>0.0134844</v>
      </c>
      <c r="M23">
        <v>3.774663</v>
      </c>
      <c r="N23">
        <v>54777.92</v>
      </c>
      <c r="O23">
        <v>458.096539</v>
      </c>
      <c r="P23">
        <v>4594.264</v>
      </c>
      <c r="Q23">
        <v>4881.585</v>
      </c>
    </row>
    <row r="24" spans="1:17" ht="12.75">
      <c r="A24" t="s">
        <v>35</v>
      </c>
      <c r="B24" s="93">
        <v>40374</v>
      </c>
      <c r="C24">
        <v>23</v>
      </c>
      <c r="D24">
        <v>0.2402405</v>
      </c>
      <c r="E24">
        <v>0.2530614</v>
      </c>
      <c r="F24">
        <v>70.4809</v>
      </c>
      <c r="G24">
        <v>0.4267775</v>
      </c>
      <c r="H24">
        <v>-0.0462118</v>
      </c>
      <c r="I24">
        <v>-0.0264842</v>
      </c>
      <c r="J24">
        <v>-0.0128208</v>
      </c>
      <c r="K24">
        <v>0.0008425</v>
      </c>
      <c r="L24">
        <v>0.0205701</v>
      </c>
      <c r="M24">
        <v>3.774663</v>
      </c>
      <c r="N24">
        <v>54777.92</v>
      </c>
      <c r="O24">
        <v>456.9767043</v>
      </c>
      <c r="P24">
        <v>3486.37</v>
      </c>
      <c r="Q24">
        <v>3672.427</v>
      </c>
    </row>
    <row r="25" spans="1:17" ht="12.75">
      <c r="A25" t="s">
        <v>35</v>
      </c>
      <c r="B25" s="93">
        <v>40374</v>
      </c>
      <c r="C25">
        <v>24</v>
      </c>
      <c r="D25">
        <v>0.1985673</v>
      </c>
      <c r="E25">
        <v>0.1985676</v>
      </c>
      <c r="F25">
        <v>69.4049</v>
      </c>
      <c r="G25">
        <v>0.4258852</v>
      </c>
      <c r="H25">
        <v>-0.0333184</v>
      </c>
      <c r="I25">
        <v>-0.0136338</v>
      </c>
      <c r="J25" s="99">
        <v>-3.43E-07</v>
      </c>
      <c r="K25">
        <v>0.0136331</v>
      </c>
      <c r="L25">
        <v>0.0333177</v>
      </c>
      <c r="M25">
        <v>3.774663</v>
      </c>
      <c r="N25">
        <v>54777.92</v>
      </c>
      <c r="O25">
        <v>458.096539</v>
      </c>
      <c r="P25">
        <v>2881.609</v>
      </c>
      <c r="Q25">
        <v>2881.614</v>
      </c>
    </row>
    <row r="26" spans="1:17" ht="12.75">
      <c r="A26" t="s">
        <v>35</v>
      </c>
      <c r="B26" s="93">
        <v>40375</v>
      </c>
      <c r="C26">
        <v>1</v>
      </c>
      <c r="D26">
        <v>0.1734665</v>
      </c>
      <c r="E26">
        <v>0.1734665</v>
      </c>
      <c r="F26">
        <v>69.3958</v>
      </c>
      <c r="G26">
        <v>0.4242665</v>
      </c>
      <c r="H26">
        <v>0</v>
      </c>
      <c r="I26">
        <v>0</v>
      </c>
      <c r="J26">
        <v>0</v>
      </c>
      <c r="K26">
        <v>0</v>
      </c>
      <c r="L26">
        <v>0</v>
      </c>
      <c r="M26">
        <v>3.774663</v>
      </c>
      <c r="N26">
        <v>54777.92</v>
      </c>
      <c r="O26">
        <v>458.1679099</v>
      </c>
      <c r="P26">
        <v>2517.345</v>
      </c>
      <c r="Q26">
        <v>2517.345</v>
      </c>
    </row>
    <row r="27" spans="1:17" ht="12.75">
      <c r="A27" t="s">
        <v>35</v>
      </c>
      <c r="B27" s="93">
        <v>40375</v>
      </c>
      <c r="C27">
        <v>2</v>
      </c>
      <c r="D27">
        <v>0.1629788</v>
      </c>
      <c r="E27">
        <v>0.1629788</v>
      </c>
      <c r="F27">
        <v>68.8134</v>
      </c>
      <c r="G27">
        <v>0.4249597</v>
      </c>
      <c r="H27">
        <v>0</v>
      </c>
      <c r="I27">
        <v>0</v>
      </c>
      <c r="J27">
        <v>0</v>
      </c>
      <c r="K27">
        <v>0</v>
      </c>
      <c r="L27">
        <v>0</v>
      </c>
      <c r="M27">
        <v>3.774663</v>
      </c>
      <c r="N27">
        <v>54777.92</v>
      </c>
      <c r="O27">
        <v>459.0943325</v>
      </c>
      <c r="P27">
        <v>2365.148</v>
      </c>
      <c r="Q27">
        <v>2365.148</v>
      </c>
    </row>
    <row r="28" spans="1:17" ht="12.75">
      <c r="A28" t="s">
        <v>35</v>
      </c>
      <c r="B28" s="93">
        <v>40375</v>
      </c>
      <c r="C28">
        <v>3</v>
      </c>
      <c r="D28">
        <v>0.1534412</v>
      </c>
      <c r="E28">
        <v>0.1534412</v>
      </c>
      <c r="F28">
        <v>68.8318</v>
      </c>
      <c r="G28">
        <v>0.4249597</v>
      </c>
      <c r="H28">
        <v>0</v>
      </c>
      <c r="I28">
        <v>0</v>
      </c>
      <c r="J28">
        <v>0</v>
      </c>
      <c r="K28">
        <v>0</v>
      </c>
      <c r="L28">
        <v>0</v>
      </c>
      <c r="M28">
        <v>3.774663</v>
      </c>
      <c r="N28">
        <v>54777.92</v>
      </c>
      <c r="O28">
        <v>459.0943325</v>
      </c>
      <c r="P28">
        <v>2226.739</v>
      </c>
      <c r="Q28">
        <v>2226.739</v>
      </c>
    </row>
    <row r="29" spans="1:17" ht="12.75">
      <c r="A29" t="s">
        <v>35</v>
      </c>
      <c r="B29" s="93">
        <v>40375</v>
      </c>
      <c r="C29">
        <v>4</v>
      </c>
      <c r="D29">
        <v>0.1467925</v>
      </c>
      <c r="E29">
        <v>0.1467925</v>
      </c>
      <c r="F29">
        <v>68.001</v>
      </c>
      <c r="G29">
        <v>0.4249597</v>
      </c>
      <c r="H29">
        <v>0</v>
      </c>
      <c r="I29">
        <v>0</v>
      </c>
      <c r="J29">
        <v>0</v>
      </c>
      <c r="K29">
        <v>0</v>
      </c>
      <c r="L29">
        <v>0</v>
      </c>
      <c r="M29">
        <v>3.774663</v>
      </c>
      <c r="N29">
        <v>54777.92</v>
      </c>
      <c r="O29">
        <v>459.0943325</v>
      </c>
      <c r="P29">
        <v>2130.253</v>
      </c>
      <c r="Q29">
        <v>2130.253</v>
      </c>
    </row>
    <row r="30" spans="1:17" ht="12.75">
      <c r="A30" t="s">
        <v>35</v>
      </c>
      <c r="B30" s="93">
        <v>40375</v>
      </c>
      <c r="C30">
        <v>5</v>
      </c>
      <c r="D30">
        <v>0.1457218</v>
      </c>
      <c r="E30">
        <v>0.1457218</v>
      </c>
      <c r="F30">
        <v>67.1068</v>
      </c>
      <c r="G30">
        <v>0.4258852</v>
      </c>
      <c r="H30">
        <v>0</v>
      </c>
      <c r="I30">
        <v>0</v>
      </c>
      <c r="J30">
        <v>0</v>
      </c>
      <c r="K30">
        <v>0</v>
      </c>
      <c r="L30">
        <v>0</v>
      </c>
      <c r="M30">
        <v>3.774663</v>
      </c>
      <c r="N30">
        <v>54777.92</v>
      </c>
      <c r="O30">
        <v>458.096539</v>
      </c>
      <c r="P30">
        <v>2114.715</v>
      </c>
      <c r="Q30">
        <v>2114.715</v>
      </c>
    </row>
    <row r="31" spans="1:17" ht="12.75">
      <c r="A31" t="s">
        <v>35</v>
      </c>
      <c r="B31" s="93">
        <v>40375</v>
      </c>
      <c r="C31">
        <v>6</v>
      </c>
      <c r="D31">
        <v>0.1600835</v>
      </c>
      <c r="E31">
        <v>0.1600835</v>
      </c>
      <c r="F31">
        <v>66.5748</v>
      </c>
      <c r="G31">
        <v>0.4258852</v>
      </c>
      <c r="H31">
        <v>0</v>
      </c>
      <c r="I31">
        <v>0</v>
      </c>
      <c r="J31">
        <v>0</v>
      </c>
      <c r="K31">
        <v>0</v>
      </c>
      <c r="L31">
        <v>0</v>
      </c>
      <c r="M31">
        <v>3.774663</v>
      </c>
      <c r="N31">
        <v>54777.92</v>
      </c>
      <c r="O31">
        <v>458.096539</v>
      </c>
      <c r="P31">
        <v>2323.132</v>
      </c>
      <c r="Q31">
        <v>2323.132</v>
      </c>
    </row>
    <row r="32" spans="1:17" ht="12.75">
      <c r="A32" t="s">
        <v>35</v>
      </c>
      <c r="B32" s="93">
        <v>40375</v>
      </c>
      <c r="C32">
        <v>7</v>
      </c>
      <c r="D32">
        <v>0.2105869</v>
      </c>
      <c r="E32">
        <v>0.2105869</v>
      </c>
      <c r="F32">
        <v>69.5053</v>
      </c>
      <c r="G32">
        <v>0.4258852</v>
      </c>
      <c r="H32">
        <v>0</v>
      </c>
      <c r="I32">
        <v>0</v>
      </c>
      <c r="J32">
        <v>0</v>
      </c>
      <c r="K32">
        <v>0</v>
      </c>
      <c r="L32">
        <v>0</v>
      </c>
      <c r="M32">
        <v>3.774663</v>
      </c>
      <c r="N32">
        <v>54777.92</v>
      </c>
      <c r="O32">
        <v>458.096539</v>
      </c>
      <c r="P32">
        <v>3056.037</v>
      </c>
      <c r="Q32">
        <v>3056.037</v>
      </c>
    </row>
    <row r="33" spans="1:17" ht="12.75">
      <c r="A33" t="s">
        <v>35</v>
      </c>
      <c r="B33" s="93">
        <v>40375</v>
      </c>
      <c r="C33">
        <v>8</v>
      </c>
      <c r="D33">
        <v>0.3784832</v>
      </c>
      <c r="E33">
        <v>0.3784832</v>
      </c>
      <c r="F33">
        <v>73.7327</v>
      </c>
      <c r="G33">
        <v>0.4249597</v>
      </c>
      <c r="H33">
        <v>0</v>
      </c>
      <c r="I33">
        <v>0</v>
      </c>
      <c r="J33">
        <v>0</v>
      </c>
      <c r="K33">
        <v>0</v>
      </c>
      <c r="L33">
        <v>0</v>
      </c>
      <c r="M33">
        <v>3.774663</v>
      </c>
      <c r="N33">
        <v>54777.92</v>
      </c>
      <c r="O33">
        <v>459.0943325</v>
      </c>
      <c r="P33">
        <v>5492.549</v>
      </c>
      <c r="Q33">
        <v>5492.549</v>
      </c>
    </row>
    <row r="34" spans="1:17" ht="12.75">
      <c r="A34" t="s">
        <v>35</v>
      </c>
      <c r="B34" s="93">
        <v>40375</v>
      </c>
      <c r="C34">
        <v>9</v>
      </c>
      <c r="D34">
        <v>0.6454647</v>
      </c>
      <c r="E34">
        <v>0.6454647</v>
      </c>
      <c r="F34">
        <v>79.3068</v>
      </c>
      <c r="G34">
        <v>0.4249597</v>
      </c>
      <c r="H34">
        <v>0</v>
      </c>
      <c r="I34">
        <v>0</v>
      </c>
      <c r="J34">
        <v>0</v>
      </c>
      <c r="K34">
        <v>0</v>
      </c>
      <c r="L34">
        <v>0</v>
      </c>
      <c r="M34">
        <v>3.774663</v>
      </c>
      <c r="N34">
        <v>54777.92</v>
      </c>
      <c r="O34">
        <v>459.0943325</v>
      </c>
      <c r="P34">
        <v>9366.984</v>
      </c>
      <c r="Q34">
        <v>9366.984</v>
      </c>
    </row>
    <row r="35" spans="1:17" ht="12.75">
      <c r="A35" t="s">
        <v>35</v>
      </c>
      <c r="B35" s="93">
        <v>40375</v>
      </c>
      <c r="C35">
        <v>10</v>
      </c>
      <c r="D35">
        <v>0.9800038</v>
      </c>
      <c r="E35">
        <v>0.9800038</v>
      </c>
      <c r="F35">
        <v>82.6309</v>
      </c>
      <c r="G35">
        <v>0.4249597</v>
      </c>
      <c r="H35">
        <v>0</v>
      </c>
      <c r="I35">
        <v>0</v>
      </c>
      <c r="J35">
        <v>0</v>
      </c>
      <c r="K35">
        <v>0</v>
      </c>
      <c r="L35">
        <v>0</v>
      </c>
      <c r="M35">
        <v>3.774663</v>
      </c>
      <c r="N35">
        <v>54777.92</v>
      </c>
      <c r="O35">
        <v>459.0943325</v>
      </c>
      <c r="P35">
        <v>14221.82</v>
      </c>
      <c r="Q35">
        <v>14221.82</v>
      </c>
    </row>
    <row r="36" spans="1:17" ht="12.75">
      <c r="A36" t="s">
        <v>35</v>
      </c>
      <c r="B36" s="93">
        <v>40375</v>
      </c>
      <c r="C36">
        <v>11</v>
      </c>
      <c r="D36">
        <v>1.313145</v>
      </c>
      <c r="E36">
        <v>1.313145</v>
      </c>
      <c r="F36">
        <v>84.7633</v>
      </c>
      <c r="G36">
        <v>0.4258852</v>
      </c>
      <c r="H36">
        <v>0</v>
      </c>
      <c r="I36">
        <v>0</v>
      </c>
      <c r="J36">
        <v>0</v>
      </c>
      <c r="K36">
        <v>0</v>
      </c>
      <c r="L36">
        <v>0</v>
      </c>
      <c r="M36">
        <v>3.774663</v>
      </c>
      <c r="N36">
        <v>54777.92</v>
      </c>
      <c r="O36">
        <v>458.096539</v>
      </c>
      <c r="P36">
        <v>19056.36</v>
      </c>
      <c r="Q36">
        <v>19056.36</v>
      </c>
    </row>
    <row r="37" spans="1:17" ht="12.75">
      <c r="A37" t="s">
        <v>35</v>
      </c>
      <c r="B37" s="93">
        <v>40375</v>
      </c>
      <c r="C37">
        <v>12</v>
      </c>
      <c r="D37">
        <v>1.601906</v>
      </c>
      <c r="E37">
        <v>1.601906</v>
      </c>
      <c r="F37">
        <v>87.6651</v>
      </c>
      <c r="G37">
        <v>0.4258852</v>
      </c>
      <c r="H37">
        <v>0</v>
      </c>
      <c r="I37">
        <v>0</v>
      </c>
      <c r="J37">
        <v>0</v>
      </c>
      <c r="K37">
        <v>0</v>
      </c>
      <c r="L37">
        <v>0</v>
      </c>
      <c r="M37">
        <v>3.774663</v>
      </c>
      <c r="N37">
        <v>54777.92</v>
      </c>
      <c r="O37">
        <v>458.096539</v>
      </c>
      <c r="P37">
        <v>23246.86</v>
      </c>
      <c r="Q37">
        <v>23246.86</v>
      </c>
    </row>
    <row r="38" spans="1:17" ht="12.75">
      <c r="A38" t="s">
        <v>35</v>
      </c>
      <c r="B38" s="93">
        <v>40375</v>
      </c>
      <c r="C38">
        <v>13</v>
      </c>
      <c r="D38">
        <v>1.784421</v>
      </c>
      <c r="E38">
        <v>1.784421</v>
      </c>
      <c r="F38">
        <v>88.7983</v>
      </c>
      <c r="G38">
        <v>0.4267775</v>
      </c>
      <c r="H38">
        <v>0</v>
      </c>
      <c r="I38">
        <v>0</v>
      </c>
      <c r="J38">
        <v>0</v>
      </c>
      <c r="K38">
        <v>0</v>
      </c>
      <c r="L38">
        <v>0</v>
      </c>
      <c r="M38">
        <v>3.774663</v>
      </c>
      <c r="N38">
        <v>54777.92</v>
      </c>
      <c r="O38">
        <v>456.9767043</v>
      </c>
      <c r="P38">
        <v>25895.52</v>
      </c>
      <c r="Q38">
        <v>25895.52</v>
      </c>
    </row>
    <row r="39" spans="1:17" ht="12.75">
      <c r="A39" t="s">
        <v>35</v>
      </c>
      <c r="B39" s="93">
        <v>40375</v>
      </c>
      <c r="C39">
        <v>14</v>
      </c>
      <c r="D39">
        <v>1.82513</v>
      </c>
      <c r="E39">
        <v>1.483184</v>
      </c>
      <c r="F39">
        <v>88.4605</v>
      </c>
      <c r="G39">
        <v>0.4249597</v>
      </c>
      <c r="H39">
        <v>0.3074562</v>
      </c>
      <c r="I39">
        <v>0.3278327</v>
      </c>
      <c r="J39">
        <v>0.3419454</v>
      </c>
      <c r="K39">
        <v>0.3560581</v>
      </c>
      <c r="L39">
        <v>0.3764347</v>
      </c>
      <c r="M39">
        <v>3.774663</v>
      </c>
      <c r="N39">
        <v>54777.92</v>
      </c>
      <c r="O39">
        <v>459.0943325</v>
      </c>
      <c r="P39">
        <v>26486.28</v>
      </c>
      <c r="Q39">
        <v>21523.97</v>
      </c>
    </row>
    <row r="40" spans="1:17" ht="12.75">
      <c r="A40" t="s">
        <v>35</v>
      </c>
      <c r="B40" s="93">
        <v>40375</v>
      </c>
      <c r="C40">
        <v>15</v>
      </c>
      <c r="D40">
        <v>1.862334</v>
      </c>
      <c r="E40">
        <v>1.504573</v>
      </c>
      <c r="F40">
        <v>86.6752</v>
      </c>
      <c r="G40">
        <v>0.4249597</v>
      </c>
      <c r="H40">
        <v>0.3234316</v>
      </c>
      <c r="I40">
        <v>0.3437136</v>
      </c>
      <c r="J40">
        <v>0.3577608</v>
      </c>
      <c r="K40">
        <v>0.371808</v>
      </c>
      <c r="L40">
        <v>0.39209</v>
      </c>
      <c r="M40">
        <v>3.774663</v>
      </c>
      <c r="N40">
        <v>54777.92</v>
      </c>
      <c r="O40">
        <v>459.0943325</v>
      </c>
      <c r="P40">
        <v>27026.19</v>
      </c>
      <c r="Q40">
        <v>21834.36</v>
      </c>
    </row>
    <row r="41" spans="1:17" ht="12.75">
      <c r="A41" t="s">
        <v>35</v>
      </c>
      <c r="B41" s="93">
        <v>40375</v>
      </c>
      <c r="C41">
        <v>16</v>
      </c>
      <c r="D41">
        <v>1.822568</v>
      </c>
      <c r="E41">
        <v>1.454408</v>
      </c>
      <c r="F41">
        <v>83.808</v>
      </c>
      <c r="G41">
        <v>0.4249597</v>
      </c>
      <c r="H41">
        <v>0.3338404</v>
      </c>
      <c r="I41">
        <v>0.3541168</v>
      </c>
      <c r="J41">
        <v>0.3681602</v>
      </c>
      <c r="K41">
        <v>0.3822037</v>
      </c>
      <c r="L41">
        <v>0.4024801</v>
      </c>
      <c r="M41">
        <v>3.774663</v>
      </c>
      <c r="N41">
        <v>54777.92</v>
      </c>
      <c r="O41">
        <v>459.0943325</v>
      </c>
      <c r="P41">
        <v>26449.11</v>
      </c>
      <c r="Q41">
        <v>21106.37</v>
      </c>
    </row>
    <row r="42" spans="1:17" ht="12.75">
      <c r="A42" t="s">
        <v>35</v>
      </c>
      <c r="B42" s="93">
        <v>40375</v>
      </c>
      <c r="C42">
        <v>17</v>
      </c>
      <c r="D42">
        <v>1.678891</v>
      </c>
      <c r="E42">
        <v>1.306435</v>
      </c>
      <c r="F42">
        <v>80.3007</v>
      </c>
      <c r="G42">
        <v>0.4249597</v>
      </c>
      <c r="H42">
        <v>0.3381883</v>
      </c>
      <c r="I42">
        <v>0.3584336</v>
      </c>
      <c r="J42">
        <v>0.3724555</v>
      </c>
      <c r="K42">
        <v>0.3864774</v>
      </c>
      <c r="L42">
        <v>0.4067227</v>
      </c>
      <c r="M42">
        <v>3.774663</v>
      </c>
      <c r="N42">
        <v>54777.92</v>
      </c>
      <c r="O42">
        <v>459.0943325</v>
      </c>
      <c r="P42">
        <v>24364.06</v>
      </c>
      <c r="Q42">
        <v>18958.99</v>
      </c>
    </row>
    <row r="43" spans="1:17" ht="12.75">
      <c r="A43" t="s">
        <v>35</v>
      </c>
      <c r="B43" s="93">
        <v>40375</v>
      </c>
      <c r="C43">
        <v>18</v>
      </c>
      <c r="D43">
        <v>1.340103</v>
      </c>
      <c r="E43">
        <v>1.45904</v>
      </c>
      <c r="F43">
        <v>79.276</v>
      </c>
      <c r="G43">
        <v>0.4249597</v>
      </c>
      <c r="H43">
        <v>-0.1542114</v>
      </c>
      <c r="I43">
        <v>-0.1333709</v>
      </c>
      <c r="J43">
        <v>-0.1189369</v>
      </c>
      <c r="K43">
        <v>-0.1045029</v>
      </c>
      <c r="L43">
        <v>-0.0836624</v>
      </c>
      <c r="M43">
        <v>3.774663</v>
      </c>
      <c r="N43">
        <v>54777.92</v>
      </c>
      <c r="O43">
        <v>459.0943325</v>
      </c>
      <c r="P43">
        <v>19447.58</v>
      </c>
      <c r="Q43">
        <v>21173.59</v>
      </c>
    </row>
    <row r="44" spans="1:17" ht="12.75">
      <c r="A44" t="s">
        <v>35</v>
      </c>
      <c r="B44" s="93">
        <v>40375</v>
      </c>
      <c r="C44">
        <v>19</v>
      </c>
      <c r="D44">
        <v>0.9225836</v>
      </c>
      <c r="E44">
        <v>1.001739</v>
      </c>
      <c r="F44">
        <v>76.4482</v>
      </c>
      <c r="G44">
        <v>0.4249597</v>
      </c>
      <c r="H44">
        <v>-0.1132636</v>
      </c>
      <c r="I44">
        <v>-0.0931124</v>
      </c>
      <c r="J44">
        <v>-0.0791557</v>
      </c>
      <c r="K44">
        <v>-0.065199</v>
      </c>
      <c r="L44">
        <v>-0.0450477</v>
      </c>
      <c r="M44">
        <v>3.774663</v>
      </c>
      <c r="N44">
        <v>54777.92</v>
      </c>
      <c r="O44">
        <v>459.0943325</v>
      </c>
      <c r="P44">
        <v>13388.53</v>
      </c>
      <c r="Q44">
        <v>14537.24</v>
      </c>
    </row>
    <row r="45" spans="1:17" ht="12.75">
      <c r="A45" t="s">
        <v>35</v>
      </c>
      <c r="B45" s="93">
        <v>40375</v>
      </c>
      <c r="C45">
        <v>20</v>
      </c>
      <c r="D45">
        <v>0.6466135</v>
      </c>
      <c r="E45">
        <v>0.6983998</v>
      </c>
      <c r="F45">
        <v>73.0888</v>
      </c>
      <c r="G45">
        <v>0.4249597</v>
      </c>
      <c r="H45">
        <v>-0.0856151</v>
      </c>
      <c r="I45">
        <v>-0.0656287</v>
      </c>
      <c r="J45">
        <v>-0.0517862</v>
      </c>
      <c r="K45">
        <v>-0.0379437</v>
      </c>
      <c r="L45">
        <v>-0.0179574</v>
      </c>
      <c r="M45">
        <v>3.774663</v>
      </c>
      <c r="N45">
        <v>54777.92</v>
      </c>
      <c r="O45">
        <v>459.0943325</v>
      </c>
      <c r="P45">
        <v>9383.656</v>
      </c>
      <c r="Q45">
        <v>10135.18</v>
      </c>
    </row>
    <row r="46" spans="1:17" ht="12.75">
      <c r="A46" t="s">
        <v>35</v>
      </c>
      <c r="B46" s="93">
        <v>40375</v>
      </c>
      <c r="C46">
        <v>21</v>
      </c>
      <c r="D46">
        <v>0.4795586</v>
      </c>
      <c r="E46">
        <v>0.5131221</v>
      </c>
      <c r="F46">
        <v>71.1494</v>
      </c>
      <c r="G46">
        <v>0.4258478</v>
      </c>
      <c r="H46">
        <v>-0.0673221</v>
      </c>
      <c r="I46">
        <v>-0.0473772</v>
      </c>
      <c r="J46">
        <v>-0.0335635</v>
      </c>
      <c r="K46">
        <v>-0.0197497</v>
      </c>
      <c r="L46">
        <v>0.0001952</v>
      </c>
      <c r="M46">
        <v>3.774663</v>
      </c>
      <c r="N46">
        <v>54777.92</v>
      </c>
      <c r="O46">
        <v>457.9744979</v>
      </c>
      <c r="P46">
        <v>6959.354</v>
      </c>
      <c r="Q46">
        <v>7446.428</v>
      </c>
    </row>
    <row r="47" spans="1:17" ht="12.75">
      <c r="A47" t="s">
        <v>35</v>
      </c>
      <c r="B47" s="93">
        <v>40375</v>
      </c>
      <c r="C47">
        <v>22</v>
      </c>
      <c r="D47">
        <v>0.3539912</v>
      </c>
      <c r="E47">
        <v>0.3753807</v>
      </c>
      <c r="F47">
        <v>69.6986</v>
      </c>
      <c r="G47">
        <v>0.4249597</v>
      </c>
      <c r="H47">
        <v>-0.0549646</v>
      </c>
      <c r="I47">
        <v>-0.0351281</v>
      </c>
      <c r="J47">
        <v>-0.0213895</v>
      </c>
      <c r="K47">
        <v>-0.0076508</v>
      </c>
      <c r="L47">
        <v>0.0121857</v>
      </c>
      <c r="M47">
        <v>3.774663</v>
      </c>
      <c r="N47">
        <v>54777.92</v>
      </c>
      <c r="O47">
        <v>459.0943325</v>
      </c>
      <c r="P47">
        <v>5137.121</v>
      </c>
      <c r="Q47">
        <v>5447.524</v>
      </c>
    </row>
    <row r="48" spans="1:17" ht="12.75">
      <c r="A48" t="s">
        <v>35</v>
      </c>
      <c r="B48" s="93">
        <v>40375</v>
      </c>
      <c r="C48">
        <v>23</v>
      </c>
      <c r="D48">
        <v>0.2601676</v>
      </c>
      <c r="E48">
        <v>0.273784</v>
      </c>
      <c r="F48">
        <v>69.0374</v>
      </c>
      <c r="G48">
        <v>0.4249597</v>
      </c>
      <c r="H48">
        <v>-0.0471432</v>
      </c>
      <c r="I48">
        <v>-0.0273353</v>
      </c>
      <c r="J48">
        <v>-0.0136165</v>
      </c>
      <c r="K48">
        <v>0.0001024</v>
      </c>
      <c r="L48">
        <v>0.0199102</v>
      </c>
      <c r="M48">
        <v>3.774663</v>
      </c>
      <c r="N48">
        <v>54777.92</v>
      </c>
      <c r="O48">
        <v>459.0943325</v>
      </c>
      <c r="P48">
        <v>3775.552</v>
      </c>
      <c r="Q48">
        <v>3973.154</v>
      </c>
    </row>
    <row r="49" spans="1:17" ht="12.75">
      <c r="A49" t="s">
        <v>35</v>
      </c>
      <c r="B49" s="93">
        <v>40375</v>
      </c>
      <c r="C49">
        <v>24</v>
      </c>
      <c r="D49">
        <v>0.2109245</v>
      </c>
      <c r="E49">
        <v>0.2109248</v>
      </c>
      <c r="F49">
        <v>68.6579</v>
      </c>
      <c r="G49">
        <v>0.4249597</v>
      </c>
      <c r="H49">
        <v>-0.0334932</v>
      </c>
      <c r="I49">
        <v>-0.0137054</v>
      </c>
      <c r="J49" s="99">
        <v>-3.58E-07</v>
      </c>
      <c r="K49">
        <v>0.0137047</v>
      </c>
      <c r="L49">
        <v>0.0334925</v>
      </c>
      <c r="M49">
        <v>3.774663</v>
      </c>
      <c r="N49">
        <v>54777.92</v>
      </c>
      <c r="O49">
        <v>459.0943325</v>
      </c>
      <c r="P49">
        <v>3060.936</v>
      </c>
      <c r="Q49">
        <v>3060.941</v>
      </c>
    </row>
    <row r="50" spans="1:17" ht="12.75">
      <c r="A50" t="s">
        <v>35</v>
      </c>
      <c r="B50" s="93">
        <v>40407</v>
      </c>
      <c r="C50">
        <v>1</v>
      </c>
      <c r="D50">
        <v>0.1317012</v>
      </c>
      <c r="E50">
        <v>0.1317012</v>
      </c>
      <c r="F50">
        <v>65.0461</v>
      </c>
      <c r="G50">
        <v>0.4241973</v>
      </c>
      <c r="H50">
        <v>0</v>
      </c>
      <c r="I50">
        <v>0</v>
      </c>
      <c r="J50">
        <v>0</v>
      </c>
      <c r="K50">
        <v>0</v>
      </c>
      <c r="L50">
        <v>0</v>
      </c>
      <c r="M50">
        <v>3.774663</v>
      </c>
      <c r="N50">
        <v>54777.92</v>
      </c>
      <c r="O50">
        <v>455.9789107</v>
      </c>
      <c r="P50">
        <v>1911.247</v>
      </c>
      <c r="Q50">
        <v>1911.247</v>
      </c>
    </row>
    <row r="51" spans="1:17" ht="12.75">
      <c r="A51" t="s">
        <v>35</v>
      </c>
      <c r="B51" s="93">
        <v>40407</v>
      </c>
      <c r="C51">
        <v>2</v>
      </c>
      <c r="D51">
        <v>0.1265486</v>
      </c>
      <c r="E51">
        <v>0.1265486</v>
      </c>
      <c r="F51">
        <v>64.6648</v>
      </c>
      <c r="G51">
        <v>0.4241973</v>
      </c>
      <c r="H51">
        <v>0</v>
      </c>
      <c r="I51">
        <v>0</v>
      </c>
      <c r="J51">
        <v>0</v>
      </c>
      <c r="K51">
        <v>0</v>
      </c>
      <c r="L51">
        <v>0</v>
      </c>
      <c r="M51">
        <v>3.774663</v>
      </c>
      <c r="N51">
        <v>54777.92</v>
      </c>
      <c r="O51">
        <v>455.9789107</v>
      </c>
      <c r="P51">
        <v>1836.474</v>
      </c>
      <c r="Q51">
        <v>1836.474</v>
      </c>
    </row>
    <row r="52" spans="1:17" ht="12.75">
      <c r="A52" t="s">
        <v>35</v>
      </c>
      <c r="B52" s="93">
        <v>40407</v>
      </c>
      <c r="C52">
        <v>3</v>
      </c>
      <c r="D52">
        <v>0.1220304</v>
      </c>
      <c r="E52">
        <v>0.1220304</v>
      </c>
      <c r="F52">
        <v>64.7269</v>
      </c>
      <c r="G52">
        <v>0.4241973</v>
      </c>
      <c r="H52">
        <v>0</v>
      </c>
      <c r="I52">
        <v>0</v>
      </c>
      <c r="J52">
        <v>0</v>
      </c>
      <c r="K52">
        <v>0</v>
      </c>
      <c r="L52">
        <v>0</v>
      </c>
      <c r="M52">
        <v>3.774663</v>
      </c>
      <c r="N52">
        <v>54777.92</v>
      </c>
      <c r="O52">
        <v>455.9789107</v>
      </c>
      <c r="P52">
        <v>1770.905</v>
      </c>
      <c r="Q52">
        <v>1770.905</v>
      </c>
    </row>
    <row r="53" spans="1:17" ht="12.75">
      <c r="A53" t="s">
        <v>35</v>
      </c>
      <c r="B53" s="93">
        <v>40407</v>
      </c>
      <c r="C53">
        <v>4</v>
      </c>
      <c r="D53">
        <v>0.1195418</v>
      </c>
      <c r="E53">
        <v>0.1195418</v>
      </c>
      <c r="F53">
        <v>64.5207</v>
      </c>
      <c r="G53">
        <v>0.4241973</v>
      </c>
      <c r="H53">
        <v>0</v>
      </c>
      <c r="I53">
        <v>0</v>
      </c>
      <c r="J53">
        <v>0</v>
      </c>
      <c r="K53">
        <v>0</v>
      </c>
      <c r="L53">
        <v>0</v>
      </c>
      <c r="M53">
        <v>3.774663</v>
      </c>
      <c r="N53">
        <v>54777.92</v>
      </c>
      <c r="O53">
        <v>455.9789107</v>
      </c>
      <c r="P53">
        <v>1734.791</v>
      </c>
      <c r="Q53">
        <v>1734.791</v>
      </c>
    </row>
    <row r="54" spans="1:17" ht="12.75">
      <c r="A54" t="s">
        <v>35</v>
      </c>
      <c r="B54" s="93">
        <v>40407</v>
      </c>
      <c r="C54">
        <v>5</v>
      </c>
      <c r="D54">
        <v>0.1201567</v>
      </c>
      <c r="E54">
        <v>0.1201567</v>
      </c>
      <c r="F54">
        <v>64.2428</v>
      </c>
      <c r="G54">
        <v>0.4241973</v>
      </c>
      <c r="H54">
        <v>0</v>
      </c>
      <c r="I54">
        <v>0</v>
      </c>
      <c r="J54">
        <v>0</v>
      </c>
      <c r="K54">
        <v>0</v>
      </c>
      <c r="L54">
        <v>0</v>
      </c>
      <c r="M54">
        <v>3.774663</v>
      </c>
      <c r="N54">
        <v>54777.92</v>
      </c>
      <c r="O54">
        <v>455.9789107</v>
      </c>
      <c r="P54">
        <v>1743.714</v>
      </c>
      <c r="Q54">
        <v>1743.714</v>
      </c>
    </row>
    <row r="55" spans="1:17" ht="12.75">
      <c r="A55" t="s">
        <v>35</v>
      </c>
      <c r="B55" s="93">
        <v>40407</v>
      </c>
      <c r="C55">
        <v>6</v>
      </c>
      <c r="D55">
        <v>0.1310936</v>
      </c>
      <c r="E55">
        <v>0.1310936</v>
      </c>
      <c r="F55">
        <v>64.0284</v>
      </c>
      <c r="G55">
        <v>0.4241973</v>
      </c>
      <c r="H55">
        <v>0</v>
      </c>
      <c r="I55">
        <v>0</v>
      </c>
      <c r="J55">
        <v>0</v>
      </c>
      <c r="K55">
        <v>0</v>
      </c>
      <c r="L55">
        <v>0</v>
      </c>
      <c r="M55">
        <v>3.774663</v>
      </c>
      <c r="N55">
        <v>54777.92</v>
      </c>
      <c r="O55">
        <v>455.9789107</v>
      </c>
      <c r="P55">
        <v>1902.43</v>
      </c>
      <c r="Q55">
        <v>1902.43</v>
      </c>
    </row>
    <row r="56" spans="1:17" ht="12.75">
      <c r="A56" t="s">
        <v>35</v>
      </c>
      <c r="B56" s="93">
        <v>40407</v>
      </c>
      <c r="C56">
        <v>7</v>
      </c>
      <c r="D56">
        <v>0.1683959</v>
      </c>
      <c r="E56">
        <v>0.1683959</v>
      </c>
      <c r="F56">
        <v>65.7895</v>
      </c>
      <c r="G56">
        <v>0.4241973</v>
      </c>
      <c r="H56">
        <v>0</v>
      </c>
      <c r="I56">
        <v>0</v>
      </c>
      <c r="J56">
        <v>0</v>
      </c>
      <c r="K56">
        <v>0</v>
      </c>
      <c r="L56">
        <v>0</v>
      </c>
      <c r="M56">
        <v>3.774663</v>
      </c>
      <c r="N56">
        <v>54777.92</v>
      </c>
      <c r="O56">
        <v>455.9789107</v>
      </c>
      <c r="P56">
        <v>2443.762</v>
      </c>
      <c r="Q56">
        <v>2443.762</v>
      </c>
    </row>
    <row r="57" spans="1:17" ht="12.75">
      <c r="A57" t="s">
        <v>35</v>
      </c>
      <c r="B57" s="93">
        <v>40407</v>
      </c>
      <c r="C57">
        <v>8</v>
      </c>
      <c r="D57">
        <v>0.2839585</v>
      </c>
      <c r="E57">
        <v>0.2839585</v>
      </c>
      <c r="F57">
        <v>70.078</v>
      </c>
      <c r="G57">
        <v>0.4241973</v>
      </c>
      <c r="H57">
        <v>0</v>
      </c>
      <c r="I57">
        <v>0</v>
      </c>
      <c r="J57">
        <v>0</v>
      </c>
      <c r="K57">
        <v>0</v>
      </c>
      <c r="L57">
        <v>0</v>
      </c>
      <c r="M57">
        <v>3.774663</v>
      </c>
      <c r="N57">
        <v>54777.92</v>
      </c>
      <c r="O57">
        <v>455.9789107</v>
      </c>
      <c r="P57">
        <v>4120.805</v>
      </c>
      <c r="Q57">
        <v>4120.805</v>
      </c>
    </row>
    <row r="58" spans="1:17" ht="12.75">
      <c r="A58" t="s">
        <v>35</v>
      </c>
      <c r="B58" s="93">
        <v>40407</v>
      </c>
      <c r="C58">
        <v>9</v>
      </c>
      <c r="D58">
        <v>0.4622905</v>
      </c>
      <c r="E58">
        <v>0.4622905</v>
      </c>
      <c r="F58">
        <v>74.5999</v>
      </c>
      <c r="G58">
        <v>0.4241973</v>
      </c>
      <c r="H58">
        <v>0</v>
      </c>
      <c r="I58">
        <v>0</v>
      </c>
      <c r="J58">
        <v>0</v>
      </c>
      <c r="K58">
        <v>0</v>
      </c>
      <c r="L58">
        <v>0</v>
      </c>
      <c r="M58">
        <v>3.774663</v>
      </c>
      <c r="N58">
        <v>54777.92</v>
      </c>
      <c r="O58">
        <v>455.9789107</v>
      </c>
      <c r="P58">
        <v>6708.759</v>
      </c>
      <c r="Q58">
        <v>6708.759</v>
      </c>
    </row>
    <row r="59" spans="1:17" ht="12.75">
      <c r="A59" t="s">
        <v>35</v>
      </c>
      <c r="B59" s="93">
        <v>40407</v>
      </c>
      <c r="C59">
        <v>10</v>
      </c>
      <c r="D59">
        <v>0.715274</v>
      </c>
      <c r="E59">
        <v>0.715274</v>
      </c>
      <c r="F59">
        <v>79.6177</v>
      </c>
      <c r="G59">
        <v>0.4241973</v>
      </c>
      <c r="H59">
        <v>0</v>
      </c>
      <c r="I59">
        <v>0</v>
      </c>
      <c r="J59">
        <v>0</v>
      </c>
      <c r="K59">
        <v>0</v>
      </c>
      <c r="L59">
        <v>0</v>
      </c>
      <c r="M59">
        <v>3.774663</v>
      </c>
      <c r="N59">
        <v>54777.92</v>
      </c>
      <c r="O59">
        <v>455.9789107</v>
      </c>
      <c r="P59">
        <v>10380.06</v>
      </c>
      <c r="Q59">
        <v>10380.06</v>
      </c>
    </row>
    <row r="60" spans="1:17" ht="12.75">
      <c r="A60" t="s">
        <v>35</v>
      </c>
      <c r="B60" s="93">
        <v>40407</v>
      </c>
      <c r="C60">
        <v>11</v>
      </c>
      <c r="D60">
        <v>1.001974</v>
      </c>
      <c r="E60">
        <v>1.001974</v>
      </c>
      <c r="F60">
        <v>82.4005</v>
      </c>
      <c r="G60">
        <v>0.4241973</v>
      </c>
      <c r="H60">
        <v>0</v>
      </c>
      <c r="I60">
        <v>0</v>
      </c>
      <c r="J60">
        <v>0</v>
      </c>
      <c r="K60">
        <v>0</v>
      </c>
      <c r="L60">
        <v>0</v>
      </c>
      <c r="M60">
        <v>3.774663</v>
      </c>
      <c r="N60">
        <v>54777.92</v>
      </c>
      <c r="O60">
        <v>455.9789107</v>
      </c>
      <c r="P60">
        <v>14540.65</v>
      </c>
      <c r="Q60">
        <v>14540.65</v>
      </c>
    </row>
    <row r="61" spans="1:17" ht="12.75">
      <c r="A61" t="s">
        <v>35</v>
      </c>
      <c r="B61" s="93">
        <v>40407</v>
      </c>
      <c r="C61">
        <v>12</v>
      </c>
      <c r="D61">
        <v>1.246597</v>
      </c>
      <c r="E61">
        <v>1.246597</v>
      </c>
      <c r="F61">
        <v>83.6421</v>
      </c>
      <c r="G61">
        <v>0.4241973</v>
      </c>
      <c r="H61">
        <v>0</v>
      </c>
      <c r="I61">
        <v>0</v>
      </c>
      <c r="J61">
        <v>0</v>
      </c>
      <c r="K61">
        <v>0</v>
      </c>
      <c r="L61">
        <v>0</v>
      </c>
      <c r="M61">
        <v>3.774663</v>
      </c>
      <c r="N61">
        <v>54777.92</v>
      </c>
      <c r="O61">
        <v>455.9789107</v>
      </c>
      <c r="P61">
        <v>18090.61</v>
      </c>
      <c r="Q61">
        <v>18090.61</v>
      </c>
    </row>
    <row r="62" spans="1:17" ht="12.75">
      <c r="A62" t="s">
        <v>35</v>
      </c>
      <c r="B62" s="93">
        <v>40407</v>
      </c>
      <c r="C62">
        <v>13</v>
      </c>
      <c r="D62">
        <v>1.399969</v>
      </c>
      <c r="E62">
        <v>1.399969</v>
      </c>
      <c r="F62">
        <v>82.8593</v>
      </c>
      <c r="G62">
        <v>0.4241973</v>
      </c>
      <c r="H62">
        <v>0</v>
      </c>
      <c r="I62">
        <v>0</v>
      </c>
      <c r="J62">
        <v>0</v>
      </c>
      <c r="K62">
        <v>0</v>
      </c>
      <c r="L62">
        <v>0</v>
      </c>
      <c r="M62">
        <v>3.774663</v>
      </c>
      <c r="N62">
        <v>54777.92</v>
      </c>
      <c r="O62">
        <v>455.9789107</v>
      </c>
      <c r="P62">
        <v>20316.36</v>
      </c>
      <c r="Q62">
        <v>20316.36</v>
      </c>
    </row>
    <row r="63" spans="1:17" ht="12.75">
      <c r="A63" t="s">
        <v>35</v>
      </c>
      <c r="B63" s="93">
        <v>40407</v>
      </c>
      <c r="C63">
        <v>14</v>
      </c>
      <c r="D63">
        <v>1.465691</v>
      </c>
      <c r="E63">
        <v>1.167614</v>
      </c>
      <c r="F63">
        <v>83.31</v>
      </c>
      <c r="G63">
        <v>0.4241973</v>
      </c>
      <c r="H63">
        <v>0.2644165</v>
      </c>
      <c r="I63">
        <v>0.2843035</v>
      </c>
      <c r="J63">
        <v>0.2980772</v>
      </c>
      <c r="K63">
        <v>0.3118509</v>
      </c>
      <c r="L63">
        <v>0.3317379</v>
      </c>
      <c r="M63">
        <v>3.774663</v>
      </c>
      <c r="N63">
        <v>54777.92</v>
      </c>
      <c r="O63">
        <v>455.9789107</v>
      </c>
      <c r="P63">
        <v>21270.11</v>
      </c>
      <c r="Q63">
        <v>16944.41</v>
      </c>
    </row>
    <row r="64" spans="1:17" ht="12.75">
      <c r="A64" t="s">
        <v>35</v>
      </c>
      <c r="B64" s="93">
        <v>40407</v>
      </c>
      <c r="C64">
        <v>15</v>
      </c>
      <c r="D64">
        <v>1.516082</v>
      </c>
      <c r="E64">
        <v>1.201841</v>
      </c>
      <c r="F64">
        <v>82.8168</v>
      </c>
      <c r="G64">
        <v>0.4241973</v>
      </c>
      <c r="H64">
        <v>0.2806512</v>
      </c>
      <c r="I64">
        <v>0.3004967</v>
      </c>
      <c r="J64">
        <v>0.3142416</v>
      </c>
      <c r="K64">
        <v>0.3279866</v>
      </c>
      <c r="L64">
        <v>0.3478321</v>
      </c>
      <c r="M64">
        <v>3.774663</v>
      </c>
      <c r="N64">
        <v>54777.92</v>
      </c>
      <c r="O64">
        <v>455.9789107</v>
      </c>
      <c r="P64">
        <v>22001.39</v>
      </c>
      <c r="Q64">
        <v>17441.11</v>
      </c>
    </row>
    <row r="65" spans="1:17" ht="12.75">
      <c r="A65" t="s">
        <v>35</v>
      </c>
      <c r="B65" s="93">
        <v>40407</v>
      </c>
      <c r="C65">
        <v>16</v>
      </c>
      <c r="D65">
        <v>1.527293</v>
      </c>
      <c r="E65">
        <v>1.1984</v>
      </c>
      <c r="F65">
        <v>82.4303</v>
      </c>
      <c r="G65">
        <v>0.4250896</v>
      </c>
      <c r="H65">
        <v>0.2951675</v>
      </c>
      <c r="I65">
        <v>0.315093</v>
      </c>
      <c r="J65">
        <v>0.3288934</v>
      </c>
      <c r="K65">
        <v>0.3426938</v>
      </c>
      <c r="L65">
        <v>0.3626193</v>
      </c>
      <c r="M65">
        <v>3.774663</v>
      </c>
      <c r="N65">
        <v>54777.92</v>
      </c>
      <c r="O65">
        <v>454.8590761</v>
      </c>
      <c r="P65">
        <v>22164.08</v>
      </c>
      <c r="Q65">
        <v>17391.18</v>
      </c>
    </row>
    <row r="66" spans="1:17" ht="12.75">
      <c r="A66" t="s">
        <v>35</v>
      </c>
      <c r="B66" s="93">
        <v>40407</v>
      </c>
      <c r="C66">
        <v>17</v>
      </c>
      <c r="D66">
        <v>1.452438</v>
      </c>
      <c r="E66">
        <v>1.111351</v>
      </c>
      <c r="F66">
        <v>81.1851</v>
      </c>
      <c r="G66">
        <v>0.4253052</v>
      </c>
      <c r="H66">
        <v>0.3072466</v>
      </c>
      <c r="I66">
        <v>0.3272398</v>
      </c>
      <c r="J66">
        <v>0.3410871</v>
      </c>
      <c r="K66">
        <v>0.3549344</v>
      </c>
      <c r="L66">
        <v>0.3749276</v>
      </c>
      <c r="M66">
        <v>3.774663</v>
      </c>
      <c r="N66">
        <v>54777.92</v>
      </c>
      <c r="O66">
        <v>453.8312694</v>
      </c>
      <c r="P66">
        <v>21077.78</v>
      </c>
      <c r="Q66">
        <v>16127.92</v>
      </c>
    </row>
    <row r="67" spans="1:17" ht="12.75">
      <c r="A67" t="s">
        <v>35</v>
      </c>
      <c r="B67" s="93">
        <v>40407</v>
      </c>
      <c r="C67">
        <v>18</v>
      </c>
      <c r="D67">
        <v>1.18312</v>
      </c>
      <c r="E67">
        <v>1.302273</v>
      </c>
      <c r="F67">
        <v>80.4162</v>
      </c>
      <c r="G67">
        <v>0.4250896</v>
      </c>
      <c r="H67">
        <v>-0.1538841</v>
      </c>
      <c r="I67">
        <v>-0.1333647</v>
      </c>
      <c r="J67">
        <v>-0.119153</v>
      </c>
      <c r="K67">
        <v>-0.1049413</v>
      </c>
      <c r="L67">
        <v>-0.0844219</v>
      </c>
      <c r="M67">
        <v>3.774663</v>
      </c>
      <c r="N67">
        <v>54777.92</v>
      </c>
      <c r="O67">
        <v>454.8590761</v>
      </c>
      <c r="P67">
        <v>17169.44</v>
      </c>
      <c r="Q67">
        <v>18898.59</v>
      </c>
    </row>
    <row r="68" spans="1:17" ht="12.75">
      <c r="A68" t="s">
        <v>35</v>
      </c>
      <c r="B68" s="93">
        <v>40407</v>
      </c>
      <c r="C68">
        <v>19</v>
      </c>
      <c r="D68">
        <v>0.8248273</v>
      </c>
      <c r="E68">
        <v>0.9047639</v>
      </c>
      <c r="F68">
        <v>76.3932</v>
      </c>
      <c r="G68">
        <v>0.4250896</v>
      </c>
      <c r="H68">
        <v>-0.1136889</v>
      </c>
      <c r="I68">
        <v>-0.0937478</v>
      </c>
      <c r="J68">
        <v>-0.0799366</v>
      </c>
      <c r="K68">
        <v>-0.0661255</v>
      </c>
      <c r="L68">
        <v>-0.0461844</v>
      </c>
      <c r="M68">
        <v>3.774663</v>
      </c>
      <c r="N68">
        <v>54777.92</v>
      </c>
      <c r="O68">
        <v>454.8590761</v>
      </c>
      <c r="P68">
        <v>11969.89</v>
      </c>
      <c r="Q68">
        <v>13129.93</v>
      </c>
    </row>
    <row r="69" spans="1:17" ht="12.75">
      <c r="A69" t="s">
        <v>35</v>
      </c>
      <c r="B69" s="93">
        <v>40407</v>
      </c>
      <c r="C69">
        <v>20</v>
      </c>
      <c r="D69">
        <v>0.5868148</v>
      </c>
      <c r="E69">
        <v>0.6395122</v>
      </c>
      <c r="F69">
        <v>73.0757</v>
      </c>
      <c r="G69">
        <v>0.4250896</v>
      </c>
      <c r="H69">
        <v>-0.0862364</v>
      </c>
      <c r="I69">
        <v>-0.0664213</v>
      </c>
      <c r="J69">
        <v>-0.0526975</v>
      </c>
      <c r="K69">
        <v>-0.0389736</v>
      </c>
      <c r="L69">
        <v>-0.0191585</v>
      </c>
      <c r="M69">
        <v>3.774663</v>
      </c>
      <c r="N69">
        <v>54777.92</v>
      </c>
      <c r="O69">
        <v>454.8590761</v>
      </c>
      <c r="P69">
        <v>8515.855</v>
      </c>
      <c r="Q69">
        <v>9280.602</v>
      </c>
    </row>
    <row r="70" spans="1:17" ht="12.75">
      <c r="A70" t="s">
        <v>35</v>
      </c>
      <c r="B70" s="93">
        <v>40407</v>
      </c>
      <c r="C70">
        <v>21</v>
      </c>
      <c r="D70">
        <v>0.4385022</v>
      </c>
      <c r="E70">
        <v>0.4728422</v>
      </c>
      <c r="F70">
        <v>71.0624</v>
      </c>
      <c r="G70">
        <v>0.4250896</v>
      </c>
      <c r="H70">
        <v>-0.0677816</v>
      </c>
      <c r="I70">
        <v>-0.048024</v>
      </c>
      <c r="J70">
        <v>-0.03434</v>
      </c>
      <c r="K70">
        <v>-0.020656</v>
      </c>
      <c r="L70">
        <v>-0.0008985</v>
      </c>
      <c r="M70">
        <v>3.774663</v>
      </c>
      <c r="N70">
        <v>54777.92</v>
      </c>
      <c r="O70">
        <v>454.8590761</v>
      </c>
      <c r="P70">
        <v>6363.544</v>
      </c>
      <c r="Q70">
        <v>6861.887</v>
      </c>
    </row>
    <row r="71" spans="1:17" ht="12.75">
      <c r="A71" t="s">
        <v>35</v>
      </c>
      <c r="B71" s="93">
        <v>40407</v>
      </c>
      <c r="C71">
        <v>22</v>
      </c>
      <c r="D71">
        <v>0.3312832</v>
      </c>
      <c r="E71">
        <v>0.3535184</v>
      </c>
      <c r="F71">
        <v>70.6922</v>
      </c>
      <c r="G71">
        <v>0.4250896</v>
      </c>
      <c r="H71">
        <v>-0.055651</v>
      </c>
      <c r="I71">
        <v>-0.0359087</v>
      </c>
      <c r="J71">
        <v>-0.0222352</v>
      </c>
      <c r="K71">
        <v>-0.0085618</v>
      </c>
      <c r="L71">
        <v>0.0111805</v>
      </c>
      <c r="M71">
        <v>3.774663</v>
      </c>
      <c r="N71">
        <v>54777.92</v>
      </c>
      <c r="O71">
        <v>454.8590761</v>
      </c>
      <c r="P71">
        <v>4807.581</v>
      </c>
      <c r="Q71">
        <v>5130.259</v>
      </c>
    </row>
    <row r="72" spans="1:17" ht="12.75">
      <c r="A72" t="s">
        <v>35</v>
      </c>
      <c r="B72" s="93">
        <v>40407</v>
      </c>
      <c r="C72">
        <v>23</v>
      </c>
      <c r="D72">
        <v>0.2478386</v>
      </c>
      <c r="E72">
        <v>0.2621456</v>
      </c>
      <c r="F72">
        <v>70.2743</v>
      </c>
      <c r="G72">
        <v>0.4250896</v>
      </c>
      <c r="H72">
        <v>-0.0477343</v>
      </c>
      <c r="I72">
        <v>-0.0279852</v>
      </c>
      <c r="J72">
        <v>-0.014307</v>
      </c>
      <c r="K72">
        <v>-0.0006288</v>
      </c>
      <c r="L72">
        <v>0.0191204</v>
      </c>
      <c r="M72">
        <v>3.774663</v>
      </c>
      <c r="N72">
        <v>54777.92</v>
      </c>
      <c r="O72">
        <v>454.8590761</v>
      </c>
      <c r="P72">
        <v>3596.634</v>
      </c>
      <c r="Q72">
        <v>3804.257</v>
      </c>
    </row>
    <row r="73" spans="1:17" ht="12.75">
      <c r="A73" t="s">
        <v>35</v>
      </c>
      <c r="B73" s="93">
        <v>40407</v>
      </c>
      <c r="C73">
        <v>24</v>
      </c>
      <c r="D73">
        <v>0.2032232</v>
      </c>
      <c r="E73">
        <v>0.2032232</v>
      </c>
      <c r="F73">
        <v>70.284</v>
      </c>
      <c r="G73">
        <v>0.4250896</v>
      </c>
      <c r="H73">
        <v>0</v>
      </c>
      <c r="I73">
        <v>0</v>
      </c>
      <c r="J73">
        <v>0</v>
      </c>
      <c r="K73">
        <v>0</v>
      </c>
      <c r="L73">
        <v>0</v>
      </c>
      <c r="M73">
        <v>3.774663</v>
      </c>
      <c r="N73">
        <v>54777.92</v>
      </c>
      <c r="O73">
        <v>454.8590761</v>
      </c>
      <c r="P73">
        <v>2949.175</v>
      </c>
      <c r="Q73">
        <v>2949.175</v>
      </c>
    </row>
    <row r="74" spans="1:17" ht="12.75">
      <c r="A74" t="s">
        <v>35</v>
      </c>
      <c r="B74" s="93">
        <v>40408</v>
      </c>
      <c r="C74">
        <v>1</v>
      </c>
      <c r="D74">
        <v>0.1735665</v>
      </c>
      <c r="E74">
        <v>0.1735665</v>
      </c>
      <c r="F74">
        <v>69.3845</v>
      </c>
      <c r="G74">
        <v>0.4239421</v>
      </c>
      <c r="H74">
        <v>0</v>
      </c>
      <c r="I74">
        <v>0</v>
      </c>
      <c r="J74">
        <v>0</v>
      </c>
      <c r="K74">
        <v>0</v>
      </c>
      <c r="L74">
        <v>0</v>
      </c>
      <c r="M74">
        <v>3.774663</v>
      </c>
      <c r="N74">
        <v>54777.92</v>
      </c>
      <c r="O74">
        <v>456.9767043</v>
      </c>
      <c r="P74">
        <v>2518.798</v>
      </c>
      <c r="Q74">
        <v>2518.798</v>
      </c>
    </row>
    <row r="75" spans="1:17" ht="12.75">
      <c r="A75" t="s">
        <v>35</v>
      </c>
      <c r="B75" s="93">
        <v>40408</v>
      </c>
      <c r="C75">
        <v>2</v>
      </c>
      <c r="D75">
        <v>0.16296</v>
      </c>
      <c r="E75">
        <v>0.16296</v>
      </c>
      <c r="F75">
        <v>68.8489</v>
      </c>
      <c r="G75">
        <v>0.4239421</v>
      </c>
      <c r="H75">
        <v>0</v>
      </c>
      <c r="I75">
        <v>0</v>
      </c>
      <c r="J75">
        <v>0</v>
      </c>
      <c r="K75">
        <v>0</v>
      </c>
      <c r="L75">
        <v>0</v>
      </c>
      <c r="M75">
        <v>3.774663</v>
      </c>
      <c r="N75">
        <v>54777.92</v>
      </c>
      <c r="O75">
        <v>456.9767043</v>
      </c>
      <c r="P75">
        <v>2364.875</v>
      </c>
      <c r="Q75">
        <v>2364.875</v>
      </c>
    </row>
    <row r="76" spans="1:17" ht="12.75">
      <c r="A76" t="s">
        <v>35</v>
      </c>
      <c r="B76" s="93">
        <v>40408</v>
      </c>
      <c r="C76">
        <v>3</v>
      </c>
      <c r="D76">
        <v>0.1524868</v>
      </c>
      <c r="E76">
        <v>0.1524868</v>
      </c>
      <c r="F76">
        <v>68.4639</v>
      </c>
      <c r="G76">
        <v>0.4239421</v>
      </c>
      <c r="H76">
        <v>0</v>
      </c>
      <c r="I76">
        <v>0</v>
      </c>
      <c r="J76">
        <v>0</v>
      </c>
      <c r="K76">
        <v>0</v>
      </c>
      <c r="L76">
        <v>0</v>
      </c>
      <c r="M76">
        <v>3.774663</v>
      </c>
      <c r="N76">
        <v>54777.92</v>
      </c>
      <c r="O76">
        <v>456.9767043</v>
      </c>
      <c r="P76">
        <v>2212.888</v>
      </c>
      <c r="Q76">
        <v>2212.888</v>
      </c>
    </row>
    <row r="77" spans="1:17" ht="12.75">
      <c r="A77" t="s">
        <v>35</v>
      </c>
      <c r="B77" s="93">
        <v>40408</v>
      </c>
      <c r="C77">
        <v>4</v>
      </c>
      <c r="D77">
        <v>0.1464324</v>
      </c>
      <c r="E77">
        <v>0.1464324</v>
      </c>
      <c r="F77">
        <v>68.7124</v>
      </c>
      <c r="G77">
        <v>0.4248318</v>
      </c>
      <c r="H77">
        <v>0</v>
      </c>
      <c r="I77">
        <v>0</v>
      </c>
      <c r="J77">
        <v>0</v>
      </c>
      <c r="K77">
        <v>0</v>
      </c>
      <c r="L77">
        <v>0</v>
      </c>
      <c r="M77">
        <v>3.774663</v>
      </c>
      <c r="N77">
        <v>54777.92</v>
      </c>
      <c r="O77">
        <v>455.8568696</v>
      </c>
      <c r="P77">
        <v>2125.027</v>
      </c>
      <c r="Q77">
        <v>2125.027</v>
      </c>
    </row>
    <row r="78" spans="1:17" ht="12.75">
      <c r="A78" t="s">
        <v>35</v>
      </c>
      <c r="B78" s="93">
        <v>40408</v>
      </c>
      <c r="C78">
        <v>5</v>
      </c>
      <c r="D78">
        <v>0.1457243</v>
      </c>
      <c r="E78">
        <v>0.1457243</v>
      </c>
      <c r="F78">
        <v>68.4368</v>
      </c>
      <c r="G78">
        <v>0.4239421</v>
      </c>
      <c r="H78">
        <v>0</v>
      </c>
      <c r="I78">
        <v>0</v>
      </c>
      <c r="J78">
        <v>0</v>
      </c>
      <c r="K78">
        <v>0</v>
      </c>
      <c r="L78">
        <v>0</v>
      </c>
      <c r="M78">
        <v>3.774663</v>
      </c>
      <c r="N78">
        <v>54777.92</v>
      </c>
      <c r="O78">
        <v>456.9767043</v>
      </c>
      <c r="P78">
        <v>2114.75</v>
      </c>
      <c r="Q78">
        <v>2114.75</v>
      </c>
    </row>
    <row r="79" spans="1:17" ht="12.75">
      <c r="A79" t="s">
        <v>35</v>
      </c>
      <c r="B79" s="93">
        <v>40408</v>
      </c>
      <c r="C79">
        <v>6</v>
      </c>
      <c r="D79">
        <v>0.1606171</v>
      </c>
      <c r="E79">
        <v>0.1606171</v>
      </c>
      <c r="F79">
        <v>67.7749</v>
      </c>
      <c r="G79">
        <v>0.4248318</v>
      </c>
      <c r="H79">
        <v>0</v>
      </c>
      <c r="I79">
        <v>0</v>
      </c>
      <c r="J79">
        <v>0</v>
      </c>
      <c r="K79">
        <v>0</v>
      </c>
      <c r="L79">
        <v>0</v>
      </c>
      <c r="M79">
        <v>3.774663</v>
      </c>
      <c r="N79">
        <v>54777.92</v>
      </c>
      <c r="O79">
        <v>455.8568696</v>
      </c>
      <c r="P79">
        <v>2330.876</v>
      </c>
      <c r="Q79">
        <v>2330.876</v>
      </c>
    </row>
    <row r="80" spans="1:17" ht="12.75">
      <c r="A80" t="s">
        <v>35</v>
      </c>
      <c r="B80" s="93">
        <v>40408</v>
      </c>
      <c r="C80">
        <v>7</v>
      </c>
      <c r="D80">
        <v>0.2142419</v>
      </c>
      <c r="E80">
        <v>0.2142419</v>
      </c>
      <c r="F80">
        <v>71.305</v>
      </c>
      <c r="G80">
        <v>0.4248318</v>
      </c>
      <c r="H80">
        <v>0</v>
      </c>
      <c r="I80">
        <v>0</v>
      </c>
      <c r="J80">
        <v>0</v>
      </c>
      <c r="K80">
        <v>0</v>
      </c>
      <c r="L80">
        <v>0</v>
      </c>
      <c r="M80">
        <v>3.774663</v>
      </c>
      <c r="N80">
        <v>54777.92</v>
      </c>
      <c r="O80">
        <v>455.8568696</v>
      </c>
      <c r="P80">
        <v>3109.078</v>
      </c>
      <c r="Q80">
        <v>3109.078</v>
      </c>
    </row>
    <row r="81" spans="1:17" ht="12.75">
      <c r="A81" t="s">
        <v>35</v>
      </c>
      <c r="B81" s="93">
        <v>40408</v>
      </c>
      <c r="C81">
        <v>8</v>
      </c>
      <c r="D81">
        <v>0.394604</v>
      </c>
      <c r="E81">
        <v>0.394604</v>
      </c>
      <c r="F81">
        <v>73.4035</v>
      </c>
      <c r="G81">
        <v>0.4248318</v>
      </c>
      <c r="H81">
        <v>0</v>
      </c>
      <c r="I81">
        <v>0</v>
      </c>
      <c r="J81">
        <v>0</v>
      </c>
      <c r="K81">
        <v>0</v>
      </c>
      <c r="L81">
        <v>0</v>
      </c>
      <c r="M81">
        <v>3.774663</v>
      </c>
      <c r="N81">
        <v>54777.92</v>
      </c>
      <c r="O81">
        <v>455.8568696</v>
      </c>
      <c r="P81">
        <v>5726.493</v>
      </c>
      <c r="Q81">
        <v>5726.493</v>
      </c>
    </row>
    <row r="82" spans="1:17" ht="12.75">
      <c r="A82" t="s">
        <v>35</v>
      </c>
      <c r="B82" s="93">
        <v>40408</v>
      </c>
      <c r="C82">
        <v>9</v>
      </c>
      <c r="D82">
        <v>0.661007</v>
      </c>
      <c r="E82">
        <v>0.661007</v>
      </c>
      <c r="F82">
        <v>77.8087</v>
      </c>
      <c r="G82">
        <v>0.4239421</v>
      </c>
      <c r="H82">
        <v>0</v>
      </c>
      <c r="I82">
        <v>0</v>
      </c>
      <c r="J82">
        <v>0</v>
      </c>
      <c r="K82">
        <v>0</v>
      </c>
      <c r="L82">
        <v>0</v>
      </c>
      <c r="M82">
        <v>3.774663</v>
      </c>
      <c r="N82">
        <v>54777.92</v>
      </c>
      <c r="O82">
        <v>456.9767043</v>
      </c>
      <c r="P82">
        <v>9592.534</v>
      </c>
      <c r="Q82">
        <v>9592.534</v>
      </c>
    </row>
    <row r="83" spans="1:17" ht="12.75">
      <c r="A83" t="s">
        <v>35</v>
      </c>
      <c r="B83" s="93">
        <v>40408</v>
      </c>
      <c r="C83">
        <v>10</v>
      </c>
      <c r="D83">
        <v>0.9907998</v>
      </c>
      <c r="E83">
        <v>0.9907998</v>
      </c>
      <c r="F83">
        <v>82.137</v>
      </c>
      <c r="G83">
        <v>0.4239421</v>
      </c>
      <c r="H83">
        <v>0</v>
      </c>
      <c r="I83">
        <v>0</v>
      </c>
      <c r="J83">
        <v>0</v>
      </c>
      <c r="K83">
        <v>0</v>
      </c>
      <c r="L83">
        <v>0</v>
      </c>
      <c r="M83">
        <v>3.774663</v>
      </c>
      <c r="N83">
        <v>54777.92</v>
      </c>
      <c r="O83">
        <v>456.9767043</v>
      </c>
      <c r="P83">
        <v>14378.49</v>
      </c>
      <c r="Q83">
        <v>14378.49</v>
      </c>
    </row>
    <row r="84" spans="1:17" ht="12.75">
      <c r="A84" t="s">
        <v>35</v>
      </c>
      <c r="B84" s="93">
        <v>40408</v>
      </c>
      <c r="C84">
        <v>11</v>
      </c>
      <c r="D84">
        <v>1.346637</v>
      </c>
      <c r="E84">
        <v>1.346637</v>
      </c>
      <c r="F84">
        <v>86.2985</v>
      </c>
      <c r="G84">
        <v>0.4239421</v>
      </c>
      <c r="H84">
        <v>0</v>
      </c>
      <c r="I84">
        <v>0</v>
      </c>
      <c r="J84">
        <v>0</v>
      </c>
      <c r="K84">
        <v>0</v>
      </c>
      <c r="L84">
        <v>0</v>
      </c>
      <c r="M84">
        <v>3.774663</v>
      </c>
      <c r="N84">
        <v>54777.92</v>
      </c>
      <c r="O84">
        <v>456.9767043</v>
      </c>
      <c r="P84">
        <v>19542.4</v>
      </c>
      <c r="Q84">
        <v>19542.4</v>
      </c>
    </row>
    <row r="85" spans="1:17" ht="12.75">
      <c r="A85" t="s">
        <v>35</v>
      </c>
      <c r="B85" s="93">
        <v>40408</v>
      </c>
      <c r="C85">
        <v>12</v>
      </c>
      <c r="D85">
        <v>1.635057</v>
      </c>
      <c r="E85">
        <v>1.635057</v>
      </c>
      <c r="F85">
        <v>88.0501</v>
      </c>
      <c r="G85">
        <v>0.423228</v>
      </c>
      <c r="H85">
        <v>0</v>
      </c>
      <c r="I85">
        <v>0</v>
      </c>
      <c r="J85">
        <v>0</v>
      </c>
      <c r="K85">
        <v>0</v>
      </c>
      <c r="L85">
        <v>0</v>
      </c>
      <c r="M85">
        <v>3.774663</v>
      </c>
      <c r="N85">
        <v>54777.92</v>
      </c>
      <c r="O85">
        <v>456.9466912</v>
      </c>
      <c r="P85">
        <v>23727.95</v>
      </c>
      <c r="Q85">
        <v>23727.95</v>
      </c>
    </row>
    <row r="86" spans="1:17" ht="12.75">
      <c r="A86" t="s">
        <v>35</v>
      </c>
      <c r="B86" s="93">
        <v>40408</v>
      </c>
      <c r="C86">
        <v>13</v>
      </c>
      <c r="D86">
        <v>1.783016</v>
      </c>
      <c r="E86">
        <v>1.783016</v>
      </c>
      <c r="F86">
        <v>87.1606</v>
      </c>
      <c r="G86">
        <v>0.423228</v>
      </c>
      <c r="H86">
        <v>0</v>
      </c>
      <c r="I86">
        <v>0</v>
      </c>
      <c r="J86">
        <v>0</v>
      </c>
      <c r="K86">
        <v>0</v>
      </c>
      <c r="L86">
        <v>0</v>
      </c>
      <c r="M86">
        <v>3.774663</v>
      </c>
      <c r="N86">
        <v>54777.92</v>
      </c>
      <c r="O86">
        <v>456.9466912</v>
      </c>
      <c r="P86">
        <v>25875.13</v>
      </c>
      <c r="Q86">
        <v>25875.13</v>
      </c>
    </row>
    <row r="87" spans="1:17" ht="12.75">
      <c r="A87" t="s">
        <v>35</v>
      </c>
      <c r="B87" s="93">
        <v>40408</v>
      </c>
      <c r="C87">
        <v>14</v>
      </c>
      <c r="D87">
        <v>1.788055</v>
      </c>
      <c r="E87">
        <v>1.447553</v>
      </c>
      <c r="F87">
        <v>85.1943</v>
      </c>
      <c r="G87">
        <v>0.4234816</v>
      </c>
      <c r="H87">
        <v>0.3061755</v>
      </c>
      <c r="I87">
        <v>0.3264559</v>
      </c>
      <c r="J87">
        <v>0.340502</v>
      </c>
      <c r="K87">
        <v>0.3545482</v>
      </c>
      <c r="L87">
        <v>0.3748285</v>
      </c>
      <c r="M87">
        <v>3.774663</v>
      </c>
      <c r="N87">
        <v>54777.92</v>
      </c>
      <c r="O87">
        <v>455.9488977</v>
      </c>
      <c r="P87">
        <v>25948.25</v>
      </c>
      <c r="Q87">
        <v>21006.88</v>
      </c>
    </row>
    <row r="88" spans="1:17" ht="12.75">
      <c r="A88" t="s">
        <v>35</v>
      </c>
      <c r="B88" s="93">
        <v>40408</v>
      </c>
      <c r="C88">
        <v>15</v>
      </c>
      <c r="D88">
        <v>1.800313</v>
      </c>
      <c r="E88">
        <v>1.446123</v>
      </c>
      <c r="F88">
        <v>83.5083</v>
      </c>
      <c r="G88">
        <v>0.4250017</v>
      </c>
      <c r="H88">
        <v>0.3199453</v>
      </c>
      <c r="I88">
        <v>0.3401771</v>
      </c>
      <c r="J88">
        <v>0.3541895</v>
      </c>
      <c r="K88">
        <v>0.368202</v>
      </c>
      <c r="L88">
        <v>0.3884337</v>
      </c>
      <c r="M88">
        <v>3.774663</v>
      </c>
      <c r="N88">
        <v>54777.92</v>
      </c>
      <c r="O88">
        <v>453.9026403</v>
      </c>
      <c r="P88">
        <v>26126.14</v>
      </c>
      <c r="Q88">
        <v>20986.14</v>
      </c>
    </row>
    <row r="89" spans="1:17" ht="12.75">
      <c r="A89" t="s">
        <v>35</v>
      </c>
      <c r="B89" s="93">
        <v>40408</v>
      </c>
      <c r="C89">
        <v>16</v>
      </c>
      <c r="D89">
        <v>1.759093</v>
      </c>
      <c r="E89">
        <v>1.396878</v>
      </c>
      <c r="F89">
        <v>83.3806</v>
      </c>
      <c r="G89">
        <v>0.4241593</v>
      </c>
      <c r="H89">
        <v>0.3280967</v>
      </c>
      <c r="I89">
        <v>0.348254</v>
      </c>
      <c r="J89">
        <v>0.3622148</v>
      </c>
      <c r="K89">
        <v>0.3761756</v>
      </c>
      <c r="L89">
        <v>0.3963329</v>
      </c>
      <c r="M89">
        <v>3.774663</v>
      </c>
      <c r="N89">
        <v>54777.92</v>
      </c>
      <c r="O89">
        <v>455.8568696</v>
      </c>
      <c r="P89">
        <v>25527.96</v>
      </c>
      <c r="Q89">
        <v>20271.5</v>
      </c>
    </row>
    <row r="90" spans="1:17" ht="12.75">
      <c r="A90" t="s">
        <v>35</v>
      </c>
      <c r="B90" s="93">
        <v>40408</v>
      </c>
      <c r="C90">
        <v>17</v>
      </c>
      <c r="D90">
        <v>1.649497</v>
      </c>
      <c r="E90">
        <v>1.278091</v>
      </c>
      <c r="F90">
        <v>83.0111</v>
      </c>
      <c r="G90">
        <v>0.424116</v>
      </c>
      <c r="H90">
        <v>0.3372564</v>
      </c>
      <c r="I90">
        <v>0.3574324</v>
      </c>
      <c r="J90">
        <v>0.3714063</v>
      </c>
      <c r="K90">
        <v>0.3853802</v>
      </c>
      <c r="L90">
        <v>0.4055563</v>
      </c>
      <c r="M90">
        <v>3.774663</v>
      </c>
      <c r="N90">
        <v>54777.92</v>
      </c>
      <c r="O90">
        <v>455.8268566</v>
      </c>
      <c r="P90">
        <v>23937.5</v>
      </c>
      <c r="Q90">
        <v>18547.65</v>
      </c>
    </row>
    <row r="91" spans="1:17" ht="12.75">
      <c r="A91" t="s">
        <v>35</v>
      </c>
      <c r="B91" s="93">
        <v>40408</v>
      </c>
      <c r="C91">
        <v>18</v>
      </c>
      <c r="D91">
        <v>1.323202</v>
      </c>
      <c r="E91">
        <v>1.451261</v>
      </c>
      <c r="F91">
        <v>81.3676</v>
      </c>
      <c r="G91">
        <v>0.423228</v>
      </c>
      <c r="H91">
        <v>-0.1631577</v>
      </c>
      <c r="I91">
        <v>-0.1424206</v>
      </c>
      <c r="J91">
        <v>-0.1280582</v>
      </c>
      <c r="K91">
        <v>-0.1136958</v>
      </c>
      <c r="L91">
        <v>-0.0929587</v>
      </c>
      <c r="M91">
        <v>3.774663</v>
      </c>
      <c r="N91">
        <v>54777.92</v>
      </c>
      <c r="O91">
        <v>456.9466912</v>
      </c>
      <c r="P91">
        <v>19202.31</v>
      </c>
      <c r="Q91">
        <v>21060.7</v>
      </c>
    </row>
    <row r="92" spans="1:17" ht="12.75">
      <c r="A92" t="s">
        <v>35</v>
      </c>
      <c r="B92" s="93">
        <v>40408</v>
      </c>
      <c r="C92">
        <v>19</v>
      </c>
      <c r="D92">
        <v>0.9147635</v>
      </c>
      <c r="E92">
        <v>1.000486</v>
      </c>
      <c r="F92">
        <v>78.7003</v>
      </c>
      <c r="G92">
        <v>0.4230186</v>
      </c>
      <c r="H92">
        <v>-0.1196672</v>
      </c>
      <c r="I92">
        <v>-0.0996122</v>
      </c>
      <c r="J92">
        <v>-0.0857221</v>
      </c>
      <c r="K92">
        <v>-0.0718321</v>
      </c>
      <c r="L92">
        <v>-0.051777</v>
      </c>
      <c r="M92">
        <v>3.774663</v>
      </c>
      <c r="N92">
        <v>54777.92</v>
      </c>
      <c r="O92">
        <v>457.9744979</v>
      </c>
      <c r="P92">
        <v>13275.05</v>
      </c>
      <c r="Q92">
        <v>14519.05</v>
      </c>
    </row>
    <row r="93" spans="1:17" ht="12.75">
      <c r="A93" t="s">
        <v>35</v>
      </c>
      <c r="B93" s="93">
        <v>40408</v>
      </c>
      <c r="C93">
        <v>20</v>
      </c>
      <c r="D93">
        <v>0.6471848</v>
      </c>
      <c r="E93">
        <v>0.7039943</v>
      </c>
      <c r="F93">
        <v>75.7868</v>
      </c>
      <c r="G93">
        <v>0.4248318</v>
      </c>
      <c r="H93">
        <v>-0.0907123</v>
      </c>
      <c r="I93">
        <v>-0.0706822</v>
      </c>
      <c r="J93">
        <v>-0.0568094</v>
      </c>
      <c r="K93">
        <v>-0.0429366</v>
      </c>
      <c r="L93">
        <v>-0.0229065</v>
      </c>
      <c r="M93">
        <v>3.774663</v>
      </c>
      <c r="N93">
        <v>54777.92</v>
      </c>
      <c r="O93">
        <v>455.8568696</v>
      </c>
      <c r="P93">
        <v>9391.946</v>
      </c>
      <c r="Q93">
        <v>10216.37</v>
      </c>
    </row>
    <row r="94" spans="1:17" ht="12.75">
      <c r="A94" t="s">
        <v>35</v>
      </c>
      <c r="B94" s="93">
        <v>40408</v>
      </c>
      <c r="C94">
        <v>21</v>
      </c>
      <c r="D94">
        <v>0.4824015</v>
      </c>
      <c r="E94">
        <v>0.519272</v>
      </c>
      <c r="F94">
        <v>73.5221</v>
      </c>
      <c r="G94">
        <v>0.4241593</v>
      </c>
      <c r="H94">
        <v>-0.0706847</v>
      </c>
      <c r="I94">
        <v>-0.050707</v>
      </c>
      <c r="J94">
        <v>-0.0368704</v>
      </c>
      <c r="K94">
        <v>-0.0230339</v>
      </c>
      <c r="L94">
        <v>-0.0030562</v>
      </c>
      <c r="M94">
        <v>3.774663</v>
      </c>
      <c r="N94">
        <v>54777.92</v>
      </c>
      <c r="O94">
        <v>455.8568696</v>
      </c>
      <c r="P94">
        <v>7000.611</v>
      </c>
      <c r="Q94">
        <v>7535.675</v>
      </c>
    </row>
    <row r="95" spans="1:17" ht="12.75">
      <c r="A95" t="s">
        <v>35</v>
      </c>
      <c r="B95" s="93">
        <v>40408</v>
      </c>
      <c r="C95">
        <v>22</v>
      </c>
      <c r="D95">
        <v>0.3633169</v>
      </c>
      <c r="E95">
        <v>0.3871968</v>
      </c>
      <c r="F95">
        <v>72.4297</v>
      </c>
      <c r="G95">
        <v>0.4250896</v>
      </c>
      <c r="H95">
        <v>-0.0577458</v>
      </c>
      <c r="I95">
        <v>-0.0377375</v>
      </c>
      <c r="J95">
        <v>-0.0238799</v>
      </c>
      <c r="K95">
        <v>-0.0100223</v>
      </c>
      <c r="L95">
        <v>0.0099859</v>
      </c>
      <c r="M95">
        <v>3.774663</v>
      </c>
      <c r="N95">
        <v>54777.92</v>
      </c>
      <c r="O95">
        <v>454.8590761</v>
      </c>
      <c r="P95">
        <v>5272.455</v>
      </c>
      <c r="Q95">
        <v>5619</v>
      </c>
    </row>
    <row r="96" spans="1:17" ht="12.75">
      <c r="A96" t="s">
        <v>35</v>
      </c>
      <c r="B96" s="93">
        <v>40408</v>
      </c>
      <c r="C96">
        <v>23</v>
      </c>
      <c r="D96">
        <v>0.2693788</v>
      </c>
      <c r="E96">
        <v>0.2848443</v>
      </c>
      <c r="F96">
        <v>71.6471</v>
      </c>
      <c r="G96">
        <v>0.4239041</v>
      </c>
      <c r="H96">
        <v>-0.049212</v>
      </c>
      <c r="I96">
        <v>-0.0292743</v>
      </c>
      <c r="J96">
        <v>-0.0154656</v>
      </c>
      <c r="K96">
        <v>-0.0016568</v>
      </c>
      <c r="L96">
        <v>0.0182809</v>
      </c>
      <c r="M96">
        <v>3.774663</v>
      </c>
      <c r="N96">
        <v>54777.92</v>
      </c>
      <c r="O96">
        <v>456.8546632</v>
      </c>
      <c r="P96">
        <v>3909.225</v>
      </c>
      <c r="Q96">
        <v>4133.661</v>
      </c>
    </row>
    <row r="97" spans="1:17" ht="12.75">
      <c r="A97" t="s">
        <v>35</v>
      </c>
      <c r="B97" s="93">
        <v>40408</v>
      </c>
      <c r="C97">
        <v>24</v>
      </c>
      <c r="D97">
        <v>0.2177599</v>
      </c>
      <c r="E97">
        <v>0.2177455</v>
      </c>
      <c r="F97">
        <v>71.1774</v>
      </c>
      <c r="G97">
        <v>0.4241593</v>
      </c>
      <c r="H97">
        <v>-0.0338023</v>
      </c>
      <c r="I97">
        <v>-0.0138231</v>
      </c>
      <c r="J97">
        <v>1.44E-05</v>
      </c>
      <c r="K97">
        <v>0.0138519</v>
      </c>
      <c r="L97">
        <v>0.0338311</v>
      </c>
      <c r="M97">
        <v>3.774663</v>
      </c>
      <c r="N97">
        <v>54777.92</v>
      </c>
      <c r="O97">
        <v>455.8568696</v>
      </c>
      <c r="P97">
        <v>3160.131</v>
      </c>
      <c r="Q97">
        <v>3159.923</v>
      </c>
    </row>
    <row r="98" spans="1:17" ht="12.75">
      <c r="A98" t="s">
        <v>35</v>
      </c>
      <c r="B98" s="93">
        <v>40409</v>
      </c>
      <c r="C98">
        <v>1</v>
      </c>
      <c r="D98">
        <v>0.1830872</v>
      </c>
      <c r="E98">
        <v>0.1830872</v>
      </c>
      <c r="F98">
        <v>71.1298</v>
      </c>
      <c r="G98">
        <v>0.4241593</v>
      </c>
      <c r="H98">
        <v>0</v>
      </c>
      <c r="I98">
        <v>0</v>
      </c>
      <c r="J98">
        <v>0</v>
      </c>
      <c r="K98">
        <v>0</v>
      </c>
      <c r="L98">
        <v>0</v>
      </c>
      <c r="M98">
        <v>3.774663</v>
      </c>
      <c r="N98">
        <v>54777.92</v>
      </c>
      <c r="O98">
        <v>455.8568696</v>
      </c>
      <c r="P98">
        <v>2656.962</v>
      </c>
      <c r="Q98">
        <v>2656.962</v>
      </c>
    </row>
    <row r="99" spans="1:17" ht="12.75">
      <c r="A99" t="s">
        <v>35</v>
      </c>
      <c r="B99" s="93">
        <v>40409</v>
      </c>
      <c r="C99">
        <v>2</v>
      </c>
      <c r="D99">
        <v>0.1703859</v>
      </c>
      <c r="E99">
        <v>0.1703859</v>
      </c>
      <c r="F99">
        <v>70.4506</v>
      </c>
      <c r="G99">
        <v>0.4239041</v>
      </c>
      <c r="H99">
        <v>0</v>
      </c>
      <c r="I99">
        <v>0</v>
      </c>
      <c r="J99">
        <v>0</v>
      </c>
      <c r="K99">
        <v>0</v>
      </c>
      <c r="L99">
        <v>0</v>
      </c>
      <c r="M99">
        <v>3.774663</v>
      </c>
      <c r="N99">
        <v>54777.92</v>
      </c>
      <c r="O99">
        <v>456.8546632</v>
      </c>
      <c r="P99">
        <v>2472.64</v>
      </c>
      <c r="Q99">
        <v>2472.64</v>
      </c>
    </row>
    <row r="100" spans="1:17" ht="12.75">
      <c r="A100" t="s">
        <v>35</v>
      </c>
      <c r="B100" s="93">
        <v>40409</v>
      </c>
      <c r="C100">
        <v>3</v>
      </c>
      <c r="D100">
        <v>0.1572991</v>
      </c>
      <c r="E100">
        <v>0.1572991</v>
      </c>
      <c r="F100">
        <v>69.5512</v>
      </c>
      <c r="G100">
        <v>0.4239041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3.774663</v>
      </c>
      <c r="N100">
        <v>54777.92</v>
      </c>
      <c r="O100">
        <v>456.8546632</v>
      </c>
      <c r="P100">
        <v>2282.725</v>
      </c>
      <c r="Q100">
        <v>2282.725</v>
      </c>
    </row>
    <row r="101" spans="1:17" ht="12.75">
      <c r="A101" t="s">
        <v>35</v>
      </c>
      <c r="B101" s="93">
        <v>40409</v>
      </c>
      <c r="C101">
        <v>4</v>
      </c>
      <c r="D101">
        <v>0.1487196</v>
      </c>
      <c r="E101">
        <v>0.1487196</v>
      </c>
      <c r="F101">
        <v>68.8172</v>
      </c>
      <c r="G101">
        <v>0.4239041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3.774663</v>
      </c>
      <c r="N101">
        <v>54777.92</v>
      </c>
      <c r="O101">
        <v>456.8546632</v>
      </c>
      <c r="P101">
        <v>2158.219</v>
      </c>
      <c r="Q101">
        <v>2158.219</v>
      </c>
    </row>
    <row r="102" spans="1:17" ht="12.75">
      <c r="A102" t="s">
        <v>35</v>
      </c>
      <c r="B102" s="93">
        <v>40409</v>
      </c>
      <c r="C102">
        <v>5</v>
      </c>
      <c r="D102">
        <v>0.1464534</v>
      </c>
      <c r="E102">
        <v>0.1464534</v>
      </c>
      <c r="F102">
        <v>68.377</v>
      </c>
      <c r="G102">
        <v>0.4230186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3.774663</v>
      </c>
      <c r="N102">
        <v>54777.92</v>
      </c>
      <c r="O102">
        <v>457.9744979</v>
      </c>
      <c r="P102">
        <v>2125.332</v>
      </c>
      <c r="Q102">
        <v>2125.332</v>
      </c>
    </row>
    <row r="103" spans="1:17" ht="12.75">
      <c r="A103" t="s">
        <v>35</v>
      </c>
      <c r="B103" s="93">
        <v>40409</v>
      </c>
      <c r="C103">
        <v>6</v>
      </c>
      <c r="D103">
        <v>0.1618397</v>
      </c>
      <c r="E103">
        <v>0.1618397</v>
      </c>
      <c r="F103">
        <v>67.2683</v>
      </c>
      <c r="G103">
        <v>0.4248318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3.774663</v>
      </c>
      <c r="N103">
        <v>54777.92</v>
      </c>
      <c r="O103">
        <v>455.8568696</v>
      </c>
      <c r="P103">
        <v>2348.618</v>
      </c>
      <c r="Q103">
        <v>2348.618</v>
      </c>
    </row>
    <row r="104" spans="1:17" ht="12.75">
      <c r="A104" t="s">
        <v>35</v>
      </c>
      <c r="B104" s="93">
        <v>40409</v>
      </c>
      <c r="C104">
        <v>7</v>
      </c>
      <c r="D104">
        <v>0.217619</v>
      </c>
      <c r="E104">
        <v>0.217619</v>
      </c>
      <c r="F104">
        <v>68.0208</v>
      </c>
      <c r="G104">
        <v>0.4250896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3.774663</v>
      </c>
      <c r="N104">
        <v>54777.92</v>
      </c>
      <c r="O104">
        <v>454.8590761</v>
      </c>
      <c r="P104">
        <v>3158.087</v>
      </c>
      <c r="Q104">
        <v>3158.087</v>
      </c>
    </row>
    <row r="105" spans="1:17" ht="12.75">
      <c r="A105" t="s">
        <v>35</v>
      </c>
      <c r="B105" s="93">
        <v>40409</v>
      </c>
      <c r="C105">
        <v>8</v>
      </c>
      <c r="D105">
        <v>0.3904722</v>
      </c>
      <c r="E105">
        <v>0.3904722</v>
      </c>
      <c r="F105">
        <v>72.2365</v>
      </c>
      <c r="G105">
        <v>0.4230186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3.774663</v>
      </c>
      <c r="N105">
        <v>54777.92</v>
      </c>
      <c r="O105">
        <v>457.9744979</v>
      </c>
      <c r="P105">
        <v>5666.533</v>
      </c>
      <c r="Q105">
        <v>5666.533</v>
      </c>
    </row>
    <row r="106" spans="1:17" ht="12.75">
      <c r="A106" t="s">
        <v>35</v>
      </c>
      <c r="B106" s="93">
        <v>40409</v>
      </c>
      <c r="C106">
        <v>9</v>
      </c>
      <c r="D106">
        <v>0.6529285</v>
      </c>
      <c r="E106">
        <v>0.6529285</v>
      </c>
      <c r="F106">
        <v>77.7719</v>
      </c>
      <c r="G106">
        <v>0.4230186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3.774663</v>
      </c>
      <c r="N106">
        <v>54777.92</v>
      </c>
      <c r="O106">
        <v>457.9744979</v>
      </c>
      <c r="P106">
        <v>9475.298</v>
      </c>
      <c r="Q106">
        <v>9475.298</v>
      </c>
    </row>
    <row r="107" spans="1:17" ht="12.75">
      <c r="A107" t="s">
        <v>35</v>
      </c>
      <c r="B107" s="93">
        <v>40409</v>
      </c>
      <c r="C107">
        <v>10</v>
      </c>
      <c r="D107">
        <v>0.9641479</v>
      </c>
      <c r="E107">
        <v>0.9641479</v>
      </c>
      <c r="F107">
        <v>80.5675</v>
      </c>
      <c r="G107">
        <v>0.4230186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3.774663</v>
      </c>
      <c r="N107">
        <v>54777.92</v>
      </c>
      <c r="O107">
        <v>457.9744979</v>
      </c>
      <c r="P107">
        <v>13991.71</v>
      </c>
      <c r="Q107">
        <v>13991.71</v>
      </c>
    </row>
    <row r="108" spans="1:17" ht="12.75">
      <c r="A108" t="s">
        <v>35</v>
      </c>
      <c r="B108" s="93">
        <v>40409</v>
      </c>
      <c r="C108">
        <v>11</v>
      </c>
      <c r="D108">
        <v>1.271429</v>
      </c>
      <c r="E108">
        <v>1.271429</v>
      </c>
      <c r="F108">
        <v>83.1025</v>
      </c>
      <c r="G108">
        <v>0.4230186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3.774663</v>
      </c>
      <c r="N108">
        <v>54777.92</v>
      </c>
      <c r="O108">
        <v>457.9744979</v>
      </c>
      <c r="P108">
        <v>18450.98</v>
      </c>
      <c r="Q108">
        <v>18450.98</v>
      </c>
    </row>
    <row r="109" spans="1:17" ht="12.75">
      <c r="A109" t="s">
        <v>35</v>
      </c>
      <c r="B109" s="93">
        <v>40409</v>
      </c>
      <c r="C109">
        <v>12</v>
      </c>
      <c r="D109">
        <v>1.504864</v>
      </c>
      <c r="E109">
        <v>1.504864</v>
      </c>
      <c r="F109">
        <v>84.2865</v>
      </c>
      <c r="G109">
        <v>0.4230186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3.774663</v>
      </c>
      <c r="N109">
        <v>54777.92</v>
      </c>
      <c r="O109">
        <v>457.9744979</v>
      </c>
      <c r="P109">
        <v>21838.59</v>
      </c>
      <c r="Q109">
        <v>21838.59</v>
      </c>
    </row>
    <row r="110" spans="1:17" ht="12.75">
      <c r="A110" t="s">
        <v>35</v>
      </c>
      <c r="B110" s="93">
        <v>40409</v>
      </c>
      <c r="C110">
        <v>13</v>
      </c>
      <c r="D110">
        <v>1.63989</v>
      </c>
      <c r="E110">
        <v>1.63989</v>
      </c>
      <c r="F110">
        <v>85.2588</v>
      </c>
      <c r="G110">
        <v>0.4230186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3.774663</v>
      </c>
      <c r="N110">
        <v>54777.92</v>
      </c>
      <c r="O110">
        <v>457.9744979</v>
      </c>
      <c r="P110">
        <v>23798.08</v>
      </c>
      <c r="Q110">
        <v>23798.08</v>
      </c>
    </row>
    <row r="111" spans="1:17" ht="12.75">
      <c r="A111" t="s">
        <v>35</v>
      </c>
      <c r="B111" s="93">
        <v>40409</v>
      </c>
      <c r="C111">
        <v>14</v>
      </c>
      <c r="D111">
        <v>1.646131</v>
      </c>
      <c r="E111">
        <v>1.325942</v>
      </c>
      <c r="F111">
        <v>83.7533</v>
      </c>
      <c r="G111">
        <v>0.4241016</v>
      </c>
      <c r="H111">
        <v>0.2862566</v>
      </c>
      <c r="I111">
        <v>0.3063041</v>
      </c>
      <c r="J111">
        <v>0.320189</v>
      </c>
      <c r="K111">
        <v>0.3340739</v>
      </c>
      <c r="L111">
        <v>0.3541214</v>
      </c>
      <c r="M111">
        <v>3.774663</v>
      </c>
      <c r="N111">
        <v>54777.92</v>
      </c>
      <c r="O111">
        <v>457.9744979</v>
      </c>
      <c r="P111">
        <v>23888.65</v>
      </c>
      <c r="Q111">
        <v>19242.06</v>
      </c>
    </row>
    <row r="112" spans="1:17" ht="12.75">
      <c r="A112" t="s">
        <v>35</v>
      </c>
      <c r="B112" s="93">
        <v>40409</v>
      </c>
      <c r="C112">
        <v>15</v>
      </c>
      <c r="D112">
        <v>1.655692</v>
      </c>
      <c r="E112">
        <v>1.323513</v>
      </c>
      <c r="F112">
        <v>82.7031</v>
      </c>
      <c r="G112">
        <v>0.4243566</v>
      </c>
      <c r="H112">
        <v>0.2983686</v>
      </c>
      <c r="I112">
        <v>0.3183441</v>
      </c>
      <c r="J112">
        <v>0.3321791</v>
      </c>
      <c r="K112">
        <v>0.3460141</v>
      </c>
      <c r="L112">
        <v>0.3659896</v>
      </c>
      <c r="M112">
        <v>3.774663</v>
      </c>
      <c r="N112">
        <v>54777.92</v>
      </c>
      <c r="O112">
        <v>456.9767043</v>
      </c>
      <c r="P112">
        <v>24027.41</v>
      </c>
      <c r="Q112">
        <v>19206.82</v>
      </c>
    </row>
    <row r="113" spans="1:17" ht="12.75">
      <c r="A113" t="s">
        <v>35</v>
      </c>
      <c r="B113" s="93">
        <v>40409</v>
      </c>
      <c r="C113">
        <v>16</v>
      </c>
      <c r="D113">
        <v>1.620749</v>
      </c>
      <c r="E113">
        <v>1.278294</v>
      </c>
      <c r="F113">
        <v>81.7033</v>
      </c>
      <c r="G113">
        <v>0.4232712</v>
      </c>
      <c r="H113">
        <v>0.3086981</v>
      </c>
      <c r="I113">
        <v>0.3286419</v>
      </c>
      <c r="J113">
        <v>0.3424549</v>
      </c>
      <c r="K113">
        <v>0.3562679</v>
      </c>
      <c r="L113">
        <v>0.3762118</v>
      </c>
      <c r="M113">
        <v>3.774663</v>
      </c>
      <c r="N113">
        <v>54777.92</v>
      </c>
      <c r="O113">
        <v>456.9767043</v>
      </c>
      <c r="P113">
        <v>23520.31</v>
      </c>
      <c r="Q113">
        <v>18550.6</v>
      </c>
    </row>
    <row r="114" spans="1:17" ht="12.75">
      <c r="A114" t="s">
        <v>35</v>
      </c>
      <c r="B114" s="93">
        <v>40409</v>
      </c>
      <c r="C114">
        <v>17</v>
      </c>
      <c r="D114">
        <v>1.506802</v>
      </c>
      <c r="E114">
        <v>1.157765</v>
      </c>
      <c r="F114">
        <v>79.9899</v>
      </c>
      <c r="G114">
        <v>0.4241973</v>
      </c>
      <c r="H114">
        <v>0.3152086</v>
      </c>
      <c r="I114">
        <v>0.3351948</v>
      </c>
      <c r="J114">
        <v>0.3490372</v>
      </c>
      <c r="K114">
        <v>0.3628795</v>
      </c>
      <c r="L114">
        <v>0.3828657</v>
      </c>
      <c r="M114">
        <v>3.774663</v>
      </c>
      <c r="N114">
        <v>54777.92</v>
      </c>
      <c r="O114">
        <v>455.9789107</v>
      </c>
      <c r="P114">
        <v>21866.72</v>
      </c>
      <c r="Q114">
        <v>16801.49</v>
      </c>
    </row>
    <row r="115" spans="1:17" ht="12.75">
      <c r="A115" t="s">
        <v>35</v>
      </c>
      <c r="B115" s="93">
        <v>40409</v>
      </c>
      <c r="C115">
        <v>18</v>
      </c>
      <c r="D115">
        <v>1.192599</v>
      </c>
      <c r="E115">
        <v>1.311575</v>
      </c>
      <c r="F115">
        <v>77.175</v>
      </c>
      <c r="G115">
        <v>0.4241973</v>
      </c>
      <c r="H115">
        <v>-0.1536867</v>
      </c>
      <c r="I115">
        <v>-0.1331795</v>
      </c>
      <c r="J115">
        <v>-0.1189762</v>
      </c>
      <c r="K115">
        <v>-0.104773</v>
      </c>
      <c r="L115">
        <v>-0.0842658</v>
      </c>
      <c r="M115">
        <v>3.774663</v>
      </c>
      <c r="N115">
        <v>54777.92</v>
      </c>
      <c r="O115">
        <v>455.9789107</v>
      </c>
      <c r="P115">
        <v>17306.99</v>
      </c>
      <c r="Q115">
        <v>19033.57</v>
      </c>
    </row>
    <row r="116" spans="1:17" ht="12.75">
      <c r="A116" t="s">
        <v>35</v>
      </c>
      <c r="B116" s="93">
        <v>40409</v>
      </c>
      <c r="C116">
        <v>19</v>
      </c>
      <c r="D116">
        <v>0.8229471</v>
      </c>
      <c r="E116">
        <v>0.9012856</v>
      </c>
      <c r="F116">
        <v>75.5955</v>
      </c>
      <c r="G116">
        <v>0.4234978</v>
      </c>
      <c r="H116">
        <v>-0.1120185</v>
      </c>
      <c r="I116">
        <v>-0.0921201</v>
      </c>
      <c r="J116">
        <v>-0.0783385</v>
      </c>
      <c r="K116">
        <v>-0.0645569</v>
      </c>
      <c r="L116">
        <v>-0.0446585</v>
      </c>
      <c r="M116">
        <v>3.774663</v>
      </c>
      <c r="N116">
        <v>54777.92</v>
      </c>
      <c r="O116">
        <v>455.0524881</v>
      </c>
      <c r="P116">
        <v>11942.61</v>
      </c>
      <c r="Q116">
        <v>13079.46</v>
      </c>
    </row>
    <row r="117" spans="1:17" ht="12.75">
      <c r="A117" t="s">
        <v>35</v>
      </c>
      <c r="B117" s="93">
        <v>40409</v>
      </c>
      <c r="C117">
        <v>20</v>
      </c>
      <c r="D117">
        <v>0.5826245</v>
      </c>
      <c r="E117">
        <v>0.6342441</v>
      </c>
      <c r="F117">
        <v>73.4939</v>
      </c>
      <c r="G117">
        <v>0.4225713</v>
      </c>
      <c r="H117">
        <v>-0.0850091</v>
      </c>
      <c r="I117">
        <v>-0.0652823</v>
      </c>
      <c r="J117">
        <v>-0.0516196</v>
      </c>
      <c r="K117">
        <v>-0.037957</v>
      </c>
      <c r="L117">
        <v>-0.0182302</v>
      </c>
      <c r="M117">
        <v>3.774663</v>
      </c>
      <c r="N117">
        <v>54777.92</v>
      </c>
      <c r="O117">
        <v>456.0502816</v>
      </c>
      <c r="P117">
        <v>8455.047</v>
      </c>
      <c r="Q117">
        <v>9204.151</v>
      </c>
    </row>
    <row r="118" spans="1:17" ht="12.75">
      <c r="A118" t="s">
        <v>35</v>
      </c>
      <c r="B118" s="93">
        <v>40409</v>
      </c>
      <c r="C118">
        <v>21</v>
      </c>
      <c r="D118">
        <v>0.4370847</v>
      </c>
      <c r="E118">
        <v>0.4706971</v>
      </c>
      <c r="F118">
        <v>71.5663</v>
      </c>
      <c r="G118">
        <v>0.4225713</v>
      </c>
      <c r="H118">
        <v>-0.0669079</v>
      </c>
      <c r="I118">
        <v>-0.0472366</v>
      </c>
      <c r="J118">
        <v>-0.0336124</v>
      </c>
      <c r="K118">
        <v>-0.0199881</v>
      </c>
      <c r="L118">
        <v>-0.0003168</v>
      </c>
      <c r="M118">
        <v>3.774663</v>
      </c>
      <c r="N118">
        <v>54777.92</v>
      </c>
      <c r="O118">
        <v>456.0502816</v>
      </c>
      <c r="P118">
        <v>6342.974</v>
      </c>
      <c r="Q118">
        <v>6830.756</v>
      </c>
    </row>
    <row r="119" spans="1:17" ht="12.75">
      <c r="A119" t="s">
        <v>35</v>
      </c>
      <c r="B119" s="93">
        <v>40409</v>
      </c>
      <c r="C119">
        <v>22</v>
      </c>
      <c r="D119">
        <v>0.3284506</v>
      </c>
      <c r="E119">
        <v>0.3501734</v>
      </c>
      <c r="F119">
        <v>70.2071</v>
      </c>
      <c r="G119">
        <v>0.4243902</v>
      </c>
      <c r="H119">
        <v>-0.0551199</v>
      </c>
      <c r="I119">
        <v>-0.0353886</v>
      </c>
      <c r="J119">
        <v>-0.0217228</v>
      </c>
      <c r="K119">
        <v>-0.008057</v>
      </c>
      <c r="L119">
        <v>0.0116743</v>
      </c>
      <c r="M119">
        <v>3.774663</v>
      </c>
      <c r="N119">
        <v>54777.92</v>
      </c>
      <c r="O119">
        <v>453.9326534</v>
      </c>
      <c r="P119">
        <v>4766.475</v>
      </c>
      <c r="Q119">
        <v>5081.717</v>
      </c>
    </row>
    <row r="120" spans="1:17" ht="12.75">
      <c r="A120" t="s">
        <v>35</v>
      </c>
      <c r="B120" s="93">
        <v>40409</v>
      </c>
      <c r="C120">
        <v>23</v>
      </c>
      <c r="D120">
        <v>0.2433972</v>
      </c>
      <c r="E120">
        <v>0.2591118</v>
      </c>
      <c r="F120">
        <v>68.848</v>
      </c>
      <c r="G120">
        <v>0.4248525</v>
      </c>
      <c r="H120">
        <v>-0.0490754</v>
      </c>
      <c r="I120">
        <v>-0.0293656</v>
      </c>
      <c r="J120">
        <v>-0.0157146</v>
      </c>
      <c r="K120">
        <v>-0.0020636</v>
      </c>
      <c r="L120">
        <v>0.0176463</v>
      </c>
      <c r="M120">
        <v>3.774663</v>
      </c>
      <c r="N120">
        <v>54777.92</v>
      </c>
      <c r="O120">
        <v>454.8590761</v>
      </c>
      <c r="P120">
        <v>3532.18</v>
      </c>
      <c r="Q120">
        <v>3760.23</v>
      </c>
    </row>
    <row r="121" spans="1:17" ht="12.75">
      <c r="A121" t="s">
        <v>35</v>
      </c>
      <c r="B121" s="93">
        <v>40409</v>
      </c>
      <c r="C121">
        <v>24</v>
      </c>
      <c r="D121">
        <v>0.1967183</v>
      </c>
      <c r="E121">
        <v>0.1979492</v>
      </c>
      <c r="F121">
        <v>66.6522</v>
      </c>
      <c r="G121">
        <v>0.4239227</v>
      </c>
      <c r="H121">
        <v>-0.0344533</v>
      </c>
      <c r="I121">
        <v>-0.0148252</v>
      </c>
      <c r="J121">
        <v>-0.0012309</v>
      </c>
      <c r="K121">
        <v>0.0123635</v>
      </c>
      <c r="L121">
        <v>0.0319916</v>
      </c>
      <c r="M121">
        <v>3.774663</v>
      </c>
      <c r="N121">
        <v>54777.92</v>
      </c>
      <c r="O121">
        <v>455.8568696</v>
      </c>
      <c r="P121">
        <v>2854.776</v>
      </c>
      <c r="Q121">
        <v>2872.638</v>
      </c>
    </row>
    <row r="122" spans="1:17" ht="12.75">
      <c r="A122" t="s">
        <v>35</v>
      </c>
      <c r="B122" s="93">
        <v>40413</v>
      </c>
      <c r="C122">
        <v>1</v>
      </c>
      <c r="D122">
        <v>0.1548297</v>
      </c>
      <c r="E122">
        <v>0.1548297</v>
      </c>
      <c r="F122">
        <v>65.0368</v>
      </c>
      <c r="G122">
        <v>0.4244023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3.774663</v>
      </c>
      <c r="N122">
        <v>54777.92</v>
      </c>
      <c r="O122">
        <v>457.903127</v>
      </c>
      <c r="P122">
        <v>2246.888</v>
      </c>
      <c r="Q122">
        <v>2246.888</v>
      </c>
    </row>
    <row r="123" spans="1:17" ht="12.75">
      <c r="A123" t="s">
        <v>35</v>
      </c>
      <c r="B123" s="93">
        <v>40413</v>
      </c>
      <c r="C123">
        <v>2</v>
      </c>
      <c r="D123">
        <v>0.1453183</v>
      </c>
      <c r="E123">
        <v>0.1453183</v>
      </c>
      <c r="F123">
        <v>65.0734</v>
      </c>
      <c r="G123">
        <v>0.4244023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3.774663</v>
      </c>
      <c r="N123">
        <v>54777.92</v>
      </c>
      <c r="O123">
        <v>457.903127</v>
      </c>
      <c r="P123">
        <v>2108.859</v>
      </c>
      <c r="Q123">
        <v>2108.859</v>
      </c>
    </row>
    <row r="124" spans="1:17" ht="12.75">
      <c r="A124" t="s">
        <v>35</v>
      </c>
      <c r="B124" s="93">
        <v>40413</v>
      </c>
      <c r="C124">
        <v>3</v>
      </c>
      <c r="D124">
        <v>0.1363841</v>
      </c>
      <c r="E124">
        <v>0.1363841</v>
      </c>
      <c r="F124">
        <v>64.1273</v>
      </c>
      <c r="G124">
        <v>0.4244023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3.774663</v>
      </c>
      <c r="N124">
        <v>54777.92</v>
      </c>
      <c r="O124">
        <v>457.903127</v>
      </c>
      <c r="P124">
        <v>1979.206</v>
      </c>
      <c r="Q124">
        <v>1979.206</v>
      </c>
    </row>
    <row r="125" spans="1:17" ht="12.75">
      <c r="A125" t="s">
        <v>35</v>
      </c>
      <c r="B125" s="93">
        <v>40413</v>
      </c>
      <c r="C125">
        <v>4</v>
      </c>
      <c r="D125">
        <v>0.1302505</v>
      </c>
      <c r="E125">
        <v>0.1302505</v>
      </c>
      <c r="F125">
        <v>63.6047</v>
      </c>
      <c r="G125">
        <v>0.4252913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3.774663</v>
      </c>
      <c r="N125">
        <v>54777.92</v>
      </c>
      <c r="O125">
        <v>456.7832923</v>
      </c>
      <c r="P125">
        <v>1890.195</v>
      </c>
      <c r="Q125">
        <v>1890.195</v>
      </c>
    </row>
    <row r="126" spans="1:17" ht="12.75">
      <c r="A126" t="s">
        <v>35</v>
      </c>
      <c r="B126" s="93">
        <v>40413</v>
      </c>
      <c r="C126">
        <v>5</v>
      </c>
      <c r="D126">
        <v>0.1282284</v>
      </c>
      <c r="E126">
        <v>0.1282284</v>
      </c>
      <c r="F126">
        <v>63.3309</v>
      </c>
      <c r="G126">
        <v>0.4252913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3.774663</v>
      </c>
      <c r="N126">
        <v>54777.92</v>
      </c>
      <c r="O126">
        <v>456.7832923</v>
      </c>
      <c r="P126">
        <v>1860.851</v>
      </c>
      <c r="Q126">
        <v>1860.851</v>
      </c>
    </row>
    <row r="127" spans="1:17" ht="12.75">
      <c r="A127" t="s">
        <v>35</v>
      </c>
      <c r="B127" s="93">
        <v>40413</v>
      </c>
      <c r="C127">
        <v>6</v>
      </c>
      <c r="D127">
        <v>0.1365763</v>
      </c>
      <c r="E127">
        <v>0.1365763</v>
      </c>
      <c r="F127">
        <v>63.0393</v>
      </c>
      <c r="G127">
        <v>0.4244023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3.774663</v>
      </c>
      <c r="N127">
        <v>54777.92</v>
      </c>
      <c r="O127">
        <v>457.903127</v>
      </c>
      <c r="P127">
        <v>1981.995</v>
      </c>
      <c r="Q127">
        <v>1981.995</v>
      </c>
    </row>
    <row r="128" spans="1:17" ht="12.75">
      <c r="A128" t="s">
        <v>35</v>
      </c>
      <c r="B128" s="93">
        <v>40413</v>
      </c>
      <c r="C128">
        <v>7</v>
      </c>
      <c r="D128">
        <v>0.1727651</v>
      </c>
      <c r="E128">
        <v>0.1727651</v>
      </c>
      <c r="F128">
        <v>63.9097</v>
      </c>
      <c r="G128">
        <v>0.4244023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3.774663</v>
      </c>
      <c r="N128">
        <v>54777.92</v>
      </c>
      <c r="O128">
        <v>457.903127</v>
      </c>
      <c r="P128">
        <v>2507.167</v>
      </c>
      <c r="Q128">
        <v>2507.167</v>
      </c>
    </row>
    <row r="129" spans="1:17" ht="12.75">
      <c r="A129" t="s">
        <v>35</v>
      </c>
      <c r="B129" s="93">
        <v>40413</v>
      </c>
      <c r="C129">
        <v>8</v>
      </c>
      <c r="D129">
        <v>0.2819698</v>
      </c>
      <c r="E129">
        <v>0.2819698</v>
      </c>
      <c r="F129">
        <v>69.6161</v>
      </c>
      <c r="G129">
        <v>0.4243644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3.774663</v>
      </c>
      <c r="N129">
        <v>54777.92</v>
      </c>
      <c r="O129">
        <v>457.7810858</v>
      </c>
      <c r="P129">
        <v>4091.946</v>
      </c>
      <c r="Q129">
        <v>4091.946</v>
      </c>
    </row>
    <row r="130" spans="1:17" ht="12.75">
      <c r="A130" t="s">
        <v>35</v>
      </c>
      <c r="B130" s="93">
        <v>40413</v>
      </c>
      <c r="C130">
        <v>9</v>
      </c>
      <c r="D130">
        <v>0.4542615</v>
      </c>
      <c r="E130">
        <v>0.4542615</v>
      </c>
      <c r="F130">
        <v>75.6444</v>
      </c>
      <c r="G130">
        <v>0.4234796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3.774663</v>
      </c>
      <c r="N130">
        <v>54777.92</v>
      </c>
      <c r="O130">
        <v>458.9009205</v>
      </c>
      <c r="P130">
        <v>6592.244</v>
      </c>
      <c r="Q130">
        <v>6592.244</v>
      </c>
    </row>
    <row r="131" spans="1:17" ht="12.75">
      <c r="A131" t="s">
        <v>35</v>
      </c>
      <c r="B131" s="93">
        <v>40413</v>
      </c>
      <c r="C131">
        <v>10</v>
      </c>
      <c r="D131">
        <v>0.703353</v>
      </c>
      <c r="E131">
        <v>0.703353</v>
      </c>
      <c r="F131">
        <v>81.0804</v>
      </c>
      <c r="G131">
        <v>0.4234796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3.774663</v>
      </c>
      <c r="N131">
        <v>54777.92</v>
      </c>
      <c r="O131">
        <v>458.9009205</v>
      </c>
      <c r="P131">
        <v>10207.06</v>
      </c>
      <c r="Q131">
        <v>10207.06</v>
      </c>
    </row>
    <row r="132" spans="1:17" ht="12.75">
      <c r="A132" t="s">
        <v>35</v>
      </c>
      <c r="B132" s="93">
        <v>40413</v>
      </c>
      <c r="C132">
        <v>11</v>
      </c>
      <c r="D132">
        <v>0.9778038</v>
      </c>
      <c r="E132">
        <v>0.9778038</v>
      </c>
      <c r="F132">
        <v>82.0773</v>
      </c>
      <c r="G132">
        <v>0.4234796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3.774663</v>
      </c>
      <c r="N132">
        <v>54777.92</v>
      </c>
      <c r="O132">
        <v>458.9009205</v>
      </c>
      <c r="P132">
        <v>14189.89</v>
      </c>
      <c r="Q132">
        <v>14189.89</v>
      </c>
    </row>
    <row r="133" spans="1:17" ht="12.75">
      <c r="A133" t="s">
        <v>35</v>
      </c>
      <c r="B133" s="93">
        <v>40413</v>
      </c>
      <c r="C133">
        <v>12</v>
      </c>
      <c r="D133">
        <v>1.221889</v>
      </c>
      <c r="E133">
        <v>1.221889</v>
      </c>
      <c r="F133">
        <v>83.6747</v>
      </c>
      <c r="G133">
        <v>0.4243644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3.774663</v>
      </c>
      <c r="N133">
        <v>54777.92</v>
      </c>
      <c r="O133">
        <v>457.7810858</v>
      </c>
      <c r="P133">
        <v>17732.06</v>
      </c>
      <c r="Q133">
        <v>17732.06</v>
      </c>
    </row>
    <row r="134" spans="1:17" ht="12.75">
      <c r="A134" t="s">
        <v>35</v>
      </c>
      <c r="B134" s="93">
        <v>40413</v>
      </c>
      <c r="C134">
        <v>13</v>
      </c>
      <c r="D134">
        <v>1.396313</v>
      </c>
      <c r="E134">
        <v>1.396313</v>
      </c>
      <c r="F134">
        <v>84.8713</v>
      </c>
      <c r="G134">
        <v>0.4234796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3.774663</v>
      </c>
      <c r="N134">
        <v>54777.92</v>
      </c>
      <c r="O134">
        <v>458.9009205</v>
      </c>
      <c r="P134">
        <v>20263.29</v>
      </c>
      <c r="Q134">
        <v>20263.29</v>
      </c>
    </row>
    <row r="135" spans="1:17" ht="12.75">
      <c r="A135" t="s">
        <v>35</v>
      </c>
      <c r="B135" s="93">
        <v>40413</v>
      </c>
      <c r="C135">
        <v>14</v>
      </c>
      <c r="D135">
        <v>1.492195</v>
      </c>
      <c r="E135">
        <v>1.193121</v>
      </c>
      <c r="F135">
        <v>85.7914</v>
      </c>
      <c r="G135">
        <v>0.4244023</v>
      </c>
      <c r="H135">
        <v>0.2654466</v>
      </c>
      <c r="I135">
        <v>0.285314</v>
      </c>
      <c r="J135">
        <v>0.2990741</v>
      </c>
      <c r="K135">
        <v>0.3128341</v>
      </c>
      <c r="L135">
        <v>0.3327015</v>
      </c>
      <c r="M135">
        <v>3.774663</v>
      </c>
      <c r="N135">
        <v>54777.92</v>
      </c>
      <c r="O135">
        <v>457.903127</v>
      </c>
      <c r="P135">
        <v>21654.73</v>
      </c>
      <c r="Q135">
        <v>17314.57</v>
      </c>
    </row>
    <row r="136" spans="1:17" ht="12.75">
      <c r="A136" t="s">
        <v>35</v>
      </c>
      <c r="B136" s="93">
        <v>40413</v>
      </c>
      <c r="C136">
        <v>15</v>
      </c>
      <c r="D136">
        <v>1.553891</v>
      </c>
      <c r="E136">
        <v>1.237236</v>
      </c>
      <c r="F136">
        <v>84.2663</v>
      </c>
      <c r="G136">
        <v>0.4244023</v>
      </c>
      <c r="H136">
        <v>0.2830737</v>
      </c>
      <c r="I136">
        <v>0.3029135</v>
      </c>
      <c r="J136">
        <v>0.3166544</v>
      </c>
      <c r="K136">
        <v>0.3303954</v>
      </c>
      <c r="L136">
        <v>0.3502352</v>
      </c>
      <c r="M136">
        <v>3.774663</v>
      </c>
      <c r="N136">
        <v>54777.92</v>
      </c>
      <c r="O136">
        <v>457.903127</v>
      </c>
      <c r="P136">
        <v>22550.07</v>
      </c>
      <c r="Q136">
        <v>17954.78</v>
      </c>
    </row>
    <row r="137" spans="1:17" ht="12.75">
      <c r="A137" t="s">
        <v>35</v>
      </c>
      <c r="B137" s="93">
        <v>40413</v>
      </c>
      <c r="C137">
        <v>16</v>
      </c>
      <c r="D137">
        <v>1.572164</v>
      </c>
      <c r="E137">
        <v>1.239391</v>
      </c>
      <c r="F137">
        <v>83.582</v>
      </c>
      <c r="G137">
        <v>0.4252913</v>
      </c>
      <c r="H137">
        <v>0.2990404</v>
      </c>
      <c r="I137">
        <v>0.3189698</v>
      </c>
      <c r="J137">
        <v>0.3327727</v>
      </c>
      <c r="K137">
        <v>0.3465757</v>
      </c>
      <c r="L137">
        <v>0.3665051</v>
      </c>
      <c r="M137">
        <v>3.774663</v>
      </c>
      <c r="N137">
        <v>54777.92</v>
      </c>
      <c r="O137">
        <v>456.7832923</v>
      </c>
      <c r="P137">
        <v>22815.24</v>
      </c>
      <c r="Q137">
        <v>17986.04</v>
      </c>
    </row>
    <row r="138" spans="1:17" ht="12.75">
      <c r="A138" t="s">
        <v>35</v>
      </c>
      <c r="B138" s="93">
        <v>40413</v>
      </c>
      <c r="C138">
        <v>17</v>
      </c>
      <c r="D138">
        <v>1.509089</v>
      </c>
      <c r="E138">
        <v>1.163047</v>
      </c>
      <c r="F138">
        <v>83.3897</v>
      </c>
      <c r="G138">
        <v>0.4243644</v>
      </c>
      <c r="H138">
        <v>0.3122813</v>
      </c>
      <c r="I138">
        <v>0.3322273</v>
      </c>
      <c r="J138">
        <v>0.3460419</v>
      </c>
      <c r="K138">
        <v>0.3598565</v>
      </c>
      <c r="L138">
        <v>0.3798025</v>
      </c>
      <c r="M138">
        <v>3.774663</v>
      </c>
      <c r="N138">
        <v>54777.92</v>
      </c>
      <c r="O138">
        <v>457.7810858</v>
      </c>
      <c r="P138">
        <v>21899.89</v>
      </c>
      <c r="Q138">
        <v>16878.13</v>
      </c>
    </row>
    <row r="139" spans="1:17" ht="12.75">
      <c r="A139" t="s">
        <v>35</v>
      </c>
      <c r="B139" s="93">
        <v>40413</v>
      </c>
      <c r="C139">
        <v>18</v>
      </c>
      <c r="D139">
        <v>1.234364</v>
      </c>
      <c r="E139">
        <v>1.356731</v>
      </c>
      <c r="F139">
        <v>81.2954</v>
      </c>
      <c r="G139">
        <v>0.4230186</v>
      </c>
      <c r="H139">
        <v>-0.1570595</v>
      </c>
      <c r="I139">
        <v>-0.136563</v>
      </c>
      <c r="J139">
        <v>-0.1223671</v>
      </c>
      <c r="K139">
        <v>-0.1081713</v>
      </c>
      <c r="L139">
        <v>-0.0876748</v>
      </c>
      <c r="M139">
        <v>3.774663</v>
      </c>
      <c r="N139">
        <v>54777.92</v>
      </c>
      <c r="O139">
        <v>457.9744979</v>
      </c>
      <c r="P139">
        <v>17913.09</v>
      </c>
      <c r="Q139">
        <v>19688.88</v>
      </c>
    </row>
    <row r="140" spans="1:17" ht="12.75">
      <c r="A140" t="s">
        <v>35</v>
      </c>
      <c r="B140" s="93">
        <v>40413</v>
      </c>
      <c r="C140">
        <v>19</v>
      </c>
      <c r="D140">
        <v>0.8600543</v>
      </c>
      <c r="E140">
        <v>0.9453132</v>
      </c>
      <c r="F140">
        <v>77.0407</v>
      </c>
      <c r="G140">
        <v>0.4234796</v>
      </c>
      <c r="H140">
        <v>-0.1189478</v>
      </c>
      <c r="I140">
        <v>-0.0990442</v>
      </c>
      <c r="J140">
        <v>-0.085259</v>
      </c>
      <c r="K140">
        <v>-0.0714738</v>
      </c>
      <c r="L140">
        <v>-0.0515701</v>
      </c>
      <c r="M140">
        <v>3.774663</v>
      </c>
      <c r="N140">
        <v>54777.92</v>
      </c>
      <c r="O140">
        <v>458.9009205</v>
      </c>
      <c r="P140">
        <v>12481.11</v>
      </c>
      <c r="Q140">
        <v>13718.39</v>
      </c>
    </row>
    <row r="141" spans="1:17" ht="12.75">
      <c r="A141" t="s">
        <v>35</v>
      </c>
      <c r="B141" s="93">
        <v>40413</v>
      </c>
      <c r="C141">
        <v>20</v>
      </c>
      <c r="D141">
        <v>0.6130869</v>
      </c>
      <c r="E141">
        <v>0.6693479</v>
      </c>
      <c r="F141">
        <v>73.3878</v>
      </c>
      <c r="G141">
        <v>0.4234796</v>
      </c>
      <c r="H141">
        <v>-0.0897611</v>
      </c>
      <c r="I141">
        <v>-0.069969</v>
      </c>
      <c r="J141">
        <v>-0.056261</v>
      </c>
      <c r="K141">
        <v>-0.042553</v>
      </c>
      <c r="L141">
        <v>-0.0227609</v>
      </c>
      <c r="M141">
        <v>3.774663</v>
      </c>
      <c r="N141">
        <v>54777.92</v>
      </c>
      <c r="O141">
        <v>458.9009205</v>
      </c>
      <c r="P141">
        <v>8897.117</v>
      </c>
      <c r="Q141">
        <v>9713.576</v>
      </c>
    </row>
    <row r="142" spans="1:17" ht="12.75">
      <c r="A142" t="s">
        <v>35</v>
      </c>
      <c r="B142" s="93">
        <v>40413</v>
      </c>
      <c r="C142">
        <v>21</v>
      </c>
      <c r="D142">
        <v>0.4632134</v>
      </c>
      <c r="E142">
        <v>0.4998285</v>
      </c>
      <c r="F142">
        <v>71.102</v>
      </c>
      <c r="G142">
        <v>0.4234796</v>
      </c>
      <c r="H142">
        <v>-0.0700342</v>
      </c>
      <c r="I142">
        <v>-0.0502899</v>
      </c>
      <c r="J142">
        <v>-0.0366151</v>
      </c>
      <c r="K142">
        <v>-0.0229403</v>
      </c>
      <c r="L142">
        <v>-0.003196</v>
      </c>
      <c r="M142">
        <v>3.774663</v>
      </c>
      <c r="N142">
        <v>54777.92</v>
      </c>
      <c r="O142">
        <v>458.9009205</v>
      </c>
      <c r="P142">
        <v>6722.153</v>
      </c>
      <c r="Q142">
        <v>7253.511</v>
      </c>
    </row>
    <row r="143" spans="1:17" ht="12.75">
      <c r="A143" t="s">
        <v>35</v>
      </c>
      <c r="B143" s="93">
        <v>40413</v>
      </c>
      <c r="C143">
        <v>22</v>
      </c>
      <c r="D143">
        <v>0.3441451</v>
      </c>
      <c r="E143">
        <v>0.3676834</v>
      </c>
      <c r="F143">
        <v>69.7548</v>
      </c>
      <c r="G143">
        <v>0.4234796</v>
      </c>
      <c r="H143">
        <v>-0.0569245</v>
      </c>
      <c r="I143">
        <v>-0.0371997</v>
      </c>
      <c r="J143">
        <v>-0.0235383</v>
      </c>
      <c r="K143">
        <v>-0.0098769</v>
      </c>
      <c r="L143">
        <v>0.009848</v>
      </c>
      <c r="M143">
        <v>3.774663</v>
      </c>
      <c r="N143">
        <v>54777.92</v>
      </c>
      <c r="O143">
        <v>458.9009205</v>
      </c>
      <c r="P143">
        <v>4994.234</v>
      </c>
      <c r="Q143">
        <v>5335.821</v>
      </c>
    </row>
    <row r="144" spans="1:17" ht="12.75">
      <c r="A144" t="s">
        <v>35</v>
      </c>
      <c r="B144" s="93">
        <v>40413</v>
      </c>
      <c r="C144">
        <v>23</v>
      </c>
      <c r="D144">
        <v>0.2539226</v>
      </c>
      <c r="E144">
        <v>0.2689169</v>
      </c>
      <c r="F144">
        <v>68.6651</v>
      </c>
      <c r="G144">
        <v>0.4234796</v>
      </c>
      <c r="H144">
        <v>-0.048356</v>
      </c>
      <c r="I144">
        <v>-0.0286457</v>
      </c>
      <c r="J144">
        <v>-0.0149943</v>
      </c>
      <c r="K144">
        <v>-0.001343</v>
      </c>
      <c r="L144">
        <v>0.0183674</v>
      </c>
      <c r="M144">
        <v>3.774663</v>
      </c>
      <c r="N144">
        <v>54777.92</v>
      </c>
      <c r="O144">
        <v>458.9009205</v>
      </c>
      <c r="P144">
        <v>3684.924</v>
      </c>
      <c r="Q144">
        <v>3902.522</v>
      </c>
    </row>
    <row r="145" spans="1:17" ht="12.75">
      <c r="A145" t="s">
        <v>35</v>
      </c>
      <c r="B145" s="93">
        <v>40413</v>
      </c>
      <c r="C145">
        <v>24</v>
      </c>
      <c r="D145">
        <v>0.2053208</v>
      </c>
      <c r="E145">
        <v>0.2056742</v>
      </c>
      <c r="F145">
        <v>67.4977</v>
      </c>
      <c r="G145">
        <v>0.4234796</v>
      </c>
      <c r="H145">
        <v>-0.0336747</v>
      </c>
      <c r="I145">
        <v>-0.0139882</v>
      </c>
      <c r="J145">
        <v>-0.0003534</v>
      </c>
      <c r="K145">
        <v>0.0132814</v>
      </c>
      <c r="L145">
        <v>0.0329679</v>
      </c>
      <c r="M145">
        <v>3.774663</v>
      </c>
      <c r="N145">
        <v>54777.92</v>
      </c>
      <c r="O145">
        <v>458.9009205</v>
      </c>
      <c r="P145">
        <v>2979.615</v>
      </c>
      <c r="Q145">
        <v>2984.743</v>
      </c>
    </row>
    <row r="146" spans="1:17" ht="12.75">
      <c r="A146" t="s">
        <v>35</v>
      </c>
      <c r="B146" s="93">
        <v>40414</v>
      </c>
      <c r="C146">
        <v>1</v>
      </c>
      <c r="D146">
        <v>0.1747958</v>
      </c>
      <c r="E146">
        <v>0.1747958</v>
      </c>
      <c r="F146">
        <v>66.9882</v>
      </c>
      <c r="G146">
        <v>0.4244023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3.774663</v>
      </c>
      <c r="N146">
        <v>54777.92</v>
      </c>
      <c r="O146">
        <v>457.903127</v>
      </c>
      <c r="P146">
        <v>2536.637</v>
      </c>
      <c r="Q146">
        <v>2536.637</v>
      </c>
    </row>
    <row r="147" spans="1:17" ht="12.75">
      <c r="A147" t="s">
        <v>35</v>
      </c>
      <c r="B147" s="93">
        <v>40414</v>
      </c>
      <c r="C147">
        <v>2</v>
      </c>
      <c r="D147">
        <v>0.162991</v>
      </c>
      <c r="E147">
        <v>0.162991</v>
      </c>
      <c r="F147">
        <v>66.5802</v>
      </c>
      <c r="G147">
        <v>0.4248318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3.774663</v>
      </c>
      <c r="N147">
        <v>54777.92</v>
      </c>
      <c r="O147">
        <v>455.8568696</v>
      </c>
      <c r="P147">
        <v>2365.326</v>
      </c>
      <c r="Q147">
        <v>2365.326</v>
      </c>
    </row>
    <row r="148" spans="1:17" ht="12.75">
      <c r="A148" t="s">
        <v>35</v>
      </c>
      <c r="B148" s="93">
        <v>40414</v>
      </c>
      <c r="C148">
        <v>3</v>
      </c>
      <c r="D148">
        <v>0.1506043</v>
      </c>
      <c r="E148">
        <v>0.1506043</v>
      </c>
      <c r="F148">
        <v>66.1862</v>
      </c>
      <c r="G148">
        <v>0.4259199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3.774663</v>
      </c>
      <c r="N148">
        <v>54777.92</v>
      </c>
      <c r="O148">
        <v>455.8568696</v>
      </c>
      <c r="P148">
        <v>2185.569</v>
      </c>
      <c r="Q148">
        <v>2185.569</v>
      </c>
    </row>
    <row r="149" spans="1:17" ht="12.75">
      <c r="A149" t="s">
        <v>35</v>
      </c>
      <c r="B149" s="93">
        <v>40414</v>
      </c>
      <c r="C149">
        <v>4</v>
      </c>
      <c r="D149">
        <v>0.1431558</v>
      </c>
      <c r="E149">
        <v>0.1431558</v>
      </c>
      <c r="F149">
        <v>66.1344</v>
      </c>
      <c r="G149">
        <v>0.4259199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3.774663</v>
      </c>
      <c r="N149">
        <v>54777.92</v>
      </c>
      <c r="O149">
        <v>455.8568696</v>
      </c>
      <c r="P149">
        <v>2077.477</v>
      </c>
      <c r="Q149">
        <v>2077.477</v>
      </c>
    </row>
    <row r="150" spans="1:17" ht="12.75">
      <c r="A150" t="s">
        <v>35</v>
      </c>
      <c r="B150" s="93">
        <v>40414</v>
      </c>
      <c r="C150">
        <v>5</v>
      </c>
      <c r="D150">
        <v>0.1414753</v>
      </c>
      <c r="E150">
        <v>0.1414753</v>
      </c>
      <c r="F150">
        <v>66.1966</v>
      </c>
      <c r="G150">
        <v>0.4252419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3.774663</v>
      </c>
      <c r="N150">
        <v>54777.92</v>
      </c>
      <c r="O150">
        <v>455.9488977</v>
      </c>
      <c r="P150">
        <v>2053.089</v>
      </c>
      <c r="Q150">
        <v>2053.089</v>
      </c>
    </row>
    <row r="151" spans="1:17" ht="12.75">
      <c r="A151" t="s">
        <v>35</v>
      </c>
      <c r="B151" s="93">
        <v>40414</v>
      </c>
      <c r="C151">
        <v>6</v>
      </c>
      <c r="D151">
        <v>0.153378</v>
      </c>
      <c r="E151">
        <v>0.153378</v>
      </c>
      <c r="F151">
        <v>65.737</v>
      </c>
      <c r="G151">
        <v>0.4252419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3.774663</v>
      </c>
      <c r="N151">
        <v>54777.92</v>
      </c>
      <c r="O151">
        <v>455.9488977</v>
      </c>
      <c r="P151">
        <v>2225.821</v>
      </c>
      <c r="Q151">
        <v>2225.821</v>
      </c>
    </row>
    <row r="152" spans="1:17" ht="12.75">
      <c r="A152" t="s">
        <v>35</v>
      </c>
      <c r="B152" s="93">
        <v>40414</v>
      </c>
      <c r="C152">
        <v>7</v>
      </c>
      <c r="D152">
        <v>0.197684</v>
      </c>
      <c r="E152">
        <v>0.197684</v>
      </c>
      <c r="F152">
        <v>66.7256</v>
      </c>
      <c r="G152">
        <v>0.4250275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3.774663</v>
      </c>
      <c r="N152">
        <v>54777.92</v>
      </c>
      <c r="O152">
        <v>456.9767043</v>
      </c>
      <c r="P152">
        <v>2868.791</v>
      </c>
      <c r="Q152">
        <v>2868.791</v>
      </c>
    </row>
    <row r="153" spans="1:17" ht="12.75">
      <c r="A153" t="s">
        <v>35</v>
      </c>
      <c r="B153" s="93">
        <v>40414</v>
      </c>
      <c r="C153">
        <v>8</v>
      </c>
      <c r="D153">
        <v>0.3384117</v>
      </c>
      <c r="E153">
        <v>0.3384117</v>
      </c>
      <c r="F153">
        <v>71.6016</v>
      </c>
      <c r="G153">
        <v>0.4252913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3.774663</v>
      </c>
      <c r="N153">
        <v>54777.92</v>
      </c>
      <c r="O153">
        <v>456.7832923</v>
      </c>
      <c r="P153">
        <v>4911.031</v>
      </c>
      <c r="Q153">
        <v>4911.031</v>
      </c>
    </row>
    <row r="154" spans="1:17" ht="12.75">
      <c r="A154" t="s">
        <v>35</v>
      </c>
      <c r="B154" s="93">
        <v>40414</v>
      </c>
      <c r="C154">
        <v>9</v>
      </c>
      <c r="D154">
        <v>0.5517563</v>
      </c>
      <c r="E154">
        <v>0.5517563</v>
      </c>
      <c r="F154">
        <v>76.7165</v>
      </c>
      <c r="G154">
        <v>0.4252913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3.774663</v>
      </c>
      <c r="N154">
        <v>54777.92</v>
      </c>
      <c r="O154">
        <v>456.7832923</v>
      </c>
      <c r="P154">
        <v>8007.087</v>
      </c>
      <c r="Q154">
        <v>8007.087</v>
      </c>
    </row>
    <row r="155" spans="1:17" ht="12.75">
      <c r="A155" t="s">
        <v>35</v>
      </c>
      <c r="B155" s="93">
        <v>40414</v>
      </c>
      <c r="C155">
        <v>10</v>
      </c>
      <c r="D155">
        <v>0.8257545</v>
      </c>
      <c r="E155">
        <v>0.8257545</v>
      </c>
      <c r="F155">
        <v>80.761</v>
      </c>
      <c r="G155">
        <v>0.4237061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3.774663</v>
      </c>
      <c r="N155">
        <v>54777.92</v>
      </c>
      <c r="O155">
        <v>456.9767043</v>
      </c>
      <c r="P155">
        <v>11983.35</v>
      </c>
      <c r="Q155">
        <v>11983.35</v>
      </c>
    </row>
    <row r="156" spans="1:17" ht="12.75">
      <c r="A156" t="s">
        <v>35</v>
      </c>
      <c r="B156" s="93">
        <v>40414</v>
      </c>
      <c r="C156">
        <v>11</v>
      </c>
      <c r="D156">
        <v>1.114715</v>
      </c>
      <c r="E156">
        <v>1.114715</v>
      </c>
      <c r="F156">
        <v>82.5231</v>
      </c>
      <c r="G156">
        <v>0.4245952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3.774663</v>
      </c>
      <c r="N156">
        <v>54777.92</v>
      </c>
      <c r="O156">
        <v>455.8568696</v>
      </c>
      <c r="P156">
        <v>16176.74</v>
      </c>
      <c r="Q156">
        <v>16176.74</v>
      </c>
    </row>
    <row r="157" spans="1:17" ht="12.75">
      <c r="A157" t="s">
        <v>35</v>
      </c>
      <c r="B157" s="93">
        <v>40414</v>
      </c>
      <c r="C157">
        <v>12</v>
      </c>
      <c r="D157">
        <v>1.366141</v>
      </c>
      <c r="E157">
        <v>1.366141</v>
      </c>
      <c r="F157">
        <v>84.9401</v>
      </c>
      <c r="G157">
        <v>0.4237061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3.774663</v>
      </c>
      <c r="N157">
        <v>54777.92</v>
      </c>
      <c r="O157">
        <v>456.9767043</v>
      </c>
      <c r="P157">
        <v>19825.44</v>
      </c>
      <c r="Q157">
        <v>19825.44</v>
      </c>
    </row>
    <row r="158" spans="1:17" ht="12.75">
      <c r="A158" t="s">
        <v>35</v>
      </c>
      <c r="B158" s="93">
        <v>40414</v>
      </c>
      <c r="C158">
        <v>13</v>
      </c>
      <c r="D158">
        <v>1.532175</v>
      </c>
      <c r="E158">
        <v>1.532175</v>
      </c>
      <c r="F158">
        <v>85.1997</v>
      </c>
      <c r="G158">
        <v>0.4252237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3.774663</v>
      </c>
      <c r="N158">
        <v>54777.92</v>
      </c>
      <c r="O158">
        <v>454.930447</v>
      </c>
      <c r="P158">
        <v>22234.93</v>
      </c>
      <c r="Q158">
        <v>22234.93</v>
      </c>
    </row>
    <row r="159" spans="1:17" ht="12.75">
      <c r="A159" t="s">
        <v>35</v>
      </c>
      <c r="B159" s="93">
        <v>40414</v>
      </c>
      <c r="C159">
        <v>14</v>
      </c>
      <c r="D159">
        <v>1.598351</v>
      </c>
      <c r="E159">
        <v>1.283462</v>
      </c>
      <c r="F159">
        <v>86.3675</v>
      </c>
      <c r="G159">
        <v>0.4245952</v>
      </c>
      <c r="H159">
        <v>0.2809747</v>
      </c>
      <c r="I159">
        <v>0.3010113</v>
      </c>
      <c r="J159">
        <v>0.3148886</v>
      </c>
      <c r="K159">
        <v>0.3287659</v>
      </c>
      <c r="L159">
        <v>0.3488025</v>
      </c>
      <c r="M159">
        <v>3.774663</v>
      </c>
      <c r="N159">
        <v>54777.92</v>
      </c>
      <c r="O159">
        <v>455.8568696</v>
      </c>
      <c r="P159">
        <v>23195.27</v>
      </c>
      <c r="Q159">
        <v>18625.61</v>
      </c>
    </row>
    <row r="160" spans="1:17" ht="12.75">
      <c r="A160" t="s">
        <v>35</v>
      </c>
      <c r="B160" s="93">
        <v>40414</v>
      </c>
      <c r="C160">
        <v>15</v>
      </c>
      <c r="D160">
        <v>1.666381</v>
      </c>
      <c r="E160">
        <v>1.332397</v>
      </c>
      <c r="F160">
        <v>86.4697</v>
      </c>
      <c r="G160">
        <v>0.4245952</v>
      </c>
      <c r="H160">
        <v>0.3001159</v>
      </c>
      <c r="I160">
        <v>0.3201257</v>
      </c>
      <c r="J160">
        <v>0.3339844</v>
      </c>
      <c r="K160">
        <v>0.3478431</v>
      </c>
      <c r="L160">
        <v>0.3678528</v>
      </c>
      <c r="M160">
        <v>3.774663</v>
      </c>
      <c r="N160">
        <v>54777.92</v>
      </c>
      <c r="O160">
        <v>455.8568696</v>
      </c>
      <c r="P160">
        <v>24182.53</v>
      </c>
      <c r="Q160">
        <v>19335.75</v>
      </c>
    </row>
    <row r="161" spans="1:17" ht="12.75">
      <c r="A161" t="s">
        <v>35</v>
      </c>
      <c r="B161" s="93">
        <v>40414</v>
      </c>
      <c r="C161">
        <v>16</v>
      </c>
      <c r="D161">
        <v>1.669602</v>
      </c>
      <c r="E161">
        <v>1.322237</v>
      </c>
      <c r="F161">
        <v>84.9675</v>
      </c>
      <c r="G161">
        <v>0.4244023</v>
      </c>
      <c r="H161">
        <v>0.3135086</v>
      </c>
      <c r="I161">
        <v>0.3335112</v>
      </c>
      <c r="J161">
        <v>0.347365</v>
      </c>
      <c r="K161">
        <v>0.3612188</v>
      </c>
      <c r="L161">
        <v>0.3812215</v>
      </c>
      <c r="M161">
        <v>3.774663</v>
      </c>
      <c r="N161">
        <v>54777.92</v>
      </c>
      <c r="O161">
        <v>457.903127</v>
      </c>
      <c r="P161">
        <v>24229.26</v>
      </c>
      <c r="Q161">
        <v>19188.3</v>
      </c>
    </row>
    <row r="162" spans="1:17" ht="12.75">
      <c r="A162" t="s">
        <v>35</v>
      </c>
      <c r="B162" s="93">
        <v>40414</v>
      </c>
      <c r="C162">
        <v>17</v>
      </c>
      <c r="D162">
        <v>1.571115</v>
      </c>
      <c r="E162">
        <v>1.21452</v>
      </c>
      <c r="F162">
        <v>81.9049</v>
      </c>
      <c r="G162">
        <v>0.4244023</v>
      </c>
      <c r="H162">
        <v>0.3226981</v>
      </c>
      <c r="I162">
        <v>0.3427247</v>
      </c>
      <c r="J162">
        <v>0.356595</v>
      </c>
      <c r="K162">
        <v>0.3704654</v>
      </c>
      <c r="L162">
        <v>0.390492</v>
      </c>
      <c r="M162">
        <v>3.774663</v>
      </c>
      <c r="N162">
        <v>54777.92</v>
      </c>
      <c r="O162">
        <v>457.903127</v>
      </c>
      <c r="P162">
        <v>22800.03</v>
      </c>
      <c r="Q162">
        <v>17625.12</v>
      </c>
    </row>
    <row r="163" spans="1:17" ht="12.75">
      <c r="A163" t="s">
        <v>35</v>
      </c>
      <c r="B163" s="93">
        <v>40414</v>
      </c>
      <c r="C163">
        <v>18</v>
      </c>
      <c r="D163">
        <v>1.271964</v>
      </c>
      <c r="E163">
        <v>1.396785</v>
      </c>
      <c r="F163">
        <v>80.4972</v>
      </c>
      <c r="G163">
        <v>0.4239421</v>
      </c>
      <c r="H163">
        <v>-0.1597238</v>
      </c>
      <c r="I163">
        <v>-0.1391026</v>
      </c>
      <c r="J163">
        <v>-0.1248205</v>
      </c>
      <c r="K163">
        <v>-0.1105383</v>
      </c>
      <c r="L163">
        <v>-0.0899171</v>
      </c>
      <c r="M163">
        <v>3.774663</v>
      </c>
      <c r="N163">
        <v>54777.92</v>
      </c>
      <c r="O163">
        <v>456.9767043</v>
      </c>
      <c r="P163">
        <v>18458.74</v>
      </c>
      <c r="Q163">
        <v>20270.14</v>
      </c>
    </row>
    <row r="164" spans="1:17" ht="12.75">
      <c r="A164" t="s">
        <v>35</v>
      </c>
      <c r="B164" s="93">
        <v>40414</v>
      </c>
      <c r="C164">
        <v>19</v>
      </c>
      <c r="D164">
        <v>0.8832265</v>
      </c>
      <c r="E164">
        <v>0.9661797</v>
      </c>
      <c r="F164">
        <v>77.2628</v>
      </c>
      <c r="G164">
        <v>0.4241334</v>
      </c>
      <c r="H164">
        <v>-0.1168792</v>
      </c>
      <c r="I164">
        <v>-0.0968355</v>
      </c>
      <c r="J164">
        <v>-0.0829533</v>
      </c>
      <c r="K164">
        <v>-0.069071</v>
      </c>
      <c r="L164">
        <v>-0.0490273</v>
      </c>
      <c r="M164">
        <v>3.774663</v>
      </c>
      <c r="N164">
        <v>54777.92</v>
      </c>
      <c r="O164">
        <v>454.930447</v>
      </c>
      <c r="P164">
        <v>12817.38</v>
      </c>
      <c r="Q164">
        <v>14021.2</v>
      </c>
    </row>
    <row r="165" spans="1:17" ht="12.75">
      <c r="A165" t="s">
        <v>35</v>
      </c>
      <c r="B165" s="93">
        <v>40414</v>
      </c>
      <c r="C165">
        <v>20</v>
      </c>
      <c r="D165">
        <v>0.6219201</v>
      </c>
      <c r="E165">
        <v>0.6764125</v>
      </c>
      <c r="F165">
        <v>73.5842</v>
      </c>
      <c r="G165">
        <v>0.4241334</v>
      </c>
      <c r="H165">
        <v>-0.0881981</v>
      </c>
      <c r="I165">
        <v>-0.0682845</v>
      </c>
      <c r="J165">
        <v>-0.0544924</v>
      </c>
      <c r="K165">
        <v>-0.0407003</v>
      </c>
      <c r="L165">
        <v>-0.0207867</v>
      </c>
      <c r="M165">
        <v>3.774663</v>
      </c>
      <c r="N165">
        <v>54777.92</v>
      </c>
      <c r="O165">
        <v>454.930447</v>
      </c>
      <c r="P165">
        <v>9025.305</v>
      </c>
      <c r="Q165">
        <v>9816.098</v>
      </c>
    </row>
    <row r="166" spans="1:17" ht="12.75">
      <c r="A166" t="s">
        <v>35</v>
      </c>
      <c r="B166" s="93">
        <v>40414</v>
      </c>
      <c r="C166">
        <v>21</v>
      </c>
      <c r="D166">
        <v>0.4614356</v>
      </c>
      <c r="E166">
        <v>0.4967816</v>
      </c>
      <c r="F166">
        <v>71.6091</v>
      </c>
      <c r="G166">
        <v>0.4232436</v>
      </c>
      <c r="H166">
        <v>-0.0688573</v>
      </c>
      <c r="I166">
        <v>-0.0490586</v>
      </c>
      <c r="J166">
        <v>-0.035346</v>
      </c>
      <c r="K166">
        <v>-0.0216335</v>
      </c>
      <c r="L166">
        <v>-0.0018348</v>
      </c>
      <c r="M166">
        <v>3.774663</v>
      </c>
      <c r="N166">
        <v>54777.92</v>
      </c>
      <c r="O166">
        <v>456.0502816</v>
      </c>
      <c r="P166">
        <v>6696.354</v>
      </c>
      <c r="Q166">
        <v>7209.295</v>
      </c>
    </row>
    <row r="167" spans="1:17" ht="12.75">
      <c r="A167" t="s">
        <v>35</v>
      </c>
      <c r="B167" s="93">
        <v>40414</v>
      </c>
      <c r="C167">
        <v>22</v>
      </c>
      <c r="D167">
        <v>0.3458942</v>
      </c>
      <c r="E167">
        <v>0.3686685</v>
      </c>
      <c r="F167">
        <v>70.347</v>
      </c>
      <c r="G167">
        <v>0.4241334</v>
      </c>
      <c r="H167">
        <v>-0.0563096</v>
      </c>
      <c r="I167">
        <v>-0.0364967</v>
      </c>
      <c r="J167">
        <v>-0.0227743</v>
      </c>
      <c r="K167">
        <v>-0.0090519</v>
      </c>
      <c r="L167">
        <v>0.010761</v>
      </c>
      <c r="M167">
        <v>3.774663</v>
      </c>
      <c r="N167">
        <v>54777.92</v>
      </c>
      <c r="O167">
        <v>454.930447</v>
      </c>
      <c r="P167">
        <v>5019.617</v>
      </c>
      <c r="Q167">
        <v>5350.117</v>
      </c>
    </row>
    <row r="168" spans="1:17" ht="12.75">
      <c r="A168" t="s">
        <v>35</v>
      </c>
      <c r="B168" s="93">
        <v>40414</v>
      </c>
      <c r="C168">
        <v>23</v>
      </c>
      <c r="D168">
        <v>0.2569888</v>
      </c>
      <c r="E168">
        <v>0.2715647</v>
      </c>
      <c r="F168">
        <v>70.1242</v>
      </c>
      <c r="G168">
        <v>0.4247622</v>
      </c>
      <c r="H168">
        <v>-0.0481702</v>
      </c>
      <c r="I168">
        <v>-0.0283224</v>
      </c>
      <c r="J168">
        <v>-0.0145759</v>
      </c>
      <c r="K168">
        <v>-0.0008293</v>
      </c>
      <c r="L168">
        <v>0.0190185</v>
      </c>
      <c r="M168">
        <v>3.774663</v>
      </c>
      <c r="N168">
        <v>54777.92</v>
      </c>
      <c r="O168">
        <v>454.0040243</v>
      </c>
      <c r="P168">
        <v>3729.422</v>
      </c>
      <c r="Q168">
        <v>3940.947</v>
      </c>
    </row>
    <row r="169" spans="1:17" ht="12.75">
      <c r="A169" t="s">
        <v>35</v>
      </c>
      <c r="B169" s="93">
        <v>40414</v>
      </c>
      <c r="C169">
        <v>24</v>
      </c>
      <c r="D169">
        <v>0.2100099</v>
      </c>
      <c r="E169">
        <v>0.2100099</v>
      </c>
      <c r="F169">
        <v>69.2764</v>
      </c>
      <c r="G169">
        <v>0.4247622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3.774663</v>
      </c>
      <c r="N169">
        <v>54777.92</v>
      </c>
      <c r="O169">
        <v>454.0040243</v>
      </c>
      <c r="P169">
        <v>3047.663</v>
      </c>
      <c r="Q169">
        <v>3047.663</v>
      </c>
    </row>
    <row r="170" spans="1:17" ht="12.75">
      <c r="A170" t="s">
        <v>35</v>
      </c>
      <c r="B170" s="93">
        <v>40415</v>
      </c>
      <c r="C170">
        <v>1</v>
      </c>
      <c r="D170">
        <v>0.1788463</v>
      </c>
      <c r="E170">
        <v>0.1788463</v>
      </c>
      <c r="F170">
        <v>69.2252</v>
      </c>
      <c r="G170">
        <v>0.4247622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3.774663</v>
      </c>
      <c r="N170">
        <v>54777.92</v>
      </c>
      <c r="O170">
        <v>454.0040243</v>
      </c>
      <c r="P170">
        <v>2595.417</v>
      </c>
      <c r="Q170">
        <v>2595.417</v>
      </c>
    </row>
    <row r="171" spans="1:17" ht="12.75">
      <c r="A171" t="s">
        <v>35</v>
      </c>
      <c r="B171" s="93">
        <v>40415</v>
      </c>
      <c r="C171">
        <v>2</v>
      </c>
      <c r="D171">
        <v>0.1668908</v>
      </c>
      <c r="E171">
        <v>0.1668908</v>
      </c>
      <c r="F171">
        <v>68.5775</v>
      </c>
      <c r="G171">
        <v>0.4247622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3.774663</v>
      </c>
      <c r="N171">
        <v>54777.92</v>
      </c>
      <c r="O171">
        <v>454.0040243</v>
      </c>
      <c r="P171">
        <v>2421.92</v>
      </c>
      <c r="Q171">
        <v>2421.92</v>
      </c>
    </row>
    <row r="172" spans="1:17" ht="12.75">
      <c r="A172" t="s">
        <v>35</v>
      </c>
      <c r="B172" s="93">
        <v>40415</v>
      </c>
      <c r="C172">
        <v>3</v>
      </c>
      <c r="D172">
        <v>0.1547077</v>
      </c>
      <c r="E172">
        <v>0.1547077</v>
      </c>
      <c r="F172">
        <v>68.2126</v>
      </c>
      <c r="G172">
        <v>0.423869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3.774663</v>
      </c>
      <c r="N172">
        <v>54777.92</v>
      </c>
      <c r="O172">
        <v>455.123859</v>
      </c>
      <c r="P172">
        <v>2245.118</v>
      </c>
      <c r="Q172">
        <v>2245.118</v>
      </c>
    </row>
    <row r="173" spans="1:17" ht="12.75">
      <c r="A173" t="s">
        <v>35</v>
      </c>
      <c r="B173" s="93">
        <v>40415</v>
      </c>
      <c r="C173">
        <v>4</v>
      </c>
      <c r="D173">
        <v>0.1471015</v>
      </c>
      <c r="E173">
        <v>0.1471015</v>
      </c>
      <c r="F173">
        <v>68.083</v>
      </c>
      <c r="G173">
        <v>0.4232436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3.774663</v>
      </c>
      <c r="N173">
        <v>54777.92</v>
      </c>
      <c r="O173">
        <v>456.0502816</v>
      </c>
      <c r="P173">
        <v>2134.737</v>
      </c>
      <c r="Q173">
        <v>2134.737</v>
      </c>
    </row>
    <row r="174" spans="1:17" ht="12.75">
      <c r="A174" t="s">
        <v>35</v>
      </c>
      <c r="B174" s="93">
        <v>40415</v>
      </c>
      <c r="C174">
        <v>5</v>
      </c>
      <c r="D174">
        <v>0.1477698</v>
      </c>
      <c r="E174">
        <v>0.1477698</v>
      </c>
      <c r="F174">
        <v>68.0176</v>
      </c>
      <c r="G174">
        <v>0.4232436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3.774663</v>
      </c>
      <c r="N174">
        <v>54777.92</v>
      </c>
      <c r="O174">
        <v>456.0502816</v>
      </c>
      <c r="P174">
        <v>2144.436</v>
      </c>
      <c r="Q174">
        <v>2144.436</v>
      </c>
    </row>
    <row r="175" spans="1:17" ht="12.75">
      <c r="A175" t="s">
        <v>35</v>
      </c>
      <c r="B175" s="93">
        <v>40415</v>
      </c>
      <c r="C175">
        <v>6</v>
      </c>
      <c r="D175">
        <v>0.1604647</v>
      </c>
      <c r="E175">
        <v>0.1604647</v>
      </c>
      <c r="F175">
        <v>67.5383</v>
      </c>
      <c r="G175">
        <v>0.4232436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3.774663</v>
      </c>
      <c r="N175">
        <v>54777.92</v>
      </c>
      <c r="O175">
        <v>456.0502816</v>
      </c>
      <c r="P175">
        <v>2328.664</v>
      </c>
      <c r="Q175">
        <v>2328.664</v>
      </c>
    </row>
    <row r="176" spans="1:17" ht="12.75">
      <c r="A176" t="s">
        <v>35</v>
      </c>
      <c r="B176" s="93">
        <v>40415</v>
      </c>
      <c r="C176">
        <v>7</v>
      </c>
      <c r="D176">
        <v>0.2095692</v>
      </c>
      <c r="E176">
        <v>0.2095692</v>
      </c>
      <c r="F176">
        <v>68.1037</v>
      </c>
      <c r="G176">
        <v>0.4232436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3.774663</v>
      </c>
      <c r="N176">
        <v>54777.92</v>
      </c>
      <c r="O176">
        <v>456.0502816</v>
      </c>
      <c r="P176">
        <v>3041.268</v>
      </c>
      <c r="Q176">
        <v>3041.268</v>
      </c>
    </row>
    <row r="177" spans="1:17" ht="12.75">
      <c r="A177" t="s">
        <v>35</v>
      </c>
      <c r="B177" s="93">
        <v>40415</v>
      </c>
      <c r="C177">
        <v>8</v>
      </c>
      <c r="D177">
        <v>0.3705547</v>
      </c>
      <c r="E177">
        <v>0.3705547</v>
      </c>
      <c r="F177">
        <v>71.3936</v>
      </c>
      <c r="G177">
        <v>0.4232436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3.774663</v>
      </c>
      <c r="N177">
        <v>54777.92</v>
      </c>
      <c r="O177">
        <v>456.0502816</v>
      </c>
      <c r="P177">
        <v>5377.49</v>
      </c>
      <c r="Q177">
        <v>5377.49</v>
      </c>
    </row>
    <row r="178" spans="1:17" ht="12.75">
      <c r="A178" t="s">
        <v>35</v>
      </c>
      <c r="B178" s="93">
        <v>40415</v>
      </c>
      <c r="C178">
        <v>9</v>
      </c>
      <c r="D178">
        <v>0.6077237</v>
      </c>
      <c r="E178">
        <v>0.6077237</v>
      </c>
      <c r="F178">
        <v>76.0553</v>
      </c>
      <c r="G178">
        <v>0.4232436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3.774663</v>
      </c>
      <c r="N178">
        <v>54777.92</v>
      </c>
      <c r="O178">
        <v>456.0502816</v>
      </c>
      <c r="P178">
        <v>8819.286</v>
      </c>
      <c r="Q178">
        <v>8819.286</v>
      </c>
    </row>
    <row r="179" spans="1:17" ht="12.75">
      <c r="A179" t="s">
        <v>35</v>
      </c>
      <c r="B179" s="93">
        <v>40415</v>
      </c>
      <c r="C179">
        <v>10</v>
      </c>
      <c r="D179">
        <v>0.9072327</v>
      </c>
      <c r="E179">
        <v>0.9072327</v>
      </c>
      <c r="F179">
        <v>80.2295</v>
      </c>
      <c r="G179">
        <v>0.4232436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3.774663</v>
      </c>
      <c r="N179">
        <v>54777.92</v>
      </c>
      <c r="O179">
        <v>456.0502816</v>
      </c>
      <c r="P179">
        <v>13165.76</v>
      </c>
      <c r="Q179">
        <v>13165.76</v>
      </c>
    </row>
    <row r="180" spans="1:17" ht="12.75">
      <c r="A180" t="s">
        <v>35</v>
      </c>
      <c r="B180" s="93">
        <v>40415</v>
      </c>
      <c r="C180">
        <v>11</v>
      </c>
      <c r="D180">
        <v>1.210748</v>
      </c>
      <c r="E180">
        <v>1.210748</v>
      </c>
      <c r="F180">
        <v>82.5585</v>
      </c>
      <c r="G180">
        <v>0.4232436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3.774663</v>
      </c>
      <c r="N180">
        <v>54777.92</v>
      </c>
      <c r="O180">
        <v>456.0502816</v>
      </c>
      <c r="P180">
        <v>17570.38</v>
      </c>
      <c r="Q180">
        <v>17570.38</v>
      </c>
    </row>
    <row r="181" spans="1:17" ht="12.75">
      <c r="A181" t="s">
        <v>35</v>
      </c>
      <c r="B181" s="93">
        <v>40415</v>
      </c>
      <c r="C181">
        <v>12</v>
      </c>
      <c r="D181">
        <v>1.422272</v>
      </c>
      <c r="E181">
        <v>1.422272</v>
      </c>
      <c r="F181">
        <v>82.402</v>
      </c>
      <c r="G181">
        <v>0.4232436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3.774663</v>
      </c>
      <c r="N181">
        <v>54777.92</v>
      </c>
      <c r="O181">
        <v>456.0502816</v>
      </c>
      <c r="P181">
        <v>20640.01</v>
      </c>
      <c r="Q181">
        <v>20640.01</v>
      </c>
    </row>
    <row r="182" spans="1:17" ht="12.75">
      <c r="A182" t="s">
        <v>35</v>
      </c>
      <c r="B182" s="93">
        <v>40415</v>
      </c>
      <c r="C182">
        <v>13</v>
      </c>
      <c r="D182">
        <v>1.557979</v>
      </c>
      <c r="E182">
        <v>1.557979</v>
      </c>
      <c r="F182">
        <v>83.5302</v>
      </c>
      <c r="G182">
        <v>0.4241334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3.774663</v>
      </c>
      <c r="N182">
        <v>54777.92</v>
      </c>
      <c r="O182">
        <v>454.930447</v>
      </c>
      <c r="P182">
        <v>22609.39</v>
      </c>
      <c r="Q182">
        <v>22609.39</v>
      </c>
    </row>
    <row r="183" spans="1:17" ht="12.75">
      <c r="A183" t="s">
        <v>35</v>
      </c>
      <c r="B183" s="93">
        <v>40415</v>
      </c>
      <c r="C183">
        <v>14</v>
      </c>
      <c r="D183">
        <v>1.597061</v>
      </c>
      <c r="E183">
        <v>1.283844</v>
      </c>
      <c r="F183">
        <v>84.3379</v>
      </c>
      <c r="G183">
        <v>0.4248525</v>
      </c>
      <c r="H183">
        <v>0.2791895</v>
      </c>
      <c r="I183">
        <v>0.2992933</v>
      </c>
      <c r="J183">
        <v>0.3132172</v>
      </c>
      <c r="K183">
        <v>0.327141</v>
      </c>
      <c r="L183">
        <v>0.3472448</v>
      </c>
      <c r="M183">
        <v>3.774663</v>
      </c>
      <c r="N183">
        <v>54777.92</v>
      </c>
      <c r="O183">
        <v>454.8590761</v>
      </c>
      <c r="P183">
        <v>23176.55</v>
      </c>
      <c r="Q183">
        <v>18631.14</v>
      </c>
    </row>
    <row r="184" spans="1:17" ht="12.75">
      <c r="A184" t="s">
        <v>35</v>
      </c>
      <c r="B184" s="93">
        <v>40415</v>
      </c>
      <c r="C184">
        <v>15</v>
      </c>
      <c r="D184">
        <v>1.608348</v>
      </c>
      <c r="E184">
        <v>1.281237</v>
      </c>
      <c r="F184">
        <v>82.3524</v>
      </c>
      <c r="G184">
        <v>0.4232436</v>
      </c>
      <c r="H184">
        <v>0.2933719</v>
      </c>
      <c r="I184">
        <v>0.3133049</v>
      </c>
      <c r="J184">
        <v>0.3271104</v>
      </c>
      <c r="K184">
        <v>0.3409159</v>
      </c>
      <c r="L184">
        <v>0.360849</v>
      </c>
      <c r="M184">
        <v>3.774663</v>
      </c>
      <c r="N184">
        <v>54777.92</v>
      </c>
      <c r="O184">
        <v>456.0502816</v>
      </c>
      <c r="P184">
        <v>23340.35</v>
      </c>
      <c r="Q184">
        <v>18593.32</v>
      </c>
    </row>
    <row r="185" spans="1:17" ht="12.75">
      <c r="A185" t="s">
        <v>35</v>
      </c>
      <c r="B185" s="93">
        <v>40415</v>
      </c>
      <c r="C185">
        <v>16</v>
      </c>
      <c r="D185">
        <v>1.581539</v>
      </c>
      <c r="E185">
        <v>1.247116</v>
      </c>
      <c r="F185">
        <v>81.077</v>
      </c>
      <c r="G185">
        <v>0.4239608</v>
      </c>
      <c r="H185">
        <v>0.3006262</v>
      </c>
      <c r="I185">
        <v>0.3205939</v>
      </c>
      <c r="J185">
        <v>0.3344234</v>
      </c>
      <c r="K185">
        <v>0.348253</v>
      </c>
      <c r="L185">
        <v>0.3682207</v>
      </c>
      <c r="M185">
        <v>3.774663</v>
      </c>
      <c r="N185">
        <v>54777.92</v>
      </c>
      <c r="O185">
        <v>455.9789107</v>
      </c>
      <c r="P185">
        <v>22951.29</v>
      </c>
      <c r="Q185">
        <v>18098.14</v>
      </c>
    </row>
    <row r="186" spans="1:17" ht="12.75">
      <c r="A186" t="s">
        <v>35</v>
      </c>
      <c r="B186" s="93">
        <v>40415</v>
      </c>
      <c r="C186">
        <v>17</v>
      </c>
      <c r="D186">
        <v>1.484355</v>
      </c>
      <c r="E186">
        <v>1.139006</v>
      </c>
      <c r="F186">
        <v>81.0559</v>
      </c>
      <c r="G186">
        <v>0.4232436</v>
      </c>
      <c r="H186">
        <v>0.3115794</v>
      </c>
      <c r="I186">
        <v>0.3315307</v>
      </c>
      <c r="J186">
        <v>0.345349</v>
      </c>
      <c r="K186">
        <v>0.3591672</v>
      </c>
      <c r="L186">
        <v>0.3791185</v>
      </c>
      <c r="M186">
        <v>3.774663</v>
      </c>
      <c r="N186">
        <v>54777.92</v>
      </c>
      <c r="O186">
        <v>456.0502816</v>
      </c>
      <c r="P186">
        <v>21540.96</v>
      </c>
      <c r="Q186">
        <v>16529.25</v>
      </c>
    </row>
    <row r="187" spans="1:17" ht="12.75">
      <c r="A187" t="s">
        <v>35</v>
      </c>
      <c r="B187" s="93">
        <v>40415</v>
      </c>
      <c r="C187">
        <v>18</v>
      </c>
      <c r="D187">
        <v>1.191281</v>
      </c>
      <c r="E187">
        <v>1.313303</v>
      </c>
      <c r="F187">
        <v>79.1872</v>
      </c>
      <c r="G187">
        <v>0.4237061</v>
      </c>
      <c r="H187">
        <v>-0.1566931</v>
      </c>
      <c r="I187">
        <v>-0.1362092</v>
      </c>
      <c r="J187">
        <v>-0.1220222</v>
      </c>
      <c r="K187">
        <v>-0.1078351</v>
      </c>
      <c r="L187">
        <v>-0.0873512</v>
      </c>
      <c r="M187">
        <v>3.774663</v>
      </c>
      <c r="N187">
        <v>54777.92</v>
      </c>
      <c r="O187">
        <v>456.9767043</v>
      </c>
      <c r="P187">
        <v>17287.88</v>
      </c>
      <c r="Q187">
        <v>19058.66</v>
      </c>
    </row>
    <row r="188" spans="1:17" ht="12.75">
      <c r="A188" t="s">
        <v>35</v>
      </c>
      <c r="B188" s="93">
        <v>40415</v>
      </c>
      <c r="C188">
        <v>19</v>
      </c>
      <c r="D188">
        <v>0.8245829</v>
      </c>
      <c r="E188">
        <v>0.9054659</v>
      </c>
      <c r="F188">
        <v>75.5961</v>
      </c>
      <c r="G188">
        <v>0.4245878</v>
      </c>
      <c r="H188">
        <v>-0.1146778</v>
      </c>
      <c r="I188">
        <v>-0.0947115</v>
      </c>
      <c r="J188">
        <v>-0.080883</v>
      </c>
      <c r="K188">
        <v>-0.0670544</v>
      </c>
      <c r="L188">
        <v>-0.0470881</v>
      </c>
      <c r="M188">
        <v>3.774663</v>
      </c>
      <c r="N188">
        <v>54777.92</v>
      </c>
      <c r="O188">
        <v>455.0524881</v>
      </c>
      <c r="P188">
        <v>11966.35</v>
      </c>
      <c r="Q188">
        <v>13140.12</v>
      </c>
    </row>
    <row r="189" spans="1:17" ht="12.75">
      <c r="A189" t="s">
        <v>35</v>
      </c>
      <c r="B189" s="93">
        <v>40415</v>
      </c>
      <c r="C189">
        <v>20</v>
      </c>
      <c r="D189">
        <v>0.5777857</v>
      </c>
      <c r="E189">
        <v>0.6310673</v>
      </c>
      <c r="F189">
        <v>71.7199</v>
      </c>
      <c r="G189">
        <v>0.4252237</v>
      </c>
      <c r="H189">
        <v>-0.0868358</v>
      </c>
      <c r="I189">
        <v>-0.0670117</v>
      </c>
      <c r="J189">
        <v>-0.0532815</v>
      </c>
      <c r="K189">
        <v>-0.0395514</v>
      </c>
      <c r="L189">
        <v>-0.0197273</v>
      </c>
      <c r="M189">
        <v>3.774663</v>
      </c>
      <c r="N189">
        <v>54777.92</v>
      </c>
      <c r="O189">
        <v>454.930447</v>
      </c>
      <c r="P189">
        <v>8384.826</v>
      </c>
      <c r="Q189">
        <v>9158.049</v>
      </c>
    </row>
    <row r="190" spans="1:17" ht="12.75">
      <c r="A190" t="s">
        <v>35</v>
      </c>
      <c r="B190" s="93">
        <v>40415</v>
      </c>
      <c r="C190">
        <v>21</v>
      </c>
      <c r="D190">
        <v>0.4353362</v>
      </c>
      <c r="E190">
        <v>0.468976</v>
      </c>
      <c r="F190">
        <v>71.2669</v>
      </c>
      <c r="G190">
        <v>0.4250209</v>
      </c>
      <c r="H190">
        <v>-0.0671791</v>
      </c>
      <c r="I190">
        <v>-0.0473638</v>
      </c>
      <c r="J190">
        <v>-0.0336398</v>
      </c>
      <c r="K190">
        <v>-0.0199157</v>
      </c>
      <c r="L190">
        <v>-0.0001004</v>
      </c>
      <c r="M190">
        <v>3.774663</v>
      </c>
      <c r="N190">
        <v>54777.92</v>
      </c>
      <c r="O190">
        <v>453.0062308</v>
      </c>
      <c r="P190">
        <v>6317.6</v>
      </c>
      <c r="Q190">
        <v>6805.78</v>
      </c>
    </row>
    <row r="191" spans="1:17" ht="12.75">
      <c r="A191" t="s">
        <v>35</v>
      </c>
      <c r="B191" s="93">
        <v>40415</v>
      </c>
      <c r="C191">
        <v>22</v>
      </c>
      <c r="D191">
        <v>0.3244611</v>
      </c>
      <c r="E191">
        <v>0.3472013</v>
      </c>
      <c r="F191">
        <v>69.6999</v>
      </c>
      <c r="G191">
        <v>0.4248525</v>
      </c>
      <c r="H191">
        <v>-0.0561448</v>
      </c>
      <c r="I191">
        <v>-0.0364091</v>
      </c>
      <c r="J191">
        <v>-0.0227402</v>
      </c>
      <c r="K191">
        <v>-0.0090713</v>
      </c>
      <c r="L191">
        <v>0.0106645</v>
      </c>
      <c r="M191">
        <v>3.774663</v>
      </c>
      <c r="N191">
        <v>54777.92</v>
      </c>
      <c r="O191">
        <v>454.8590761</v>
      </c>
      <c r="P191">
        <v>4708.579</v>
      </c>
      <c r="Q191">
        <v>5038.585</v>
      </c>
    </row>
    <row r="192" spans="1:17" ht="12.75">
      <c r="A192" t="s">
        <v>35</v>
      </c>
      <c r="B192" s="93">
        <v>40415</v>
      </c>
      <c r="C192">
        <v>23</v>
      </c>
      <c r="D192">
        <v>0.2422335</v>
      </c>
      <c r="E192">
        <v>0.2566758</v>
      </c>
      <c r="F192">
        <v>69.435</v>
      </c>
      <c r="G192">
        <v>0.4254829</v>
      </c>
      <c r="H192">
        <v>-0.0479019</v>
      </c>
      <c r="I192">
        <v>-0.0281337</v>
      </c>
      <c r="J192">
        <v>-0.0144423</v>
      </c>
      <c r="K192">
        <v>-0.0007509</v>
      </c>
      <c r="L192">
        <v>0.0190173</v>
      </c>
      <c r="M192">
        <v>3.774663</v>
      </c>
      <c r="N192">
        <v>54777.92</v>
      </c>
      <c r="O192">
        <v>453.9326534</v>
      </c>
      <c r="P192">
        <v>3515.293</v>
      </c>
      <c r="Q192">
        <v>3724.88</v>
      </c>
    </row>
    <row r="193" spans="1:17" ht="12.75">
      <c r="A193" t="s">
        <v>35</v>
      </c>
      <c r="B193" s="93">
        <v>40415</v>
      </c>
      <c r="C193">
        <v>24</v>
      </c>
      <c r="D193">
        <v>0.199519</v>
      </c>
      <c r="E193">
        <v>0.199519</v>
      </c>
      <c r="F193">
        <v>68.7946</v>
      </c>
      <c r="G193">
        <v>0.4250209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3.774663</v>
      </c>
      <c r="N193">
        <v>54777.92</v>
      </c>
      <c r="O193">
        <v>453.0062308</v>
      </c>
      <c r="P193">
        <v>2895.42</v>
      </c>
      <c r="Q193">
        <v>2895.42</v>
      </c>
    </row>
    <row r="194" spans="1:17" ht="12.75">
      <c r="A194" t="s">
        <v>35</v>
      </c>
      <c r="B194" s="93">
        <v>40448</v>
      </c>
      <c r="C194">
        <v>1</v>
      </c>
      <c r="D194">
        <v>0.1909304</v>
      </c>
      <c r="E194">
        <v>0.1909304</v>
      </c>
      <c r="F194">
        <v>69.8921</v>
      </c>
      <c r="G194">
        <v>0.425023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3.774663</v>
      </c>
      <c r="N194">
        <v>54777.92</v>
      </c>
      <c r="O194">
        <v>447.8145386</v>
      </c>
      <c r="P194">
        <v>2770.783</v>
      </c>
      <c r="Q194">
        <v>2770.783</v>
      </c>
    </row>
    <row r="195" spans="1:17" ht="12.75">
      <c r="A195" t="s">
        <v>35</v>
      </c>
      <c r="B195" s="93">
        <v>40448</v>
      </c>
      <c r="C195">
        <v>2</v>
      </c>
      <c r="D195">
        <v>0.1749185</v>
      </c>
      <c r="E195">
        <v>0.1749185</v>
      </c>
      <c r="F195">
        <v>69.2917</v>
      </c>
      <c r="G195">
        <v>0.425023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3.774663</v>
      </c>
      <c r="N195">
        <v>54777.92</v>
      </c>
      <c r="O195">
        <v>447.8145386</v>
      </c>
      <c r="P195">
        <v>2538.417</v>
      </c>
      <c r="Q195">
        <v>2538.417</v>
      </c>
    </row>
    <row r="196" spans="1:17" ht="12.75">
      <c r="A196" t="s">
        <v>35</v>
      </c>
      <c r="B196" s="93">
        <v>40448</v>
      </c>
      <c r="C196">
        <v>3</v>
      </c>
      <c r="D196">
        <v>0.1596203</v>
      </c>
      <c r="E196">
        <v>0.1596203</v>
      </c>
      <c r="F196">
        <v>70.0142</v>
      </c>
      <c r="G196">
        <v>0.425023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3.774663</v>
      </c>
      <c r="N196">
        <v>54777.92</v>
      </c>
      <c r="O196">
        <v>447.8145386</v>
      </c>
      <c r="P196">
        <v>2316.41</v>
      </c>
      <c r="Q196">
        <v>2316.41</v>
      </c>
    </row>
    <row r="197" spans="1:17" ht="12.75">
      <c r="A197" t="s">
        <v>35</v>
      </c>
      <c r="B197" s="93">
        <v>40448</v>
      </c>
      <c r="C197">
        <v>4</v>
      </c>
      <c r="D197">
        <v>0.1489639</v>
      </c>
      <c r="E197">
        <v>0.1489639</v>
      </c>
      <c r="F197">
        <v>70.0016</v>
      </c>
      <c r="G197">
        <v>0.425023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3.774663</v>
      </c>
      <c r="N197">
        <v>54777.92</v>
      </c>
      <c r="O197">
        <v>447.8145386</v>
      </c>
      <c r="P197">
        <v>2161.765</v>
      </c>
      <c r="Q197">
        <v>2161.765</v>
      </c>
    </row>
    <row r="198" spans="1:17" ht="12.75">
      <c r="A198" t="s">
        <v>35</v>
      </c>
      <c r="B198" s="93">
        <v>40448</v>
      </c>
      <c r="C198">
        <v>5</v>
      </c>
      <c r="D198">
        <v>0.146237</v>
      </c>
      <c r="E198">
        <v>0.146237</v>
      </c>
      <c r="F198">
        <v>69.0562</v>
      </c>
      <c r="G198">
        <v>0.425023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3.774663</v>
      </c>
      <c r="N198">
        <v>54777.92</v>
      </c>
      <c r="O198">
        <v>447.8145386</v>
      </c>
      <c r="P198">
        <v>2122.192</v>
      </c>
      <c r="Q198">
        <v>2122.192</v>
      </c>
    </row>
    <row r="199" spans="1:17" ht="12.75">
      <c r="A199" t="s">
        <v>35</v>
      </c>
      <c r="B199" s="93">
        <v>40448</v>
      </c>
      <c r="C199">
        <v>6</v>
      </c>
      <c r="D199">
        <v>0.160567</v>
      </c>
      <c r="E199">
        <v>0.160567</v>
      </c>
      <c r="F199">
        <v>71.9367</v>
      </c>
      <c r="G199">
        <v>0.425023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3.774663</v>
      </c>
      <c r="N199">
        <v>54777.92</v>
      </c>
      <c r="O199">
        <v>447.8145386</v>
      </c>
      <c r="P199">
        <v>2330.148</v>
      </c>
      <c r="Q199">
        <v>2330.148</v>
      </c>
    </row>
    <row r="200" spans="1:17" ht="12.75">
      <c r="A200" t="s">
        <v>35</v>
      </c>
      <c r="B200" s="93">
        <v>40448</v>
      </c>
      <c r="C200">
        <v>7</v>
      </c>
      <c r="D200">
        <v>0.2207071</v>
      </c>
      <c r="E200">
        <v>0.2207071</v>
      </c>
      <c r="F200">
        <v>72.4243</v>
      </c>
      <c r="G200">
        <v>0.425023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3.774663</v>
      </c>
      <c r="N200">
        <v>54777.92</v>
      </c>
      <c r="O200">
        <v>447.8145386</v>
      </c>
      <c r="P200">
        <v>3202.901</v>
      </c>
      <c r="Q200">
        <v>3202.901</v>
      </c>
    </row>
    <row r="201" spans="1:17" ht="12.75">
      <c r="A201" t="s">
        <v>35</v>
      </c>
      <c r="B201" s="93">
        <v>40448</v>
      </c>
      <c r="C201">
        <v>8</v>
      </c>
      <c r="D201">
        <v>0.4360818</v>
      </c>
      <c r="E201">
        <v>0.4360818</v>
      </c>
      <c r="F201">
        <v>82.1116</v>
      </c>
      <c r="G201">
        <v>0.425023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3.774663</v>
      </c>
      <c r="N201">
        <v>54777.92</v>
      </c>
      <c r="O201">
        <v>447.8145386</v>
      </c>
      <c r="P201">
        <v>6328.419</v>
      </c>
      <c r="Q201">
        <v>6328.419</v>
      </c>
    </row>
    <row r="202" spans="1:17" ht="12.75">
      <c r="A202" t="s">
        <v>35</v>
      </c>
      <c r="B202" s="93">
        <v>40448</v>
      </c>
      <c r="C202">
        <v>9</v>
      </c>
      <c r="D202">
        <v>0.8384598</v>
      </c>
      <c r="E202">
        <v>0.8384598</v>
      </c>
      <c r="F202">
        <v>90.104</v>
      </c>
      <c r="G202">
        <v>0.4257306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3.774663</v>
      </c>
      <c r="N202">
        <v>54777.92</v>
      </c>
      <c r="O202">
        <v>448.7409613</v>
      </c>
      <c r="P202">
        <v>12167.73</v>
      </c>
      <c r="Q202">
        <v>12167.73</v>
      </c>
    </row>
    <row r="203" spans="1:17" ht="12.75">
      <c r="A203" t="s">
        <v>35</v>
      </c>
      <c r="B203" s="93">
        <v>40448</v>
      </c>
      <c r="C203">
        <v>10</v>
      </c>
      <c r="D203">
        <v>1.377275</v>
      </c>
      <c r="E203">
        <v>1.377275</v>
      </c>
      <c r="F203">
        <v>95.7927</v>
      </c>
      <c r="G203">
        <v>0.4257306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3.774663</v>
      </c>
      <c r="N203">
        <v>54777.92</v>
      </c>
      <c r="O203">
        <v>448.7409613</v>
      </c>
      <c r="P203">
        <v>19987.01</v>
      </c>
      <c r="Q203">
        <v>19987.01</v>
      </c>
    </row>
    <row r="204" spans="1:17" ht="12.75">
      <c r="A204" t="s">
        <v>35</v>
      </c>
      <c r="B204" s="93">
        <v>40448</v>
      </c>
      <c r="C204">
        <v>11</v>
      </c>
      <c r="D204">
        <v>1.983621</v>
      </c>
      <c r="E204">
        <v>1.983621</v>
      </c>
      <c r="F204">
        <v>100.482</v>
      </c>
      <c r="G204">
        <v>0.4257306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3.774663</v>
      </c>
      <c r="N204">
        <v>54777.92</v>
      </c>
      <c r="O204">
        <v>448.7409613</v>
      </c>
      <c r="P204">
        <v>28786.31</v>
      </c>
      <c r="Q204">
        <v>28786.31</v>
      </c>
    </row>
    <row r="205" spans="1:17" ht="12.75">
      <c r="A205" t="s">
        <v>35</v>
      </c>
      <c r="B205" s="93">
        <v>40448</v>
      </c>
      <c r="C205">
        <v>12</v>
      </c>
      <c r="D205">
        <v>2.439841</v>
      </c>
      <c r="E205">
        <v>2.439841</v>
      </c>
      <c r="F205">
        <v>97.3661</v>
      </c>
      <c r="G205">
        <v>0.4257306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3.774663</v>
      </c>
      <c r="N205">
        <v>54777.92</v>
      </c>
      <c r="O205">
        <v>448.7409613</v>
      </c>
      <c r="P205">
        <v>35406.97</v>
      </c>
      <c r="Q205">
        <v>35406.97</v>
      </c>
    </row>
    <row r="206" spans="1:17" ht="12.75">
      <c r="A206" t="s">
        <v>35</v>
      </c>
      <c r="B206" s="93">
        <v>40448</v>
      </c>
      <c r="C206">
        <v>13</v>
      </c>
      <c r="D206">
        <v>2.634141</v>
      </c>
      <c r="E206">
        <v>2.634141</v>
      </c>
      <c r="F206">
        <v>97.3576</v>
      </c>
      <c r="G206">
        <v>0.425023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3.774663</v>
      </c>
      <c r="N206">
        <v>54777.92</v>
      </c>
      <c r="O206">
        <v>447.8145386</v>
      </c>
      <c r="P206">
        <v>38226.65</v>
      </c>
      <c r="Q206">
        <v>38226.65</v>
      </c>
    </row>
    <row r="207" spans="1:17" ht="12.75">
      <c r="A207" t="s">
        <v>35</v>
      </c>
      <c r="B207" s="93">
        <v>40448</v>
      </c>
      <c r="C207">
        <v>14</v>
      </c>
      <c r="D207">
        <v>2.614257</v>
      </c>
      <c r="E207">
        <v>2.614257</v>
      </c>
      <c r="F207">
        <v>95.2896</v>
      </c>
      <c r="G207">
        <v>0.4257306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3.774663</v>
      </c>
      <c r="N207">
        <v>54777.92</v>
      </c>
      <c r="O207">
        <v>448.7409613</v>
      </c>
      <c r="P207">
        <v>37938.09</v>
      </c>
      <c r="Q207">
        <v>37938.09</v>
      </c>
    </row>
    <row r="208" spans="1:17" ht="12.75">
      <c r="A208" t="s">
        <v>35</v>
      </c>
      <c r="B208" s="93">
        <v>40448</v>
      </c>
      <c r="C208">
        <v>15</v>
      </c>
      <c r="D208">
        <v>2.653927</v>
      </c>
      <c r="E208">
        <v>2.197148</v>
      </c>
      <c r="F208">
        <v>95.0732</v>
      </c>
      <c r="G208">
        <v>0.4257306</v>
      </c>
      <c r="H208">
        <v>0.4185738</v>
      </c>
      <c r="I208">
        <v>0.4411462</v>
      </c>
      <c r="J208">
        <v>0.4567797</v>
      </c>
      <c r="K208">
        <v>0.4724133</v>
      </c>
      <c r="L208">
        <v>0.4949856</v>
      </c>
      <c r="M208">
        <v>3.774663</v>
      </c>
      <c r="N208">
        <v>54777.92</v>
      </c>
      <c r="O208">
        <v>448.7409613</v>
      </c>
      <c r="P208">
        <v>38513.79</v>
      </c>
      <c r="Q208">
        <v>31885.01</v>
      </c>
    </row>
    <row r="209" spans="1:17" ht="12.75">
      <c r="A209" t="s">
        <v>35</v>
      </c>
      <c r="B209" s="93">
        <v>40448</v>
      </c>
      <c r="C209">
        <v>16</v>
      </c>
      <c r="D209">
        <v>2.577448</v>
      </c>
      <c r="E209">
        <v>2.109331</v>
      </c>
      <c r="F209">
        <v>93.277</v>
      </c>
      <c r="G209">
        <v>0.4261956</v>
      </c>
      <c r="H209">
        <v>0.4299038</v>
      </c>
      <c r="I209">
        <v>0.4524803</v>
      </c>
      <c r="J209">
        <v>0.4681168</v>
      </c>
      <c r="K209">
        <v>0.4837532</v>
      </c>
      <c r="L209">
        <v>0.5063297</v>
      </c>
      <c r="M209">
        <v>3.774663</v>
      </c>
      <c r="N209">
        <v>54777.92</v>
      </c>
      <c r="O209">
        <v>449.6673839</v>
      </c>
      <c r="P209">
        <v>37403.92</v>
      </c>
      <c r="Q209">
        <v>30610.61</v>
      </c>
    </row>
    <row r="210" spans="1:17" ht="12.75">
      <c r="A210" t="s">
        <v>35</v>
      </c>
      <c r="B210" s="93">
        <v>40448</v>
      </c>
      <c r="C210">
        <v>17</v>
      </c>
      <c r="D210">
        <v>2.418906</v>
      </c>
      <c r="E210">
        <v>1.94036</v>
      </c>
      <c r="F210">
        <v>91.3274</v>
      </c>
      <c r="G210">
        <v>0.4261956</v>
      </c>
      <c r="H210">
        <v>0.4402786</v>
      </c>
      <c r="I210">
        <v>0.4628878</v>
      </c>
      <c r="J210">
        <v>0.4785469</v>
      </c>
      <c r="K210">
        <v>0.4942059</v>
      </c>
      <c r="L210">
        <v>0.5168151</v>
      </c>
      <c r="M210">
        <v>3.774663</v>
      </c>
      <c r="N210">
        <v>54777.92</v>
      </c>
      <c r="O210">
        <v>449.6673839</v>
      </c>
      <c r="P210">
        <v>35103.17</v>
      </c>
      <c r="Q210">
        <v>28158.5</v>
      </c>
    </row>
    <row r="211" spans="1:17" ht="12.75">
      <c r="A211" t="s">
        <v>35</v>
      </c>
      <c r="B211" s="93">
        <v>40448</v>
      </c>
      <c r="C211">
        <v>18</v>
      </c>
      <c r="D211">
        <v>1.901139</v>
      </c>
      <c r="E211">
        <v>1.419804</v>
      </c>
      <c r="F211">
        <v>87.5186</v>
      </c>
      <c r="G211">
        <v>0.4252902</v>
      </c>
      <c r="H211">
        <v>0.4420453</v>
      </c>
      <c r="I211">
        <v>0.4652577</v>
      </c>
      <c r="J211">
        <v>0.4813346</v>
      </c>
      <c r="K211">
        <v>0.4974114</v>
      </c>
      <c r="L211">
        <v>0.5206239</v>
      </c>
      <c r="M211">
        <v>3.774663</v>
      </c>
      <c r="N211">
        <v>54777.92</v>
      </c>
      <c r="O211">
        <v>450.7872186</v>
      </c>
      <c r="P211">
        <v>27589.32</v>
      </c>
      <c r="Q211">
        <v>20604.2</v>
      </c>
    </row>
    <row r="212" spans="1:17" ht="12.75">
      <c r="A212" t="s">
        <v>35</v>
      </c>
      <c r="B212" s="93">
        <v>40448</v>
      </c>
      <c r="C212">
        <v>19</v>
      </c>
      <c r="D212">
        <v>1.276228</v>
      </c>
      <c r="E212">
        <v>1.443057</v>
      </c>
      <c r="F212">
        <v>82.7156</v>
      </c>
      <c r="G212">
        <v>0.4252902</v>
      </c>
      <c r="H212">
        <v>-0.2056215</v>
      </c>
      <c r="I212">
        <v>-0.1827023</v>
      </c>
      <c r="J212">
        <v>-0.1668285</v>
      </c>
      <c r="K212">
        <v>-0.1509547</v>
      </c>
      <c r="L212">
        <v>-0.1280355</v>
      </c>
      <c r="M212">
        <v>3.774663</v>
      </c>
      <c r="N212">
        <v>54777.92</v>
      </c>
      <c r="O212">
        <v>450.7872186</v>
      </c>
      <c r="P212">
        <v>18520.62</v>
      </c>
      <c r="Q212">
        <v>20941.64</v>
      </c>
    </row>
    <row r="213" spans="1:17" ht="12.75">
      <c r="A213" t="s">
        <v>35</v>
      </c>
      <c r="B213" s="93">
        <v>40448</v>
      </c>
      <c r="C213">
        <v>20</v>
      </c>
      <c r="D213">
        <v>0.893547</v>
      </c>
      <c r="E213">
        <v>1.003495</v>
      </c>
      <c r="F213">
        <v>80.9651</v>
      </c>
      <c r="G213">
        <v>0.4261956</v>
      </c>
      <c r="H213">
        <v>-0.1482089</v>
      </c>
      <c r="I213">
        <v>-0.1256038</v>
      </c>
      <c r="J213">
        <v>-0.1099475</v>
      </c>
      <c r="K213">
        <v>-0.0942913</v>
      </c>
      <c r="L213">
        <v>-0.0716861</v>
      </c>
      <c r="M213">
        <v>3.774663</v>
      </c>
      <c r="N213">
        <v>54777.92</v>
      </c>
      <c r="O213">
        <v>449.6673839</v>
      </c>
      <c r="P213">
        <v>12967.15</v>
      </c>
      <c r="Q213">
        <v>14562.71</v>
      </c>
    </row>
    <row r="214" spans="1:17" ht="12.75">
      <c r="A214" t="s">
        <v>35</v>
      </c>
      <c r="B214" s="93">
        <v>40448</v>
      </c>
      <c r="C214">
        <v>21</v>
      </c>
      <c r="D214">
        <v>0.6688818</v>
      </c>
      <c r="E214">
        <v>0.7407091</v>
      </c>
      <c r="F214">
        <v>79.692</v>
      </c>
      <c r="G214">
        <v>0.4264161</v>
      </c>
      <c r="H214">
        <v>-0.1098756</v>
      </c>
      <c r="I214">
        <v>-0.0873964</v>
      </c>
      <c r="J214">
        <v>-0.0718274</v>
      </c>
      <c r="K214">
        <v>-0.0562583</v>
      </c>
      <c r="L214">
        <v>-0.0337791</v>
      </c>
      <c r="M214">
        <v>3.774663</v>
      </c>
      <c r="N214">
        <v>54777.92</v>
      </c>
      <c r="O214">
        <v>448.6395773</v>
      </c>
      <c r="P214">
        <v>9706.813</v>
      </c>
      <c r="Q214">
        <v>10749.17</v>
      </c>
    </row>
    <row r="215" spans="1:17" ht="12.75">
      <c r="A215" t="s">
        <v>35</v>
      </c>
      <c r="B215" s="93">
        <v>40448</v>
      </c>
      <c r="C215">
        <v>22</v>
      </c>
      <c r="D215">
        <v>0.48904</v>
      </c>
      <c r="E215">
        <v>0.535392</v>
      </c>
      <c r="F215">
        <v>78.5035</v>
      </c>
      <c r="G215">
        <v>0.4268294</v>
      </c>
      <c r="H215">
        <v>-0.0843552</v>
      </c>
      <c r="I215">
        <v>-0.0619026</v>
      </c>
      <c r="J215">
        <v>-0.046352</v>
      </c>
      <c r="K215">
        <v>-0.0308015</v>
      </c>
      <c r="L215">
        <v>-0.0083489</v>
      </c>
      <c r="M215">
        <v>3.774663</v>
      </c>
      <c r="N215">
        <v>54777.92</v>
      </c>
      <c r="O215">
        <v>447.6117706</v>
      </c>
      <c r="P215">
        <v>7096.949</v>
      </c>
      <c r="Q215">
        <v>7769.609</v>
      </c>
    </row>
    <row r="216" spans="1:17" ht="12.75">
      <c r="A216" t="s">
        <v>35</v>
      </c>
      <c r="B216" s="93">
        <v>40448</v>
      </c>
      <c r="C216">
        <v>23</v>
      </c>
      <c r="D216">
        <v>0.3459622</v>
      </c>
      <c r="E216">
        <v>0.3754922</v>
      </c>
      <c r="F216">
        <v>76.1823</v>
      </c>
      <c r="G216">
        <v>0.4268294</v>
      </c>
      <c r="H216">
        <v>-0.0674156</v>
      </c>
      <c r="I216">
        <v>-0.0450324</v>
      </c>
      <c r="J216">
        <v>-0.0295299</v>
      </c>
      <c r="K216">
        <v>-0.0140274</v>
      </c>
      <c r="L216">
        <v>0.0083557</v>
      </c>
      <c r="M216">
        <v>3.774663</v>
      </c>
      <c r="N216">
        <v>54777.92</v>
      </c>
      <c r="O216">
        <v>447.6117706</v>
      </c>
      <c r="P216">
        <v>5020.604</v>
      </c>
      <c r="Q216">
        <v>5449.142</v>
      </c>
    </row>
    <row r="217" spans="1:17" ht="12.75">
      <c r="A217" t="s">
        <v>35</v>
      </c>
      <c r="B217" s="93">
        <v>40448</v>
      </c>
      <c r="C217">
        <v>24</v>
      </c>
      <c r="D217">
        <v>0.265069</v>
      </c>
      <c r="E217">
        <v>0.2833</v>
      </c>
      <c r="F217">
        <v>74.8658</v>
      </c>
      <c r="G217">
        <v>0.4263637</v>
      </c>
      <c r="H217">
        <v>-0.0559515</v>
      </c>
      <c r="I217">
        <v>-0.0336659</v>
      </c>
      <c r="J217">
        <v>-0.018231</v>
      </c>
      <c r="K217">
        <v>-0.0027961</v>
      </c>
      <c r="L217">
        <v>0.0194895</v>
      </c>
      <c r="M217">
        <v>3.774663</v>
      </c>
      <c r="N217">
        <v>54777.92</v>
      </c>
      <c r="O217">
        <v>446.685348</v>
      </c>
      <c r="P217">
        <v>3846.681</v>
      </c>
      <c r="Q217">
        <v>4111.249</v>
      </c>
    </row>
    <row r="218" spans="1:17" ht="12.75">
      <c r="A218" t="s">
        <v>35</v>
      </c>
      <c r="B218" s="93">
        <v>40449</v>
      </c>
      <c r="C218">
        <v>1</v>
      </c>
      <c r="D218">
        <v>0.2050951</v>
      </c>
      <c r="E218">
        <v>0.2050951</v>
      </c>
      <c r="F218">
        <v>75.7233</v>
      </c>
      <c r="G218">
        <v>0.4263637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3.774663</v>
      </c>
      <c r="N218">
        <v>54777.92</v>
      </c>
      <c r="O218">
        <v>446.685348</v>
      </c>
      <c r="P218">
        <v>2976.339</v>
      </c>
      <c r="Q218">
        <v>2976.339</v>
      </c>
    </row>
    <row r="219" spans="1:17" ht="12.75">
      <c r="A219" t="s">
        <v>35</v>
      </c>
      <c r="B219" s="93">
        <v>40449</v>
      </c>
      <c r="C219">
        <v>2</v>
      </c>
      <c r="D219">
        <v>0.1829729</v>
      </c>
      <c r="E219">
        <v>0.1829729</v>
      </c>
      <c r="F219">
        <v>73.7315</v>
      </c>
      <c r="G219">
        <v>0.4259506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3.774663</v>
      </c>
      <c r="N219">
        <v>54777.92</v>
      </c>
      <c r="O219">
        <v>447.7131546</v>
      </c>
      <c r="P219">
        <v>2655.302</v>
      </c>
      <c r="Q219">
        <v>2655.302</v>
      </c>
    </row>
    <row r="220" spans="1:17" ht="12.75">
      <c r="A220" t="s">
        <v>35</v>
      </c>
      <c r="B220" s="93">
        <v>40449</v>
      </c>
      <c r="C220">
        <v>3</v>
      </c>
      <c r="D220">
        <v>0.1624194</v>
      </c>
      <c r="E220">
        <v>0.1624194</v>
      </c>
      <c r="F220">
        <v>74.3823</v>
      </c>
      <c r="G220">
        <v>0.4259506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3.774663</v>
      </c>
      <c r="N220">
        <v>54777.92</v>
      </c>
      <c r="O220">
        <v>447.7131546</v>
      </c>
      <c r="P220">
        <v>2357.031</v>
      </c>
      <c r="Q220">
        <v>2357.031</v>
      </c>
    </row>
    <row r="221" spans="1:17" ht="12.75">
      <c r="A221" t="s">
        <v>35</v>
      </c>
      <c r="B221" s="93">
        <v>40449</v>
      </c>
      <c r="C221">
        <v>4</v>
      </c>
      <c r="D221">
        <v>0.1469698</v>
      </c>
      <c r="E221">
        <v>0.1469698</v>
      </c>
      <c r="F221">
        <v>75.8949</v>
      </c>
      <c r="G221">
        <v>0.4259506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3.774663</v>
      </c>
      <c r="N221">
        <v>54777.92</v>
      </c>
      <c r="O221">
        <v>447.7131546</v>
      </c>
      <c r="P221">
        <v>2132.826</v>
      </c>
      <c r="Q221">
        <v>2132.826</v>
      </c>
    </row>
    <row r="222" spans="1:17" ht="12.75">
      <c r="A222" t="s">
        <v>35</v>
      </c>
      <c r="B222" s="93">
        <v>40449</v>
      </c>
      <c r="C222">
        <v>5</v>
      </c>
      <c r="D222">
        <v>0.1426179</v>
      </c>
      <c r="E222">
        <v>0.1426179</v>
      </c>
      <c r="F222">
        <v>74.8333</v>
      </c>
      <c r="G222">
        <v>0.4259506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3.774663</v>
      </c>
      <c r="N222">
        <v>54777.92</v>
      </c>
      <c r="O222">
        <v>447.7131546</v>
      </c>
      <c r="P222">
        <v>2069.671</v>
      </c>
      <c r="Q222">
        <v>2069.671</v>
      </c>
    </row>
    <row r="223" spans="1:17" ht="12.75">
      <c r="A223" t="s">
        <v>35</v>
      </c>
      <c r="B223" s="93">
        <v>40449</v>
      </c>
      <c r="C223">
        <v>6</v>
      </c>
      <c r="D223">
        <v>0.1654107</v>
      </c>
      <c r="E223">
        <v>0.1654107</v>
      </c>
      <c r="F223">
        <v>74.4267</v>
      </c>
      <c r="G223">
        <v>0.4259506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3.774663</v>
      </c>
      <c r="N223">
        <v>54777.92</v>
      </c>
      <c r="O223">
        <v>447.7131546</v>
      </c>
      <c r="P223">
        <v>2400.44</v>
      </c>
      <c r="Q223">
        <v>2400.44</v>
      </c>
    </row>
    <row r="224" spans="1:17" ht="12.75">
      <c r="A224" t="s">
        <v>35</v>
      </c>
      <c r="B224" s="93">
        <v>40449</v>
      </c>
      <c r="C224">
        <v>7</v>
      </c>
      <c r="D224">
        <v>0.2476346</v>
      </c>
      <c r="E224">
        <v>0.2476346</v>
      </c>
      <c r="F224">
        <v>74.422</v>
      </c>
      <c r="G224">
        <v>0.4263637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3.774663</v>
      </c>
      <c r="N224">
        <v>54777.92</v>
      </c>
      <c r="O224">
        <v>446.685348</v>
      </c>
      <c r="P224">
        <v>3593.674</v>
      </c>
      <c r="Q224">
        <v>3593.674</v>
      </c>
    </row>
    <row r="225" spans="1:17" ht="12.75">
      <c r="A225" t="s">
        <v>35</v>
      </c>
      <c r="B225" s="93">
        <v>40449</v>
      </c>
      <c r="C225">
        <v>8</v>
      </c>
      <c r="D225">
        <v>0.524922</v>
      </c>
      <c r="E225">
        <v>0.524922</v>
      </c>
      <c r="F225">
        <v>75.0648</v>
      </c>
      <c r="G225">
        <v>0.4259506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3.774663</v>
      </c>
      <c r="N225">
        <v>54777.92</v>
      </c>
      <c r="O225">
        <v>447.7131546</v>
      </c>
      <c r="P225">
        <v>7617.667</v>
      </c>
      <c r="Q225">
        <v>7617.667</v>
      </c>
    </row>
    <row r="226" spans="1:17" ht="12.75">
      <c r="A226" t="s">
        <v>35</v>
      </c>
      <c r="B226" s="93">
        <v>40449</v>
      </c>
      <c r="C226">
        <v>9</v>
      </c>
      <c r="D226">
        <v>0.8826686</v>
      </c>
      <c r="E226">
        <v>0.8826686</v>
      </c>
      <c r="F226">
        <v>76.5266</v>
      </c>
      <c r="G226">
        <v>0.4250419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3.774663</v>
      </c>
      <c r="N226">
        <v>54777.92</v>
      </c>
      <c r="O226">
        <v>448.8329893</v>
      </c>
      <c r="P226">
        <v>12809.29</v>
      </c>
      <c r="Q226">
        <v>12809.29</v>
      </c>
    </row>
    <row r="227" spans="1:17" ht="12.75">
      <c r="A227" t="s">
        <v>35</v>
      </c>
      <c r="B227" s="93">
        <v>40449</v>
      </c>
      <c r="C227">
        <v>10</v>
      </c>
      <c r="D227">
        <v>1.245473</v>
      </c>
      <c r="E227">
        <v>1.245473</v>
      </c>
      <c r="F227">
        <v>80.0783</v>
      </c>
      <c r="G227">
        <v>0.4250419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3.774663</v>
      </c>
      <c r="N227">
        <v>54777.92</v>
      </c>
      <c r="O227">
        <v>448.8329893</v>
      </c>
      <c r="P227">
        <v>18074.3</v>
      </c>
      <c r="Q227">
        <v>18074.3</v>
      </c>
    </row>
    <row r="228" spans="1:17" ht="12.75">
      <c r="A228" t="s">
        <v>35</v>
      </c>
      <c r="B228" s="93">
        <v>40449</v>
      </c>
      <c r="C228">
        <v>11</v>
      </c>
      <c r="D228">
        <v>1.570962</v>
      </c>
      <c r="E228">
        <v>1.570962</v>
      </c>
      <c r="F228">
        <v>83.7122</v>
      </c>
      <c r="G228">
        <v>0.4250419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3.774663</v>
      </c>
      <c r="N228">
        <v>54777.92</v>
      </c>
      <c r="O228">
        <v>448.8329893</v>
      </c>
      <c r="P228">
        <v>22797.81</v>
      </c>
      <c r="Q228">
        <v>22797.81</v>
      </c>
    </row>
    <row r="229" spans="1:17" ht="12.75">
      <c r="A229" t="s">
        <v>35</v>
      </c>
      <c r="B229" s="93">
        <v>40449</v>
      </c>
      <c r="C229">
        <v>12</v>
      </c>
      <c r="D229">
        <v>1.798065</v>
      </c>
      <c r="E229">
        <v>1.798065</v>
      </c>
      <c r="F229">
        <v>84.6998</v>
      </c>
      <c r="G229">
        <v>0.4250419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3.774663</v>
      </c>
      <c r="N229">
        <v>54777.92</v>
      </c>
      <c r="O229">
        <v>448.8329893</v>
      </c>
      <c r="P229">
        <v>26093.51</v>
      </c>
      <c r="Q229">
        <v>26093.51</v>
      </c>
    </row>
    <row r="230" spans="1:17" ht="12.75">
      <c r="A230" t="s">
        <v>35</v>
      </c>
      <c r="B230" s="93">
        <v>40449</v>
      </c>
      <c r="C230">
        <v>13</v>
      </c>
      <c r="D230">
        <v>1.862888</v>
      </c>
      <c r="E230">
        <v>1.862888</v>
      </c>
      <c r="F230">
        <v>83.8231</v>
      </c>
      <c r="G230">
        <v>0.4250419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3.774663</v>
      </c>
      <c r="N230">
        <v>54777.92</v>
      </c>
      <c r="O230">
        <v>448.8329893</v>
      </c>
      <c r="P230">
        <v>27034.24</v>
      </c>
      <c r="Q230">
        <v>27034.24</v>
      </c>
    </row>
    <row r="231" spans="1:17" ht="12.75">
      <c r="A231" t="s">
        <v>35</v>
      </c>
      <c r="B231" s="93">
        <v>40449</v>
      </c>
      <c r="C231">
        <v>14</v>
      </c>
      <c r="D231">
        <v>1.793269</v>
      </c>
      <c r="E231">
        <v>1.793269</v>
      </c>
      <c r="F231">
        <v>83.4669</v>
      </c>
      <c r="G231">
        <v>0.424333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3.774663</v>
      </c>
      <c r="N231">
        <v>54777.92</v>
      </c>
      <c r="O231">
        <v>447.9065666</v>
      </c>
      <c r="P231">
        <v>26023.92</v>
      </c>
      <c r="Q231">
        <v>26023.92</v>
      </c>
    </row>
    <row r="232" spans="1:17" ht="12.75">
      <c r="A232" t="s">
        <v>35</v>
      </c>
      <c r="B232" s="93">
        <v>40449</v>
      </c>
      <c r="C232">
        <v>15</v>
      </c>
      <c r="D232">
        <v>1.789671</v>
      </c>
      <c r="E232">
        <v>1.436644</v>
      </c>
      <c r="F232">
        <v>84.5456</v>
      </c>
      <c r="G232">
        <v>0.4254519</v>
      </c>
      <c r="H232">
        <v>0.318308</v>
      </c>
      <c r="I232">
        <v>0.3388204</v>
      </c>
      <c r="J232">
        <v>0.3530272</v>
      </c>
      <c r="K232">
        <v>0.3672341</v>
      </c>
      <c r="L232">
        <v>0.3877465</v>
      </c>
      <c r="M232">
        <v>3.774663</v>
      </c>
      <c r="N232">
        <v>54777.92</v>
      </c>
      <c r="O232">
        <v>447.8051826</v>
      </c>
      <c r="P232">
        <v>25971.71</v>
      </c>
      <c r="Q232">
        <v>20848.58</v>
      </c>
    </row>
    <row r="233" spans="1:17" ht="12.75">
      <c r="A233" t="s">
        <v>35</v>
      </c>
      <c r="B233" s="93">
        <v>40449</v>
      </c>
      <c r="C233">
        <v>16</v>
      </c>
      <c r="D233">
        <v>1.751294</v>
      </c>
      <c r="E233">
        <v>1.388296</v>
      </c>
      <c r="F233">
        <v>84.9916</v>
      </c>
      <c r="G233">
        <v>0.4254519</v>
      </c>
      <c r="H233">
        <v>0.3282809</v>
      </c>
      <c r="I233">
        <v>0.3487918</v>
      </c>
      <c r="J233">
        <v>0.3629977</v>
      </c>
      <c r="K233">
        <v>0.3772035</v>
      </c>
      <c r="L233">
        <v>0.3977144</v>
      </c>
      <c r="M233">
        <v>3.774663</v>
      </c>
      <c r="N233">
        <v>54777.92</v>
      </c>
      <c r="O233">
        <v>447.8051826</v>
      </c>
      <c r="P233">
        <v>25414.78</v>
      </c>
      <c r="Q233">
        <v>20146.95</v>
      </c>
    </row>
    <row r="234" spans="1:17" ht="12.75">
      <c r="A234" t="s">
        <v>35</v>
      </c>
      <c r="B234" s="93">
        <v>40449</v>
      </c>
      <c r="C234">
        <v>17</v>
      </c>
      <c r="D234">
        <v>1.624738</v>
      </c>
      <c r="E234">
        <v>1.254331</v>
      </c>
      <c r="F234">
        <v>83.2459</v>
      </c>
      <c r="G234">
        <v>0.4259506</v>
      </c>
      <c r="H234">
        <v>0.3356925</v>
      </c>
      <c r="I234">
        <v>0.3562022</v>
      </c>
      <c r="J234">
        <v>0.3704072</v>
      </c>
      <c r="K234">
        <v>0.3846122</v>
      </c>
      <c r="L234">
        <v>0.405122</v>
      </c>
      <c r="M234">
        <v>3.774663</v>
      </c>
      <c r="N234">
        <v>54777.92</v>
      </c>
      <c r="O234">
        <v>447.7131546</v>
      </c>
      <c r="P234">
        <v>23578.2</v>
      </c>
      <c r="Q234">
        <v>18202.85</v>
      </c>
    </row>
    <row r="235" spans="1:17" ht="12.75">
      <c r="A235" t="s">
        <v>35</v>
      </c>
      <c r="B235" s="93">
        <v>40449</v>
      </c>
      <c r="C235">
        <v>18</v>
      </c>
      <c r="D235">
        <v>1.270417</v>
      </c>
      <c r="E235">
        <v>0.9018522</v>
      </c>
      <c r="F235">
        <v>78.8717</v>
      </c>
      <c r="G235">
        <v>0.4263637</v>
      </c>
      <c r="H235">
        <v>0.3333995</v>
      </c>
      <c r="I235">
        <v>0.3541752</v>
      </c>
      <c r="J235">
        <v>0.3685644</v>
      </c>
      <c r="K235">
        <v>0.3829536</v>
      </c>
      <c r="L235">
        <v>0.4037293</v>
      </c>
      <c r="M235">
        <v>3.774663</v>
      </c>
      <c r="N235">
        <v>54777.92</v>
      </c>
      <c r="O235">
        <v>446.685348</v>
      </c>
      <c r="P235">
        <v>18436.29</v>
      </c>
      <c r="Q235">
        <v>13087.68</v>
      </c>
    </row>
    <row r="236" spans="1:17" ht="12.75">
      <c r="A236" t="s">
        <v>35</v>
      </c>
      <c r="B236" s="93">
        <v>40449</v>
      </c>
      <c r="C236">
        <v>19</v>
      </c>
      <c r="D236">
        <v>0.8627558</v>
      </c>
      <c r="E236">
        <v>0.9882415</v>
      </c>
      <c r="F236">
        <v>76.0526</v>
      </c>
      <c r="G236">
        <v>0.4259506</v>
      </c>
      <c r="H236">
        <v>-0.1608059</v>
      </c>
      <c r="I236">
        <v>-0.1399384</v>
      </c>
      <c r="J236">
        <v>-0.1254857</v>
      </c>
      <c r="K236">
        <v>-0.1110329</v>
      </c>
      <c r="L236">
        <v>-0.0901654</v>
      </c>
      <c r="M236">
        <v>3.774663</v>
      </c>
      <c r="N236">
        <v>54777.92</v>
      </c>
      <c r="O236">
        <v>447.7131546</v>
      </c>
      <c r="P236">
        <v>12520.31</v>
      </c>
      <c r="Q236">
        <v>14341.36</v>
      </c>
    </row>
    <row r="237" spans="1:17" ht="12.75">
      <c r="A237" t="s">
        <v>35</v>
      </c>
      <c r="B237" s="93">
        <v>40449</v>
      </c>
      <c r="C237">
        <v>20</v>
      </c>
      <c r="D237">
        <v>0.6078685</v>
      </c>
      <c r="E237">
        <v>0.6899353</v>
      </c>
      <c r="F237">
        <v>74.4355</v>
      </c>
      <c r="G237">
        <v>0.4259506</v>
      </c>
      <c r="H237">
        <v>-0.1166446</v>
      </c>
      <c r="I237">
        <v>-0.0962158</v>
      </c>
      <c r="J237">
        <v>-0.0820668</v>
      </c>
      <c r="K237">
        <v>-0.0679178</v>
      </c>
      <c r="L237">
        <v>-0.0474889</v>
      </c>
      <c r="M237">
        <v>3.774663</v>
      </c>
      <c r="N237">
        <v>54777.92</v>
      </c>
      <c r="O237">
        <v>447.7131546</v>
      </c>
      <c r="P237">
        <v>8821.388</v>
      </c>
      <c r="Q237">
        <v>10012.34</v>
      </c>
    </row>
    <row r="238" spans="1:17" ht="12.75">
      <c r="A238" t="s">
        <v>35</v>
      </c>
      <c r="B238" s="93">
        <v>40449</v>
      </c>
      <c r="C238">
        <v>21</v>
      </c>
      <c r="D238">
        <v>0.4528484</v>
      </c>
      <c r="E238">
        <v>0.5056292</v>
      </c>
      <c r="F238">
        <v>73.2538</v>
      </c>
      <c r="G238">
        <v>0.4252417</v>
      </c>
      <c r="H238">
        <v>-0.0870469</v>
      </c>
      <c r="I238">
        <v>-0.0668022</v>
      </c>
      <c r="J238">
        <v>-0.0527807</v>
      </c>
      <c r="K238">
        <v>-0.0387593</v>
      </c>
      <c r="L238">
        <v>-0.0185146</v>
      </c>
      <c r="M238">
        <v>3.774663</v>
      </c>
      <c r="N238">
        <v>54777.92</v>
      </c>
      <c r="O238">
        <v>446.786732</v>
      </c>
      <c r="P238">
        <v>6571.736</v>
      </c>
      <c r="Q238">
        <v>7337.691</v>
      </c>
    </row>
    <row r="239" spans="1:17" ht="12.75">
      <c r="A239" t="s">
        <v>35</v>
      </c>
      <c r="B239" s="93">
        <v>40449</v>
      </c>
      <c r="C239">
        <v>22</v>
      </c>
      <c r="D239">
        <v>0.3441372</v>
      </c>
      <c r="E239">
        <v>0.378488</v>
      </c>
      <c r="F239">
        <v>72.267</v>
      </c>
      <c r="G239">
        <v>0.4256541</v>
      </c>
      <c r="H239">
        <v>-0.0685912</v>
      </c>
      <c r="I239">
        <v>-0.0483617</v>
      </c>
      <c r="J239">
        <v>-0.0343508</v>
      </c>
      <c r="K239">
        <v>-0.0203399</v>
      </c>
      <c r="L239">
        <v>-0.0001104</v>
      </c>
      <c r="M239">
        <v>3.774663</v>
      </c>
      <c r="N239">
        <v>54777.92</v>
      </c>
      <c r="O239">
        <v>445.7589253</v>
      </c>
      <c r="P239">
        <v>4994.12</v>
      </c>
      <c r="Q239">
        <v>5492.619</v>
      </c>
    </row>
    <row r="240" spans="1:17" ht="12.75">
      <c r="A240" t="s">
        <v>35</v>
      </c>
      <c r="B240" s="93">
        <v>40449</v>
      </c>
      <c r="C240">
        <v>23</v>
      </c>
      <c r="D240">
        <v>0.256659</v>
      </c>
      <c r="E240">
        <v>0.2787746</v>
      </c>
      <c r="F240">
        <v>71.4993</v>
      </c>
      <c r="G240">
        <v>0.4252417</v>
      </c>
      <c r="H240">
        <v>-0.0562936</v>
      </c>
      <c r="I240">
        <v>-0.036101</v>
      </c>
      <c r="J240">
        <v>-0.0221156</v>
      </c>
      <c r="K240">
        <v>-0.0081303</v>
      </c>
      <c r="L240">
        <v>0.0120623</v>
      </c>
      <c r="M240">
        <v>3.774663</v>
      </c>
      <c r="N240">
        <v>54777.92</v>
      </c>
      <c r="O240">
        <v>446.786732</v>
      </c>
      <c r="P240">
        <v>3724.635</v>
      </c>
      <c r="Q240">
        <v>4045.578</v>
      </c>
    </row>
    <row r="241" spans="1:17" ht="12.75">
      <c r="A241" t="s">
        <v>35</v>
      </c>
      <c r="B241" s="93">
        <v>40449</v>
      </c>
      <c r="C241">
        <v>24</v>
      </c>
      <c r="D241">
        <v>0.2099873</v>
      </c>
      <c r="E241">
        <v>0.2241831</v>
      </c>
      <c r="F241">
        <v>70.7213</v>
      </c>
      <c r="G241">
        <v>0.4252417</v>
      </c>
      <c r="H241">
        <v>-0.0483959</v>
      </c>
      <c r="I241">
        <v>-0.0281901</v>
      </c>
      <c r="J241">
        <v>-0.0141957</v>
      </c>
      <c r="K241">
        <v>-0.0002013</v>
      </c>
      <c r="L241">
        <v>0.0200045</v>
      </c>
      <c r="M241">
        <v>3.774663</v>
      </c>
      <c r="N241">
        <v>54777.92</v>
      </c>
      <c r="O241">
        <v>446.786732</v>
      </c>
      <c r="P241">
        <v>3047.336</v>
      </c>
      <c r="Q241">
        <v>3253.344</v>
      </c>
    </row>
    <row r="242" spans="1:17" ht="12.75">
      <c r="A242" t="s">
        <v>35</v>
      </c>
      <c r="B242" s="93">
        <v>40450</v>
      </c>
      <c r="C242">
        <v>1</v>
      </c>
      <c r="D242">
        <v>0.177169</v>
      </c>
      <c r="E242">
        <v>0.177169</v>
      </c>
      <c r="F242">
        <v>70.4056</v>
      </c>
      <c r="G242">
        <v>0.4252417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3.774663</v>
      </c>
      <c r="N242">
        <v>54777.92</v>
      </c>
      <c r="O242">
        <v>446.786732</v>
      </c>
      <c r="P242">
        <v>2571.076</v>
      </c>
      <c r="Q242">
        <v>2571.076</v>
      </c>
    </row>
    <row r="243" spans="1:17" ht="12.75">
      <c r="A243" t="s">
        <v>35</v>
      </c>
      <c r="B243" s="93">
        <v>40450</v>
      </c>
      <c r="C243">
        <v>2</v>
      </c>
      <c r="D243">
        <v>0.1650104</v>
      </c>
      <c r="E243">
        <v>0.1650104</v>
      </c>
      <c r="F243">
        <v>69.6192</v>
      </c>
      <c r="G243">
        <v>0.4252417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3.774663</v>
      </c>
      <c r="N243">
        <v>54777.92</v>
      </c>
      <c r="O243">
        <v>446.786732</v>
      </c>
      <c r="P243">
        <v>2394.631</v>
      </c>
      <c r="Q243">
        <v>2394.631</v>
      </c>
    </row>
    <row r="244" spans="1:17" ht="12.75">
      <c r="A244" t="s">
        <v>35</v>
      </c>
      <c r="B244" s="93">
        <v>40450</v>
      </c>
      <c r="C244">
        <v>3</v>
      </c>
      <c r="D244">
        <v>0.1528196</v>
      </c>
      <c r="E244">
        <v>0.1528196</v>
      </c>
      <c r="F244">
        <v>68.7144</v>
      </c>
      <c r="G244">
        <v>0.4252417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3.774663</v>
      </c>
      <c r="N244">
        <v>54777.92</v>
      </c>
      <c r="O244">
        <v>446.786732</v>
      </c>
      <c r="P244">
        <v>2217.719</v>
      </c>
      <c r="Q244">
        <v>2217.719</v>
      </c>
    </row>
    <row r="245" spans="1:17" ht="12.75">
      <c r="A245" t="s">
        <v>35</v>
      </c>
      <c r="B245" s="93">
        <v>40450</v>
      </c>
      <c r="C245">
        <v>4</v>
      </c>
      <c r="D245">
        <v>0.1448843</v>
      </c>
      <c r="E245">
        <v>0.1448843</v>
      </c>
      <c r="F245">
        <v>68.7851</v>
      </c>
      <c r="G245">
        <v>0.4252417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3.774663</v>
      </c>
      <c r="N245">
        <v>54777.92</v>
      </c>
      <c r="O245">
        <v>446.786732</v>
      </c>
      <c r="P245">
        <v>2102.561</v>
      </c>
      <c r="Q245">
        <v>2102.561</v>
      </c>
    </row>
    <row r="246" spans="1:17" ht="12.75">
      <c r="A246" t="s">
        <v>35</v>
      </c>
      <c r="B246" s="93">
        <v>40450</v>
      </c>
      <c r="C246">
        <v>5</v>
      </c>
      <c r="D246">
        <v>0.1440059</v>
      </c>
      <c r="E246">
        <v>0.1440059</v>
      </c>
      <c r="F246">
        <v>67.9446</v>
      </c>
      <c r="G246">
        <v>0.4252417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3.774663</v>
      </c>
      <c r="N246">
        <v>54777.92</v>
      </c>
      <c r="O246">
        <v>446.786732</v>
      </c>
      <c r="P246">
        <v>2089.814</v>
      </c>
      <c r="Q246">
        <v>2089.814</v>
      </c>
    </row>
    <row r="247" spans="1:17" ht="12.75">
      <c r="A247" t="s">
        <v>35</v>
      </c>
      <c r="B247" s="93">
        <v>40450</v>
      </c>
      <c r="C247">
        <v>6</v>
      </c>
      <c r="D247">
        <v>0.1577821</v>
      </c>
      <c r="E247">
        <v>0.1577821</v>
      </c>
      <c r="F247">
        <v>67.646</v>
      </c>
      <c r="G247">
        <v>0.4256541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3.774663</v>
      </c>
      <c r="N247">
        <v>54777.92</v>
      </c>
      <c r="O247">
        <v>445.7589253</v>
      </c>
      <c r="P247">
        <v>2289.734</v>
      </c>
      <c r="Q247">
        <v>2289.734</v>
      </c>
    </row>
    <row r="248" spans="1:17" ht="12.75">
      <c r="A248" t="s">
        <v>35</v>
      </c>
      <c r="B248" s="93">
        <v>40450</v>
      </c>
      <c r="C248">
        <v>7</v>
      </c>
      <c r="D248">
        <v>0.2155519</v>
      </c>
      <c r="E248">
        <v>0.2155519</v>
      </c>
      <c r="F248">
        <v>68.332</v>
      </c>
      <c r="G248">
        <v>0.4256541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3.774663</v>
      </c>
      <c r="N248">
        <v>54777.92</v>
      </c>
      <c r="O248">
        <v>445.7589253</v>
      </c>
      <c r="P248">
        <v>3128.089</v>
      </c>
      <c r="Q248">
        <v>3128.089</v>
      </c>
    </row>
    <row r="249" spans="1:17" ht="12.75">
      <c r="A249" t="s">
        <v>35</v>
      </c>
      <c r="B249" s="93">
        <v>40450</v>
      </c>
      <c r="C249">
        <v>8</v>
      </c>
      <c r="D249">
        <v>0.3854434</v>
      </c>
      <c r="E249">
        <v>0.3854434</v>
      </c>
      <c r="F249">
        <v>71.1191</v>
      </c>
      <c r="G249">
        <v>0.4256541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3.774663</v>
      </c>
      <c r="N249">
        <v>54777.92</v>
      </c>
      <c r="O249">
        <v>445.7589253</v>
      </c>
      <c r="P249">
        <v>5593.555</v>
      </c>
      <c r="Q249">
        <v>5593.555</v>
      </c>
    </row>
    <row r="250" spans="1:17" ht="12.75">
      <c r="A250" t="s">
        <v>35</v>
      </c>
      <c r="B250" s="93">
        <v>40450</v>
      </c>
      <c r="C250">
        <v>9</v>
      </c>
      <c r="D250">
        <v>0.627219</v>
      </c>
      <c r="E250">
        <v>0.627219</v>
      </c>
      <c r="F250">
        <v>76.0452</v>
      </c>
      <c r="G250">
        <v>0.4256541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3.774663</v>
      </c>
      <c r="N250">
        <v>54777.92</v>
      </c>
      <c r="O250">
        <v>445.7589253</v>
      </c>
      <c r="P250">
        <v>9102.202</v>
      </c>
      <c r="Q250">
        <v>9102.202</v>
      </c>
    </row>
    <row r="251" spans="1:17" ht="12.75">
      <c r="A251" t="s">
        <v>35</v>
      </c>
      <c r="B251" s="93">
        <v>40450</v>
      </c>
      <c r="C251">
        <v>10</v>
      </c>
      <c r="D251">
        <v>0.9120319</v>
      </c>
      <c r="E251">
        <v>0.9120319</v>
      </c>
      <c r="F251">
        <v>79.5006</v>
      </c>
      <c r="G251">
        <v>0.4263637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3.774663</v>
      </c>
      <c r="N251">
        <v>54777.92</v>
      </c>
      <c r="O251">
        <v>446.685348</v>
      </c>
      <c r="P251">
        <v>13235.41</v>
      </c>
      <c r="Q251">
        <v>13235.41</v>
      </c>
    </row>
    <row r="252" spans="1:17" ht="12.75">
      <c r="A252" t="s">
        <v>35</v>
      </c>
      <c r="B252" s="93">
        <v>40450</v>
      </c>
      <c r="C252">
        <v>11</v>
      </c>
      <c r="D252">
        <v>1.217708</v>
      </c>
      <c r="E252">
        <v>1.217708</v>
      </c>
      <c r="F252">
        <v>84.1103</v>
      </c>
      <c r="G252">
        <v>0.4257306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3.774663</v>
      </c>
      <c r="N252">
        <v>54777.92</v>
      </c>
      <c r="O252">
        <v>448.7409613</v>
      </c>
      <c r="P252">
        <v>17671.38</v>
      </c>
      <c r="Q252">
        <v>17671.38</v>
      </c>
    </row>
    <row r="253" spans="1:17" ht="12.75">
      <c r="A253" t="s">
        <v>35</v>
      </c>
      <c r="B253" s="93">
        <v>40450</v>
      </c>
      <c r="C253">
        <v>12</v>
      </c>
      <c r="D253">
        <v>1.443156</v>
      </c>
      <c r="E253">
        <v>1.443156</v>
      </c>
      <c r="F253">
        <v>83.1097</v>
      </c>
      <c r="G253">
        <v>0.4257306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3.774663</v>
      </c>
      <c r="N253">
        <v>54777.92</v>
      </c>
      <c r="O253">
        <v>448.7409613</v>
      </c>
      <c r="P253">
        <v>20943.07</v>
      </c>
      <c r="Q253">
        <v>20943.07</v>
      </c>
    </row>
    <row r="254" spans="1:17" ht="12.75">
      <c r="A254" t="s">
        <v>35</v>
      </c>
      <c r="B254" s="93">
        <v>40450</v>
      </c>
      <c r="C254">
        <v>13</v>
      </c>
      <c r="D254">
        <v>1.585891</v>
      </c>
      <c r="E254">
        <v>1.585891</v>
      </c>
      <c r="F254">
        <v>85.0831</v>
      </c>
      <c r="G254">
        <v>0.4257306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3.774663</v>
      </c>
      <c r="N254">
        <v>54777.92</v>
      </c>
      <c r="O254">
        <v>448.7409613</v>
      </c>
      <c r="P254">
        <v>23014.45</v>
      </c>
      <c r="Q254">
        <v>23014.45</v>
      </c>
    </row>
    <row r="255" spans="1:17" ht="12.75">
      <c r="A255" t="s">
        <v>35</v>
      </c>
      <c r="B255" s="93">
        <v>40450</v>
      </c>
      <c r="C255">
        <v>14</v>
      </c>
      <c r="D255">
        <v>1.60472</v>
      </c>
      <c r="E255">
        <v>1.60472</v>
      </c>
      <c r="F255">
        <v>85.0104</v>
      </c>
      <c r="G255">
        <v>0.4257306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3.774663</v>
      </c>
      <c r="N255">
        <v>54777.92</v>
      </c>
      <c r="O255">
        <v>448.7409613</v>
      </c>
      <c r="P255">
        <v>23287.69</v>
      </c>
      <c r="Q255">
        <v>23287.69</v>
      </c>
    </row>
    <row r="256" spans="1:17" ht="12.75">
      <c r="A256" t="s">
        <v>35</v>
      </c>
      <c r="B256" s="93">
        <v>40450</v>
      </c>
      <c r="C256">
        <v>15</v>
      </c>
      <c r="D256">
        <v>1.621528</v>
      </c>
      <c r="E256">
        <v>1.292606</v>
      </c>
      <c r="F256">
        <v>83.1574</v>
      </c>
      <c r="G256">
        <v>0.4257306</v>
      </c>
      <c r="H256">
        <v>0.2944513</v>
      </c>
      <c r="I256">
        <v>0.3148166</v>
      </c>
      <c r="J256">
        <v>0.3289216</v>
      </c>
      <c r="K256">
        <v>0.3430265</v>
      </c>
      <c r="L256">
        <v>0.3633918</v>
      </c>
      <c r="M256">
        <v>3.774663</v>
      </c>
      <c r="N256">
        <v>54777.92</v>
      </c>
      <c r="O256">
        <v>448.7409613</v>
      </c>
      <c r="P256">
        <v>23531.61</v>
      </c>
      <c r="Q256">
        <v>18758.3</v>
      </c>
    </row>
    <row r="257" spans="1:17" ht="12.75">
      <c r="A257" t="s">
        <v>35</v>
      </c>
      <c r="B257" s="93">
        <v>40450</v>
      </c>
      <c r="C257">
        <v>16</v>
      </c>
      <c r="D257">
        <v>1.604092</v>
      </c>
      <c r="E257">
        <v>1.264898</v>
      </c>
      <c r="F257">
        <v>82.2222</v>
      </c>
      <c r="G257">
        <v>0.4257306</v>
      </c>
      <c r="H257">
        <v>0.3047253</v>
      </c>
      <c r="I257">
        <v>0.3250896</v>
      </c>
      <c r="J257">
        <v>0.3391938</v>
      </c>
      <c r="K257">
        <v>0.353298</v>
      </c>
      <c r="L257">
        <v>0.3736623</v>
      </c>
      <c r="M257">
        <v>3.774663</v>
      </c>
      <c r="N257">
        <v>54777.92</v>
      </c>
      <c r="O257">
        <v>448.7409613</v>
      </c>
      <c r="P257">
        <v>23278.59</v>
      </c>
      <c r="Q257">
        <v>18356.21</v>
      </c>
    </row>
    <row r="258" spans="1:17" ht="12.75">
      <c r="A258" t="s">
        <v>35</v>
      </c>
      <c r="B258" s="93">
        <v>40450</v>
      </c>
      <c r="C258">
        <v>17</v>
      </c>
      <c r="D258">
        <v>1.485065</v>
      </c>
      <c r="E258">
        <v>1.14005</v>
      </c>
      <c r="F258">
        <v>80.7978</v>
      </c>
      <c r="G258">
        <v>0.4261423</v>
      </c>
      <c r="H258">
        <v>0.3104675</v>
      </c>
      <c r="I258">
        <v>0.3308783</v>
      </c>
      <c r="J258">
        <v>0.3450147</v>
      </c>
      <c r="K258">
        <v>0.3591511</v>
      </c>
      <c r="L258">
        <v>0.3795619</v>
      </c>
      <c r="M258">
        <v>3.774663</v>
      </c>
      <c r="N258">
        <v>54777.92</v>
      </c>
      <c r="O258">
        <v>447.7131546</v>
      </c>
      <c r="P258">
        <v>21551.26</v>
      </c>
      <c r="Q258">
        <v>16544.4</v>
      </c>
    </row>
    <row r="259" spans="1:17" ht="12.75">
      <c r="A259" t="s">
        <v>35</v>
      </c>
      <c r="B259" s="93">
        <v>40450</v>
      </c>
      <c r="C259">
        <v>18</v>
      </c>
      <c r="D259">
        <v>1.185609</v>
      </c>
      <c r="E259">
        <v>0.8359644</v>
      </c>
      <c r="F259">
        <v>79.3126</v>
      </c>
      <c r="G259">
        <v>0.4261423</v>
      </c>
      <c r="H259">
        <v>0.3146813</v>
      </c>
      <c r="I259">
        <v>0.3353379</v>
      </c>
      <c r="J259">
        <v>0.3496445</v>
      </c>
      <c r="K259">
        <v>0.3639512</v>
      </c>
      <c r="L259">
        <v>0.3846078</v>
      </c>
      <c r="M259">
        <v>3.774663</v>
      </c>
      <c r="N259">
        <v>54777.92</v>
      </c>
      <c r="O259">
        <v>447.7131546</v>
      </c>
      <c r="P259">
        <v>17205.56</v>
      </c>
      <c r="Q259">
        <v>12131.52</v>
      </c>
    </row>
    <row r="260" spans="1:17" ht="12.75">
      <c r="A260" t="s">
        <v>35</v>
      </c>
      <c r="B260" s="93">
        <v>40450</v>
      </c>
      <c r="C260">
        <v>19</v>
      </c>
      <c r="D260">
        <v>0.8084925</v>
      </c>
      <c r="E260">
        <v>0.9327692</v>
      </c>
      <c r="F260">
        <v>74.778</v>
      </c>
      <c r="G260">
        <v>0.4261423</v>
      </c>
      <c r="H260">
        <v>-0.1595308</v>
      </c>
      <c r="I260">
        <v>-0.1387024</v>
      </c>
      <c r="J260">
        <v>-0.1242766</v>
      </c>
      <c r="K260">
        <v>-0.1098509</v>
      </c>
      <c r="L260">
        <v>-0.0890224</v>
      </c>
      <c r="M260">
        <v>3.774663</v>
      </c>
      <c r="N260">
        <v>54777.92</v>
      </c>
      <c r="O260">
        <v>447.7131546</v>
      </c>
      <c r="P260">
        <v>11732.84</v>
      </c>
      <c r="Q260">
        <v>13536.35</v>
      </c>
    </row>
    <row r="261" spans="1:17" ht="12.75">
      <c r="A261" t="s">
        <v>35</v>
      </c>
      <c r="B261" s="93">
        <v>40450</v>
      </c>
      <c r="C261">
        <v>20</v>
      </c>
      <c r="D261">
        <v>0.5688784</v>
      </c>
      <c r="E261">
        <v>0.650288</v>
      </c>
      <c r="F261">
        <v>72.3816</v>
      </c>
      <c r="G261">
        <v>0.4261423</v>
      </c>
      <c r="H261">
        <v>-0.1159343</v>
      </c>
      <c r="I261">
        <v>-0.0955368</v>
      </c>
      <c r="J261">
        <v>-0.0814096</v>
      </c>
      <c r="K261">
        <v>-0.0672824</v>
      </c>
      <c r="L261">
        <v>-0.046885</v>
      </c>
      <c r="M261">
        <v>3.774663</v>
      </c>
      <c r="N261">
        <v>54777.92</v>
      </c>
      <c r="O261">
        <v>447.7131546</v>
      </c>
      <c r="P261">
        <v>8255.563</v>
      </c>
      <c r="Q261">
        <v>9436.98</v>
      </c>
    </row>
    <row r="262" spans="1:17" ht="12.75">
      <c r="A262" t="s">
        <v>35</v>
      </c>
      <c r="B262" s="93">
        <v>40450</v>
      </c>
      <c r="C262">
        <v>21</v>
      </c>
      <c r="D262">
        <v>0.4221969</v>
      </c>
      <c r="E262">
        <v>0.4750708</v>
      </c>
      <c r="F262">
        <v>71.0337</v>
      </c>
      <c r="G262">
        <v>0.4261423</v>
      </c>
      <c r="H262">
        <v>-0.0870766</v>
      </c>
      <c r="I262">
        <v>-0.0668694</v>
      </c>
      <c r="J262">
        <v>-0.052874</v>
      </c>
      <c r="K262">
        <v>-0.0388785</v>
      </c>
      <c r="L262">
        <v>-0.0186713</v>
      </c>
      <c r="M262">
        <v>3.774663</v>
      </c>
      <c r="N262">
        <v>54777.92</v>
      </c>
      <c r="O262">
        <v>447.7131546</v>
      </c>
      <c r="P262">
        <v>6126.921</v>
      </c>
      <c r="Q262">
        <v>6894.228</v>
      </c>
    </row>
    <row r="263" spans="1:17" ht="12.75">
      <c r="A263" t="s">
        <v>35</v>
      </c>
      <c r="B263" s="93">
        <v>40450</v>
      </c>
      <c r="C263">
        <v>22</v>
      </c>
      <c r="D263">
        <v>0.3189179</v>
      </c>
      <c r="E263">
        <v>0.3530488</v>
      </c>
      <c r="F263">
        <v>70.3197</v>
      </c>
      <c r="G263">
        <v>0.4261423</v>
      </c>
      <c r="H263">
        <v>-0.0682021</v>
      </c>
      <c r="I263">
        <v>-0.0480726</v>
      </c>
      <c r="J263">
        <v>-0.0341309</v>
      </c>
      <c r="K263">
        <v>-0.0201893</v>
      </c>
      <c r="L263">
        <v>-5.98E-05</v>
      </c>
      <c r="M263">
        <v>3.774663</v>
      </c>
      <c r="N263">
        <v>54777.92</v>
      </c>
      <c r="O263">
        <v>447.7131546</v>
      </c>
      <c r="P263">
        <v>4628.136</v>
      </c>
      <c r="Q263">
        <v>5123.444</v>
      </c>
    </row>
    <row r="264" spans="1:17" ht="12.75">
      <c r="A264" t="s">
        <v>35</v>
      </c>
      <c r="B264" s="93">
        <v>40450</v>
      </c>
      <c r="C264">
        <v>23</v>
      </c>
      <c r="D264">
        <v>0.2400811</v>
      </c>
      <c r="E264">
        <v>0.2620384</v>
      </c>
      <c r="F264">
        <v>69.8113</v>
      </c>
      <c r="G264">
        <v>0.4261423</v>
      </c>
      <c r="H264">
        <v>-0.0559969</v>
      </c>
      <c r="I264">
        <v>-0.035886</v>
      </c>
      <c r="J264">
        <v>-0.0219573</v>
      </c>
      <c r="K264">
        <v>-0.0080286</v>
      </c>
      <c r="L264">
        <v>0.0120823</v>
      </c>
      <c r="M264">
        <v>3.774663</v>
      </c>
      <c r="N264">
        <v>54777.92</v>
      </c>
      <c r="O264">
        <v>447.7131546</v>
      </c>
      <c r="P264">
        <v>3484.057</v>
      </c>
      <c r="Q264">
        <v>3802.701</v>
      </c>
    </row>
    <row r="265" spans="1:17" ht="12.75">
      <c r="A265" t="s">
        <v>35</v>
      </c>
      <c r="B265" s="93">
        <v>40450</v>
      </c>
      <c r="C265">
        <v>24</v>
      </c>
      <c r="D265">
        <v>0.1945689</v>
      </c>
      <c r="E265">
        <v>0.2084198</v>
      </c>
      <c r="F265">
        <v>69.2493</v>
      </c>
      <c r="G265">
        <v>0.4244718</v>
      </c>
      <c r="H265">
        <v>-0.0477569</v>
      </c>
      <c r="I265">
        <v>-0.0277249</v>
      </c>
      <c r="J265">
        <v>-0.0138509</v>
      </c>
      <c r="K265">
        <v>2.32E-05</v>
      </c>
      <c r="L265">
        <v>0.0200552</v>
      </c>
      <c r="M265">
        <v>3.774663</v>
      </c>
      <c r="N265">
        <v>54777.92</v>
      </c>
      <c r="O265">
        <v>447.6211266</v>
      </c>
      <c r="P265">
        <v>2823.584</v>
      </c>
      <c r="Q265">
        <v>3024.588</v>
      </c>
    </row>
    <row r="266" spans="1:17" ht="12.75">
      <c r="A266" t="s">
        <v>35</v>
      </c>
      <c r="B266" t="s">
        <v>43</v>
      </c>
      <c r="C266">
        <v>1</v>
      </c>
      <c r="D266">
        <v>0.1733851</v>
      </c>
      <c r="E266">
        <v>0.1733851</v>
      </c>
      <c r="F266">
        <v>68.9711</v>
      </c>
      <c r="G266">
        <v>0.4248303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3.774663</v>
      </c>
      <c r="N266">
        <v>54777.92</v>
      </c>
      <c r="O266">
        <v>454.1892547</v>
      </c>
      <c r="P266">
        <v>2516.164</v>
      </c>
      <c r="Q266">
        <v>2516.164</v>
      </c>
    </row>
    <row r="267" spans="1:17" ht="12.75">
      <c r="A267" t="s">
        <v>35</v>
      </c>
      <c r="B267" t="s">
        <v>43</v>
      </c>
      <c r="C267">
        <v>2</v>
      </c>
      <c r="D267">
        <v>0.1613551</v>
      </c>
      <c r="E267">
        <v>0.1613551</v>
      </c>
      <c r="F267">
        <v>68.3898</v>
      </c>
      <c r="G267">
        <v>0.4248716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3.774663</v>
      </c>
      <c r="N267">
        <v>54777.92</v>
      </c>
      <c r="O267">
        <v>454.2715971</v>
      </c>
      <c r="P267">
        <v>2341.585</v>
      </c>
      <c r="Q267">
        <v>2341.585</v>
      </c>
    </row>
    <row r="268" spans="1:17" ht="12.75">
      <c r="A268" t="s">
        <v>35</v>
      </c>
      <c r="B268" t="s">
        <v>43</v>
      </c>
      <c r="C268">
        <v>3</v>
      </c>
      <c r="D268">
        <v>0.1497094</v>
      </c>
      <c r="E268">
        <v>0.1497094</v>
      </c>
      <c r="F268">
        <v>68.121</v>
      </c>
      <c r="G268">
        <v>0.424909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3.774663</v>
      </c>
      <c r="N268">
        <v>54777.92</v>
      </c>
      <c r="O268">
        <v>454.2799633</v>
      </c>
      <c r="P268">
        <v>2172.583</v>
      </c>
      <c r="Q268">
        <v>2172.583</v>
      </c>
    </row>
    <row r="269" spans="1:17" ht="12.75">
      <c r="A269" t="s">
        <v>35</v>
      </c>
      <c r="B269" t="s">
        <v>43</v>
      </c>
      <c r="C269">
        <v>4</v>
      </c>
      <c r="D269">
        <v>0.1420001</v>
      </c>
      <c r="E269">
        <v>0.1420001</v>
      </c>
      <c r="F269">
        <v>68.0331</v>
      </c>
      <c r="G269">
        <v>0.4249563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3.774663</v>
      </c>
      <c r="N269">
        <v>54777.92</v>
      </c>
      <c r="O269">
        <v>454.1716718</v>
      </c>
      <c r="P269">
        <v>2060.706</v>
      </c>
      <c r="Q269">
        <v>2060.706</v>
      </c>
    </row>
    <row r="270" spans="1:17" ht="12.75">
      <c r="A270" t="s">
        <v>35</v>
      </c>
      <c r="B270" t="s">
        <v>43</v>
      </c>
      <c r="C270">
        <v>5</v>
      </c>
      <c r="D270">
        <v>0.1405034</v>
      </c>
      <c r="E270">
        <v>0.1405034</v>
      </c>
      <c r="F270">
        <v>67.5188</v>
      </c>
      <c r="G270">
        <v>0.4248174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3.774663</v>
      </c>
      <c r="N270">
        <v>54777.92</v>
      </c>
      <c r="O270">
        <v>454.2929358</v>
      </c>
      <c r="P270">
        <v>2038.985</v>
      </c>
      <c r="Q270">
        <v>2038.985</v>
      </c>
    </row>
    <row r="271" spans="1:17" ht="12.75">
      <c r="A271" t="s">
        <v>35</v>
      </c>
      <c r="B271" t="s">
        <v>43</v>
      </c>
      <c r="C271">
        <v>6</v>
      </c>
      <c r="D271">
        <v>0.1542368</v>
      </c>
      <c r="E271">
        <v>0.1542368</v>
      </c>
      <c r="F271">
        <v>67.3875</v>
      </c>
      <c r="G271">
        <v>0.4250198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3.774663</v>
      </c>
      <c r="N271">
        <v>54777.92</v>
      </c>
      <c r="O271">
        <v>454.0069872</v>
      </c>
      <c r="P271">
        <v>2238.285</v>
      </c>
      <c r="Q271">
        <v>2238.285</v>
      </c>
    </row>
    <row r="272" spans="1:17" ht="12.75">
      <c r="A272" t="s">
        <v>35</v>
      </c>
      <c r="B272" t="s">
        <v>43</v>
      </c>
      <c r="C272">
        <v>7</v>
      </c>
      <c r="D272">
        <v>0.2060516</v>
      </c>
      <c r="E272">
        <v>0.2060516</v>
      </c>
      <c r="F272">
        <v>68.7435</v>
      </c>
      <c r="G272">
        <v>0.4250613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3.774663</v>
      </c>
      <c r="N272">
        <v>54777.92</v>
      </c>
      <c r="O272">
        <v>453.9162787</v>
      </c>
      <c r="P272">
        <v>2990.221</v>
      </c>
      <c r="Q272">
        <v>2990.221</v>
      </c>
    </row>
    <row r="273" spans="1:17" ht="12.75">
      <c r="A273" t="s">
        <v>35</v>
      </c>
      <c r="B273" t="s">
        <v>43</v>
      </c>
      <c r="C273">
        <v>8</v>
      </c>
      <c r="D273">
        <v>0.3737738</v>
      </c>
      <c r="E273">
        <v>0.3737738</v>
      </c>
      <c r="F273">
        <v>72.9215</v>
      </c>
      <c r="G273">
        <v>0.4247289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3.774663</v>
      </c>
      <c r="N273">
        <v>54777.92</v>
      </c>
      <c r="O273">
        <v>454.5391122</v>
      </c>
      <c r="P273">
        <v>5424.206</v>
      </c>
      <c r="Q273">
        <v>5424.206</v>
      </c>
    </row>
    <row r="274" spans="1:17" ht="12.75">
      <c r="A274" t="s">
        <v>35</v>
      </c>
      <c r="B274" t="s">
        <v>43</v>
      </c>
      <c r="C274">
        <v>9</v>
      </c>
      <c r="D274">
        <v>0.6291707</v>
      </c>
      <c r="E274">
        <v>0.6291707</v>
      </c>
      <c r="F274">
        <v>77.9889</v>
      </c>
      <c r="G274">
        <v>0.4245493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3.774663</v>
      </c>
      <c r="N274">
        <v>54777.92</v>
      </c>
      <c r="O274">
        <v>454.9287419</v>
      </c>
      <c r="P274">
        <v>9130.524</v>
      </c>
      <c r="Q274">
        <v>9130.524</v>
      </c>
    </row>
    <row r="275" spans="1:17" ht="12.75">
      <c r="A275" t="s">
        <v>35</v>
      </c>
      <c r="B275" t="s">
        <v>43</v>
      </c>
      <c r="C275">
        <v>10</v>
      </c>
      <c r="D275">
        <v>0.9479278</v>
      </c>
      <c r="E275">
        <v>0.9479278</v>
      </c>
      <c r="F275">
        <v>81.9223</v>
      </c>
      <c r="G275">
        <v>0.4244697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3.774663</v>
      </c>
      <c r="N275">
        <v>54777.92</v>
      </c>
      <c r="O275">
        <v>455.0305451</v>
      </c>
      <c r="P275">
        <v>13756.33</v>
      </c>
      <c r="Q275">
        <v>13756.33</v>
      </c>
    </row>
    <row r="276" spans="1:17" ht="12.75">
      <c r="A276" t="s">
        <v>35</v>
      </c>
      <c r="B276" t="s">
        <v>43</v>
      </c>
      <c r="C276">
        <v>11</v>
      </c>
      <c r="D276">
        <v>1.280533</v>
      </c>
      <c r="E276">
        <v>1.280533</v>
      </c>
      <c r="F276">
        <v>84.7809</v>
      </c>
      <c r="G276">
        <v>0.424658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3.774663</v>
      </c>
      <c r="N276">
        <v>54777.92</v>
      </c>
      <c r="O276">
        <v>454.9231042</v>
      </c>
      <c r="P276">
        <v>18583.09</v>
      </c>
      <c r="Q276">
        <v>18583.09</v>
      </c>
    </row>
    <row r="277" spans="1:17" ht="12.75">
      <c r="A277" t="s">
        <v>35</v>
      </c>
      <c r="B277" t="s">
        <v>43</v>
      </c>
      <c r="C277">
        <v>12</v>
      </c>
      <c r="D277">
        <v>1.543003</v>
      </c>
      <c r="E277">
        <v>1.543003</v>
      </c>
      <c r="F277">
        <v>85.5909</v>
      </c>
      <c r="G277">
        <v>0.4246124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3.774663</v>
      </c>
      <c r="N277">
        <v>54777.92</v>
      </c>
      <c r="O277">
        <v>454.8269388</v>
      </c>
      <c r="P277">
        <v>22392.06</v>
      </c>
      <c r="Q277">
        <v>22392.06</v>
      </c>
    </row>
    <row r="278" spans="1:17" ht="12.75">
      <c r="A278" t="s">
        <v>35</v>
      </c>
      <c r="B278" t="s">
        <v>43</v>
      </c>
      <c r="C278">
        <v>13</v>
      </c>
      <c r="D278">
        <v>1.694723</v>
      </c>
      <c r="E278">
        <v>1.694723</v>
      </c>
      <c r="F278">
        <v>86.3041</v>
      </c>
      <c r="G278">
        <v>0.4246887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3.774663</v>
      </c>
      <c r="N278">
        <v>54777.92</v>
      </c>
      <c r="O278">
        <v>454.6474037</v>
      </c>
      <c r="P278">
        <v>24593.82</v>
      </c>
      <c r="Q278">
        <v>24593.82</v>
      </c>
    </row>
    <row r="279" spans="1:17" ht="12.75">
      <c r="A279" t="s">
        <v>35</v>
      </c>
      <c r="B279" t="s">
        <v>43</v>
      </c>
      <c r="C279">
        <v>14</v>
      </c>
      <c r="D279">
        <v>1.616726</v>
      </c>
      <c r="E279">
        <v>1.300184</v>
      </c>
      <c r="F279">
        <v>85.161</v>
      </c>
      <c r="G279">
        <v>0.4247175</v>
      </c>
      <c r="H279">
        <v>0.2825765</v>
      </c>
      <c r="I279">
        <v>0.302644</v>
      </c>
      <c r="J279">
        <v>0.3165427</v>
      </c>
      <c r="K279">
        <v>0.3304414</v>
      </c>
      <c r="L279">
        <v>0.3505089</v>
      </c>
      <c r="M279">
        <v>3.774663</v>
      </c>
      <c r="N279">
        <v>54777.92</v>
      </c>
      <c r="O279">
        <v>457.2172313</v>
      </c>
      <c r="P279">
        <v>23461.93</v>
      </c>
      <c r="Q279">
        <v>18868.27</v>
      </c>
    </row>
    <row r="280" spans="1:17" ht="12.75">
      <c r="A280" t="s">
        <v>35</v>
      </c>
      <c r="B280" t="s">
        <v>43</v>
      </c>
      <c r="C280">
        <v>15</v>
      </c>
      <c r="D280">
        <v>1.754843</v>
      </c>
      <c r="E280">
        <v>1.409766</v>
      </c>
      <c r="F280">
        <v>85.0499</v>
      </c>
      <c r="G280">
        <v>0.4248321</v>
      </c>
      <c r="H280">
        <v>0.310688</v>
      </c>
      <c r="I280">
        <v>0.3310055</v>
      </c>
      <c r="J280">
        <v>0.3450774</v>
      </c>
      <c r="K280">
        <v>0.3591492</v>
      </c>
      <c r="L280">
        <v>0.3794668</v>
      </c>
      <c r="M280">
        <v>3.774663</v>
      </c>
      <c r="N280">
        <v>54777.92</v>
      </c>
      <c r="O280">
        <v>454.5613015</v>
      </c>
      <c r="P280">
        <v>25466.28</v>
      </c>
      <c r="Q280">
        <v>20458.52</v>
      </c>
    </row>
    <row r="281" spans="1:17" ht="12.75">
      <c r="A281" t="s">
        <v>35</v>
      </c>
      <c r="B281" t="s">
        <v>43</v>
      </c>
      <c r="C281">
        <v>16</v>
      </c>
      <c r="D281">
        <v>1.733925</v>
      </c>
      <c r="E281">
        <v>1.377359</v>
      </c>
      <c r="F281">
        <v>84.1263</v>
      </c>
      <c r="G281">
        <v>0.4249087</v>
      </c>
      <c r="H281">
        <v>0.3221558</v>
      </c>
      <c r="I281">
        <v>0.3424855</v>
      </c>
      <c r="J281">
        <v>0.3565657</v>
      </c>
      <c r="K281">
        <v>0.3706461</v>
      </c>
      <c r="L281">
        <v>0.3909757</v>
      </c>
      <c r="M281">
        <v>3.774663</v>
      </c>
      <c r="N281">
        <v>54777.92</v>
      </c>
      <c r="O281">
        <v>454.7991078</v>
      </c>
      <c r="P281">
        <v>25162.71</v>
      </c>
      <c r="Q281">
        <v>19988.23</v>
      </c>
    </row>
    <row r="282" spans="1:17" ht="12.75">
      <c r="A282" t="s">
        <v>35</v>
      </c>
      <c r="B282" t="s">
        <v>43</v>
      </c>
      <c r="C282">
        <v>17</v>
      </c>
      <c r="D282">
        <v>1.622359</v>
      </c>
      <c r="E282">
        <v>1.257263</v>
      </c>
      <c r="F282">
        <v>82.211</v>
      </c>
      <c r="G282">
        <v>0.4249441</v>
      </c>
      <c r="H282">
        <v>0.3306606</v>
      </c>
      <c r="I282">
        <v>0.3510051</v>
      </c>
      <c r="J282">
        <v>0.3650956</v>
      </c>
      <c r="K282">
        <v>0.3791862</v>
      </c>
      <c r="L282">
        <v>0.3995306</v>
      </c>
      <c r="M282">
        <v>3.774663</v>
      </c>
      <c r="N282">
        <v>54777.92</v>
      </c>
      <c r="O282">
        <v>454.698336</v>
      </c>
      <c r="P282">
        <v>23543.67</v>
      </c>
      <c r="Q282">
        <v>18245.4</v>
      </c>
    </row>
    <row r="283" spans="1:17" ht="12.75">
      <c r="A283" t="s">
        <v>35</v>
      </c>
      <c r="B283" t="s">
        <v>43</v>
      </c>
      <c r="C283">
        <v>18</v>
      </c>
      <c r="D283">
        <v>1.452388</v>
      </c>
      <c r="E283">
        <v>1.05254</v>
      </c>
      <c r="F283">
        <v>81.901</v>
      </c>
      <c r="G283">
        <v>0.4247112</v>
      </c>
      <c r="H283">
        <v>0.3633754</v>
      </c>
      <c r="I283">
        <v>0.3849236</v>
      </c>
      <c r="J283">
        <v>0.3998478</v>
      </c>
      <c r="K283">
        <v>0.4147721</v>
      </c>
      <c r="L283">
        <v>0.4363203</v>
      </c>
      <c r="M283">
        <v>3.774663</v>
      </c>
      <c r="N283">
        <v>54777.92</v>
      </c>
      <c r="O283">
        <v>448.3952404</v>
      </c>
      <c r="P283">
        <v>21077.05</v>
      </c>
      <c r="Q283">
        <v>15274.46</v>
      </c>
    </row>
    <row r="284" spans="1:17" ht="12.75">
      <c r="A284" t="s">
        <v>35</v>
      </c>
      <c r="B284" t="s">
        <v>43</v>
      </c>
      <c r="C284">
        <v>19</v>
      </c>
      <c r="D284">
        <v>0.8904717</v>
      </c>
      <c r="E284">
        <v>0.9869397</v>
      </c>
      <c r="F284">
        <v>76.6806</v>
      </c>
      <c r="G284">
        <v>0.4247304</v>
      </c>
      <c r="H284">
        <v>-0.1310108</v>
      </c>
      <c r="I284">
        <v>-0.1106026</v>
      </c>
      <c r="J284">
        <v>-0.096468</v>
      </c>
      <c r="K284">
        <v>-0.0823333</v>
      </c>
      <c r="L284">
        <v>-0.0619251</v>
      </c>
      <c r="M284">
        <v>3.774663</v>
      </c>
      <c r="N284">
        <v>54777.92</v>
      </c>
      <c r="O284">
        <v>454.5613015</v>
      </c>
      <c r="P284">
        <v>12922.53</v>
      </c>
      <c r="Q284">
        <v>14322.47</v>
      </c>
    </row>
    <row r="285" spans="1:17" ht="12.75">
      <c r="A285" t="s">
        <v>35</v>
      </c>
      <c r="B285" t="s">
        <v>43</v>
      </c>
      <c r="C285">
        <v>20</v>
      </c>
      <c r="D285">
        <v>0.6277413</v>
      </c>
      <c r="E285">
        <v>0.6911559</v>
      </c>
      <c r="F285">
        <v>73.8583</v>
      </c>
      <c r="G285">
        <v>0.4249512</v>
      </c>
      <c r="H285">
        <v>-0.0976154</v>
      </c>
      <c r="I285">
        <v>-0.0774092</v>
      </c>
      <c r="J285">
        <v>-0.0634145</v>
      </c>
      <c r="K285">
        <v>-0.0494198</v>
      </c>
      <c r="L285">
        <v>-0.0292137</v>
      </c>
      <c r="M285">
        <v>3.774663</v>
      </c>
      <c r="N285">
        <v>54777.92</v>
      </c>
      <c r="O285">
        <v>454.3466006</v>
      </c>
      <c r="P285">
        <v>9109.782</v>
      </c>
      <c r="Q285">
        <v>10030.05</v>
      </c>
    </row>
    <row r="286" spans="1:17" ht="12.75">
      <c r="A286" t="s">
        <v>35</v>
      </c>
      <c r="B286" t="s">
        <v>43</v>
      </c>
      <c r="C286">
        <v>21</v>
      </c>
      <c r="D286">
        <v>0.4691161</v>
      </c>
      <c r="E286">
        <v>0.5102177</v>
      </c>
      <c r="F286">
        <v>72.3253</v>
      </c>
      <c r="G286">
        <v>0.424827</v>
      </c>
      <c r="H286">
        <v>-0.0751573</v>
      </c>
      <c r="I286">
        <v>-0.0550369</v>
      </c>
      <c r="J286">
        <v>-0.0411016</v>
      </c>
      <c r="K286">
        <v>-0.0271662</v>
      </c>
      <c r="L286">
        <v>-0.0070458</v>
      </c>
      <c r="M286">
        <v>3.774663</v>
      </c>
      <c r="N286">
        <v>54777.92</v>
      </c>
      <c r="O286">
        <v>453.9940146</v>
      </c>
      <c r="P286">
        <v>6807.813</v>
      </c>
      <c r="Q286">
        <v>7404.279</v>
      </c>
    </row>
    <row r="287" spans="1:17" ht="12.75">
      <c r="A287" t="s">
        <v>35</v>
      </c>
      <c r="B287" t="s">
        <v>43</v>
      </c>
      <c r="C287">
        <v>22</v>
      </c>
      <c r="D287">
        <v>0.3509292</v>
      </c>
      <c r="E287">
        <v>0.3775576</v>
      </c>
      <c r="F287">
        <v>71.3055</v>
      </c>
      <c r="G287">
        <v>0.4251369</v>
      </c>
      <c r="H287">
        <v>-0.0606446</v>
      </c>
      <c r="I287">
        <v>-0.0405476</v>
      </c>
      <c r="J287">
        <v>-0.0266284</v>
      </c>
      <c r="K287">
        <v>-0.0127093</v>
      </c>
      <c r="L287">
        <v>0.0073877</v>
      </c>
      <c r="M287">
        <v>3.774663</v>
      </c>
      <c r="N287">
        <v>54777.92</v>
      </c>
      <c r="O287">
        <v>453.692361</v>
      </c>
      <c r="P287">
        <v>5092.685</v>
      </c>
      <c r="Q287">
        <v>5479.117</v>
      </c>
    </row>
    <row r="288" spans="1:17" ht="12.75">
      <c r="A288" t="s">
        <v>35</v>
      </c>
      <c r="B288" t="s">
        <v>43</v>
      </c>
      <c r="C288">
        <v>23</v>
      </c>
      <c r="D288">
        <v>0.2597154</v>
      </c>
      <c r="E288">
        <v>0.2769463</v>
      </c>
      <c r="F288">
        <v>70.5459</v>
      </c>
      <c r="G288">
        <v>0.4252292</v>
      </c>
      <c r="H288">
        <v>-0.0512283</v>
      </c>
      <c r="I288">
        <v>-0.0311423</v>
      </c>
      <c r="J288">
        <v>-0.0172309</v>
      </c>
      <c r="K288">
        <v>-0.0033194</v>
      </c>
      <c r="L288">
        <v>0.0167665</v>
      </c>
      <c r="M288">
        <v>3.774663</v>
      </c>
      <c r="N288">
        <v>54777.92</v>
      </c>
      <c r="O288">
        <v>453.7811916</v>
      </c>
      <c r="P288">
        <v>3768.99</v>
      </c>
      <c r="Q288">
        <v>4019.045</v>
      </c>
    </row>
    <row r="289" spans="1:17" ht="12.75">
      <c r="A289" t="s">
        <v>35</v>
      </c>
      <c r="B289" t="s">
        <v>43</v>
      </c>
      <c r="C289">
        <v>24</v>
      </c>
      <c r="D289">
        <v>0.2101516</v>
      </c>
      <c r="E289">
        <v>0.2145015</v>
      </c>
      <c r="F289">
        <v>69.6892</v>
      </c>
      <c r="G289">
        <v>0.4248506</v>
      </c>
      <c r="H289">
        <v>-0.0291678</v>
      </c>
      <c r="I289">
        <v>-0.0145052</v>
      </c>
      <c r="J289">
        <v>-0.0043498</v>
      </c>
      <c r="K289">
        <v>0.0058055</v>
      </c>
      <c r="L289">
        <v>0.0204682</v>
      </c>
      <c r="M289">
        <v>3.774663</v>
      </c>
      <c r="N289">
        <v>54777.92</v>
      </c>
      <c r="O289">
        <v>453.7061881</v>
      </c>
      <c r="P289">
        <v>3049.721</v>
      </c>
      <c r="Q289">
        <v>3112.845</v>
      </c>
    </row>
    <row r="290" spans="1:17" ht="12.75">
      <c r="A290" t="s">
        <v>37</v>
      </c>
      <c r="B290" s="93">
        <v>40374</v>
      </c>
      <c r="C290">
        <v>1</v>
      </c>
      <c r="D290">
        <v>0.1618545</v>
      </c>
      <c r="E290">
        <v>0.1618545</v>
      </c>
      <c r="F290">
        <v>66.1722</v>
      </c>
      <c r="G290">
        <v>0.4317777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3.742315</v>
      </c>
      <c r="N290">
        <v>21323.71</v>
      </c>
      <c r="O290">
        <v>199.7873435</v>
      </c>
      <c r="P290">
        <v>922.2469</v>
      </c>
      <c r="Q290">
        <v>922.2469</v>
      </c>
    </row>
    <row r="291" spans="1:17" ht="12.75">
      <c r="A291" t="s">
        <v>37</v>
      </c>
      <c r="B291" s="93">
        <v>40374</v>
      </c>
      <c r="C291">
        <v>2</v>
      </c>
      <c r="D291">
        <v>0.1509291</v>
      </c>
      <c r="E291">
        <v>0.1509291</v>
      </c>
      <c r="F291">
        <v>66.4685</v>
      </c>
      <c r="G291">
        <v>0.4317777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3.742315</v>
      </c>
      <c r="N291">
        <v>21323.71</v>
      </c>
      <c r="O291">
        <v>199.7873435</v>
      </c>
      <c r="P291">
        <v>859.9942</v>
      </c>
      <c r="Q291">
        <v>859.9942</v>
      </c>
    </row>
    <row r="292" spans="1:17" ht="12.75">
      <c r="A292" t="s">
        <v>37</v>
      </c>
      <c r="B292" s="93">
        <v>40374</v>
      </c>
      <c r="C292">
        <v>3</v>
      </c>
      <c r="D292">
        <v>0.1399265</v>
      </c>
      <c r="E292">
        <v>0.1399265</v>
      </c>
      <c r="F292">
        <v>65.9665</v>
      </c>
      <c r="G292">
        <v>0.4317777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3.742315</v>
      </c>
      <c r="N292">
        <v>21323.71</v>
      </c>
      <c r="O292">
        <v>199.7873435</v>
      </c>
      <c r="P292">
        <v>797.301</v>
      </c>
      <c r="Q292">
        <v>797.301</v>
      </c>
    </row>
    <row r="293" spans="1:17" ht="12.75">
      <c r="A293" t="s">
        <v>37</v>
      </c>
      <c r="B293" s="93">
        <v>40374</v>
      </c>
      <c r="C293">
        <v>4</v>
      </c>
      <c r="D293">
        <v>0.1361607</v>
      </c>
      <c r="E293">
        <v>0.1361607</v>
      </c>
      <c r="F293">
        <v>65.4983</v>
      </c>
      <c r="G293">
        <v>0.4297152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3.742315</v>
      </c>
      <c r="N293">
        <v>21323.71</v>
      </c>
      <c r="O293">
        <v>200.9071782</v>
      </c>
      <c r="P293">
        <v>775.8438</v>
      </c>
      <c r="Q293">
        <v>775.8438</v>
      </c>
    </row>
    <row r="294" spans="1:17" ht="12.75">
      <c r="A294" t="s">
        <v>37</v>
      </c>
      <c r="B294" s="93">
        <v>40374</v>
      </c>
      <c r="C294">
        <v>5</v>
      </c>
      <c r="D294">
        <v>0.1351815</v>
      </c>
      <c r="E294">
        <v>0.1351815</v>
      </c>
      <c r="F294">
        <v>64.722</v>
      </c>
      <c r="G294">
        <v>0.4297152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3.742315</v>
      </c>
      <c r="N294">
        <v>21323.71</v>
      </c>
      <c r="O294">
        <v>200.9071782</v>
      </c>
      <c r="P294">
        <v>770.2643</v>
      </c>
      <c r="Q294">
        <v>770.2643</v>
      </c>
    </row>
    <row r="295" spans="1:17" ht="12.75">
      <c r="A295" t="s">
        <v>37</v>
      </c>
      <c r="B295" s="93">
        <v>40374</v>
      </c>
      <c r="C295">
        <v>6</v>
      </c>
      <c r="D295">
        <v>0.1529841</v>
      </c>
      <c r="E295">
        <v>0.1529841</v>
      </c>
      <c r="F295">
        <v>64.9795</v>
      </c>
      <c r="G295">
        <v>0.4297152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3.742315</v>
      </c>
      <c r="N295">
        <v>21323.71</v>
      </c>
      <c r="O295">
        <v>200.9071782</v>
      </c>
      <c r="P295">
        <v>871.7034</v>
      </c>
      <c r="Q295">
        <v>871.7034</v>
      </c>
    </row>
    <row r="296" spans="1:17" ht="12.75">
      <c r="A296" t="s">
        <v>37</v>
      </c>
      <c r="B296" s="93">
        <v>40374</v>
      </c>
      <c r="C296">
        <v>7</v>
      </c>
      <c r="D296">
        <v>0.1807524</v>
      </c>
      <c r="E296">
        <v>0.1807524</v>
      </c>
      <c r="F296">
        <v>67.6909</v>
      </c>
      <c r="G296">
        <v>0.4297152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3.742315</v>
      </c>
      <c r="N296">
        <v>21323.71</v>
      </c>
      <c r="O296">
        <v>200.9071782</v>
      </c>
      <c r="P296">
        <v>1029.927</v>
      </c>
      <c r="Q296">
        <v>1029.927</v>
      </c>
    </row>
    <row r="297" spans="1:17" ht="12.75">
      <c r="A297" t="s">
        <v>37</v>
      </c>
      <c r="B297" s="93">
        <v>40374</v>
      </c>
      <c r="C297">
        <v>8</v>
      </c>
      <c r="D297">
        <v>0.3401636</v>
      </c>
      <c r="E297">
        <v>0.3401636</v>
      </c>
      <c r="F297">
        <v>71.9259</v>
      </c>
      <c r="G297">
        <v>0.4297152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3.742315</v>
      </c>
      <c r="N297">
        <v>21323.71</v>
      </c>
      <c r="O297">
        <v>200.9071782</v>
      </c>
      <c r="P297">
        <v>1938.252</v>
      </c>
      <c r="Q297">
        <v>1938.252</v>
      </c>
    </row>
    <row r="298" spans="1:17" ht="12.75">
      <c r="A298" t="s">
        <v>37</v>
      </c>
      <c r="B298" s="93">
        <v>40374</v>
      </c>
      <c r="C298">
        <v>9</v>
      </c>
      <c r="D298">
        <v>0.5456914</v>
      </c>
      <c r="E298">
        <v>0.5456914</v>
      </c>
      <c r="F298">
        <v>77.7485</v>
      </c>
      <c r="G298">
        <v>0.4297152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3.742315</v>
      </c>
      <c r="N298">
        <v>21323.71</v>
      </c>
      <c r="O298">
        <v>200.9071782</v>
      </c>
      <c r="P298">
        <v>3109.35</v>
      </c>
      <c r="Q298">
        <v>3109.35</v>
      </c>
    </row>
    <row r="299" spans="1:17" ht="12.75">
      <c r="A299" t="s">
        <v>37</v>
      </c>
      <c r="B299" s="93">
        <v>40374</v>
      </c>
      <c r="C299">
        <v>10</v>
      </c>
      <c r="D299">
        <v>0.819089</v>
      </c>
      <c r="E299">
        <v>0.819089</v>
      </c>
      <c r="F299">
        <v>79.0517</v>
      </c>
      <c r="G299">
        <v>0.4297152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3.742315</v>
      </c>
      <c r="N299">
        <v>21323.71</v>
      </c>
      <c r="O299">
        <v>200.9071782</v>
      </c>
      <c r="P299">
        <v>4667.169</v>
      </c>
      <c r="Q299">
        <v>4667.169</v>
      </c>
    </row>
    <row r="300" spans="1:17" ht="12.75">
      <c r="A300" t="s">
        <v>37</v>
      </c>
      <c r="B300" s="93">
        <v>40374</v>
      </c>
      <c r="C300">
        <v>11</v>
      </c>
      <c r="D300">
        <v>1.134373</v>
      </c>
      <c r="E300">
        <v>1.134373</v>
      </c>
      <c r="F300">
        <v>80.869</v>
      </c>
      <c r="G300">
        <v>0.4317777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3.742315</v>
      </c>
      <c r="N300">
        <v>21323.71</v>
      </c>
      <c r="O300">
        <v>199.7873435</v>
      </c>
      <c r="P300">
        <v>6463.657</v>
      </c>
      <c r="Q300">
        <v>6463.657</v>
      </c>
    </row>
    <row r="301" spans="1:17" ht="12.75">
      <c r="A301" t="s">
        <v>37</v>
      </c>
      <c r="B301" s="93">
        <v>40374</v>
      </c>
      <c r="C301">
        <v>12</v>
      </c>
      <c r="D301">
        <v>1.357121</v>
      </c>
      <c r="E301">
        <v>1.357121</v>
      </c>
      <c r="F301">
        <v>82.1122</v>
      </c>
      <c r="G301">
        <v>0.4317777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3.742315</v>
      </c>
      <c r="N301">
        <v>21323.71</v>
      </c>
      <c r="O301">
        <v>199.7873435</v>
      </c>
      <c r="P301">
        <v>7732.873</v>
      </c>
      <c r="Q301">
        <v>7732.873</v>
      </c>
    </row>
    <row r="302" spans="1:17" ht="12.75">
      <c r="A302" t="s">
        <v>37</v>
      </c>
      <c r="B302" s="93">
        <v>40374</v>
      </c>
      <c r="C302">
        <v>13</v>
      </c>
      <c r="D302">
        <v>1.493858</v>
      </c>
      <c r="E302">
        <v>1.493858</v>
      </c>
      <c r="F302">
        <v>86.2429</v>
      </c>
      <c r="G302">
        <v>0.4297152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3.742315</v>
      </c>
      <c r="N302">
        <v>21323.71</v>
      </c>
      <c r="O302">
        <v>200.9071782</v>
      </c>
      <c r="P302">
        <v>8512.002</v>
      </c>
      <c r="Q302">
        <v>8512.002</v>
      </c>
    </row>
    <row r="303" spans="1:17" ht="12.75">
      <c r="A303" t="s">
        <v>37</v>
      </c>
      <c r="B303" s="93">
        <v>40374</v>
      </c>
      <c r="C303">
        <v>14</v>
      </c>
      <c r="D303">
        <v>1.55051</v>
      </c>
      <c r="E303">
        <v>1.31741</v>
      </c>
      <c r="F303">
        <v>84.5887</v>
      </c>
      <c r="G303">
        <v>0.4297152</v>
      </c>
      <c r="H303">
        <v>0.1825946</v>
      </c>
      <c r="I303">
        <v>0.2124337</v>
      </c>
      <c r="J303">
        <v>0.2331002</v>
      </c>
      <c r="K303">
        <v>0.2537667</v>
      </c>
      <c r="L303">
        <v>0.2836058</v>
      </c>
      <c r="M303">
        <v>3.742315</v>
      </c>
      <c r="N303">
        <v>21323.71</v>
      </c>
      <c r="O303">
        <v>200.9071782</v>
      </c>
      <c r="P303">
        <v>8834.806</v>
      </c>
      <c r="Q303">
        <v>7506.601</v>
      </c>
    </row>
    <row r="304" spans="1:17" ht="12.75">
      <c r="A304" t="s">
        <v>37</v>
      </c>
      <c r="B304" s="93">
        <v>40374</v>
      </c>
      <c r="C304">
        <v>15</v>
      </c>
      <c r="D304">
        <v>1.607909</v>
      </c>
      <c r="E304">
        <v>1.361837</v>
      </c>
      <c r="F304">
        <v>84.5237</v>
      </c>
      <c r="G304">
        <v>0.4297152</v>
      </c>
      <c r="H304">
        <v>0.1956813</v>
      </c>
      <c r="I304">
        <v>0.2254526</v>
      </c>
      <c r="J304">
        <v>0.2460722</v>
      </c>
      <c r="K304">
        <v>0.2666917</v>
      </c>
      <c r="L304">
        <v>0.2964631</v>
      </c>
      <c r="M304">
        <v>3.742315</v>
      </c>
      <c r="N304">
        <v>21323.71</v>
      </c>
      <c r="O304">
        <v>200.9071782</v>
      </c>
      <c r="P304">
        <v>9161.864</v>
      </c>
      <c r="Q304">
        <v>7759.745</v>
      </c>
    </row>
    <row r="305" spans="1:17" ht="12.75">
      <c r="A305" t="s">
        <v>37</v>
      </c>
      <c r="B305" s="93">
        <v>40374</v>
      </c>
      <c r="C305">
        <v>16</v>
      </c>
      <c r="D305">
        <v>1.638809</v>
      </c>
      <c r="E305">
        <v>1.381287</v>
      </c>
      <c r="F305">
        <v>84.2936</v>
      </c>
      <c r="G305">
        <v>0.4297152</v>
      </c>
      <c r="H305">
        <v>0.2069914</v>
      </c>
      <c r="I305">
        <v>0.2368457</v>
      </c>
      <c r="J305">
        <v>0.2575227</v>
      </c>
      <c r="K305">
        <v>0.2781997</v>
      </c>
      <c r="L305">
        <v>0.3080541</v>
      </c>
      <c r="M305">
        <v>3.742315</v>
      </c>
      <c r="N305">
        <v>21323.71</v>
      </c>
      <c r="O305">
        <v>200.9071782</v>
      </c>
      <c r="P305">
        <v>9337.935</v>
      </c>
      <c r="Q305">
        <v>7870.57</v>
      </c>
    </row>
    <row r="306" spans="1:17" ht="12.75">
      <c r="A306" t="s">
        <v>37</v>
      </c>
      <c r="B306" s="93">
        <v>40374</v>
      </c>
      <c r="C306">
        <v>17</v>
      </c>
      <c r="D306">
        <v>1.529177</v>
      </c>
      <c r="E306">
        <v>1.268398</v>
      </c>
      <c r="F306">
        <v>78.1204</v>
      </c>
      <c r="G306">
        <v>0.4297152</v>
      </c>
      <c r="H306">
        <v>0.2102658</v>
      </c>
      <c r="I306">
        <v>0.2401092</v>
      </c>
      <c r="J306">
        <v>0.2607787</v>
      </c>
      <c r="K306">
        <v>0.2814481</v>
      </c>
      <c r="L306">
        <v>0.3112916</v>
      </c>
      <c r="M306">
        <v>3.742315</v>
      </c>
      <c r="N306">
        <v>21323.71</v>
      </c>
      <c r="O306">
        <v>200.9071782</v>
      </c>
      <c r="P306">
        <v>8713.249</v>
      </c>
      <c r="Q306">
        <v>7227.332</v>
      </c>
    </row>
    <row r="307" spans="1:17" ht="12.75">
      <c r="A307" t="s">
        <v>37</v>
      </c>
      <c r="B307" s="93">
        <v>40374</v>
      </c>
      <c r="C307">
        <v>18</v>
      </c>
      <c r="D307">
        <v>1.227137</v>
      </c>
      <c r="E307">
        <v>1.273953</v>
      </c>
      <c r="F307">
        <v>76.2004</v>
      </c>
      <c r="G307">
        <v>0.4297152</v>
      </c>
      <c r="H307">
        <v>-0.0987027</v>
      </c>
      <c r="I307">
        <v>-0.0680478</v>
      </c>
      <c r="J307">
        <v>-0.0468162</v>
      </c>
      <c r="K307">
        <v>-0.0255847</v>
      </c>
      <c r="L307">
        <v>0.0050703</v>
      </c>
      <c r="M307">
        <v>3.742315</v>
      </c>
      <c r="N307">
        <v>21323.71</v>
      </c>
      <c r="O307">
        <v>200.9071782</v>
      </c>
      <c r="P307">
        <v>6992.227</v>
      </c>
      <c r="Q307">
        <v>7258.986</v>
      </c>
    </row>
    <row r="308" spans="1:17" ht="12.75">
      <c r="A308" t="s">
        <v>37</v>
      </c>
      <c r="B308" s="93">
        <v>40374</v>
      </c>
      <c r="C308">
        <v>19</v>
      </c>
      <c r="D308">
        <v>0.8387627</v>
      </c>
      <c r="E308">
        <v>0.8699128</v>
      </c>
      <c r="F308">
        <v>73.3307</v>
      </c>
      <c r="G308">
        <v>0.4297152</v>
      </c>
      <c r="H308">
        <v>-0.0814225</v>
      </c>
      <c r="I308">
        <v>-0.0517211</v>
      </c>
      <c r="J308">
        <v>-0.0311501</v>
      </c>
      <c r="K308">
        <v>-0.0105791</v>
      </c>
      <c r="L308">
        <v>0.0191222</v>
      </c>
      <c r="M308">
        <v>3.742315</v>
      </c>
      <c r="N308">
        <v>21323.71</v>
      </c>
      <c r="O308">
        <v>200.9071782</v>
      </c>
      <c r="P308">
        <v>4779.27</v>
      </c>
      <c r="Q308">
        <v>4956.763</v>
      </c>
    </row>
    <row r="309" spans="1:17" ht="12.75">
      <c r="A309" t="s">
        <v>37</v>
      </c>
      <c r="B309" s="93">
        <v>40374</v>
      </c>
      <c r="C309">
        <v>20</v>
      </c>
      <c r="D309">
        <v>0.5938589</v>
      </c>
      <c r="E309">
        <v>0.614119</v>
      </c>
      <c r="F309">
        <v>70.3964</v>
      </c>
      <c r="G309">
        <v>0.4297152</v>
      </c>
      <c r="H309">
        <v>-0.0700791</v>
      </c>
      <c r="I309">
        <v>-0.0406456</v>
      </c>
      <c r="J309">
        <v>-0.0202601</v>
      </c>
      <c r="K309">
        <v>0.0001254</v>
      </c>
      <c r="L309">
        <v>0.0295589</v>
      </c>
      <c r="M309">
        <v>3.742315</v>
      </c>
      <c r="N309">
        <v>21323.71</v>
      </c>
      <c r="O309">
        <v>200.9071782</v>
      </c>
      <c r="P309">
        <v>3383.808</v>
      </c>
      <c r="Q309">
        <v>3499.25</v>
      </c>
    </row>
    <row r="310" spans="1:17" ht="12.75">
      <c r="A310" t="s">
        <v>37</v>
      </c>
      <c r="B310" s="93">
        <v>40374</v>
      </c>
      <c r="C310">
        <v>21</v>
      </c>
      <c r="D310">
        <v>0.4664195</v>
      </c>
      <c r="E310">
        <v>0.4796292</v>
      </c>
      <c r="F310">
        <v>70.6646</v>
      </c>
      <c r="G310">
        <v>0.4297152</v>
      </c>
      <c r="H310">
        <v>-0.0628612</v>
      </c>
      <c r="I310">
        <v>-0.0335267</v>
      </c>
      <c r="J310">
        <v>-0.0132097</v>
      </c>
      <c r="K310">
        <v>0.0071073</v>
      </c>
      <c r="L310">
        <v>0.0364418</v>
      </c>
      <c r="M310">
        <v>3.742315</v>
      </c>
      <c r="N310">
        <v>21323.71</v>
      </c>
      <c r="O310">
        <v>200.9071782</v>
      </c>
      <c r="P310">
        <v>2657.658</v>
      </c>
      <c r="Q310">
        <v>2732.927</v>
      </c>
    </row>
    <row r="311" spans="1:17" ht="12.75">
      <c r="A311" t="s">
        <v>37</v>
      </c>
      <c r="B311" s="93">
        <v>40374</v>
      </c>
      <c r="C311">
        <v>22</v>
      </c>
      <c r="D311">
        <v>0.3476453</v>
      </c>
      <c r="E311">
        <v>0.356212</v>
      </c>
      <c r="F311">
        <v>70.6143</v>
      </c>
      <c r="G311">
        <v>0.4297152</v>
      </c>
      <c r="H311">
        <v>-0.0581672</v>
      </c>
      <c r="I311">
        <v>-0.0288629</v>
      </c>
      <c r="J311">
        <v>-0.0085667</v>
      </c>
      <c r="K311">
        <v>0.0117294</v>
      </c>
      <c r="L311">
        <v>0.0410337</v>
      </c>
      <c r="M311">
        <v>3.742315</v>
      </c>
      <c r="N311">
        <v>21323.71</v>
      </c>
      <c r="O311">
        <v>200.9071782</v>
      </c>
      <c r="P311">
        <v>1980.883</v>
      </c>
      <c r="Q311">
        <v>2029.696</v>
      </c>
    </row>
    <row r="312" spans="1:17" ht="12.75">
      <c r="A312" t="s">
        <v>37</v>
      </c>
      <c r="B312" s="93">
        <v>40374</v>
      </c>
      <c r="C312">
        <v>23</v>
      </c>
      <c r="D312">
        <v>0.257698</v>
      </c>
      <c r="E312">
        <v>0.2632633</v>
      </c>
      <c r="F312">
        <v>70.507</v>
      </c>
      <c r="G312">
        <v>0.4317777</v>
      </c>
      <c r="H312">
        <v>-0.055484</v>
      </c>
      <c r="I312">
        <v>-0.0259917</v>
      </c>
      <c r="J312">
        <v>-0.0055654</v>
      </c>
      <c r="K312">
        <v>0.0148609</v>
      </c>
      <c r="L312">
        <v>0.0443533</v>
      </c>
      <c r="M312">
        <v>3.742315</v>
      </c>
      <c r="N312">
        <v>21323.71</v>
      </c>
      <c r="O312">
        <v>199.7873435</v>
      </c>
      <c r="P312">
        <v>1468.363</v>
      </c>
      <c r="Q312">
        <v>1500.075</v>
      </c>
    </row>
    <row r="313" spans="1:17" ht="12.75">
      <c r="A313" t="s">
        <v>37</v>
      </c>
      <c r="B313" s="93">
        <v>40374</v>
      </c>
      <c r="C313">
        <v>24</v>
      </c>
      <c r="D313">
        <v>0.2018982</v>
      </c>
      <c r="E313">
        <v>0.2018989</v>
      </c>
      <c r="F313">
        <v>68.9344</v>
      </c>
      <c r="G313">
        <v>0.4297152</v>
      </c>
      <c r="H313">
        <v>-0.0496452</v>
      </c>
      <c r="I313">
        <v>-0.0203149</v>
      </c>
      <c r="J313" s="99">
        <v>-7.6E-07</v>
      </c>
      <c r="K313">
        <v>0.0203133</v>
      </c>
      <c r="L313">
        <v>0.0496437</v>
      </c>
      <c r="M313">
        <v>3.742315</v>
      </c>
      <c r="N313">
        <v>21323.71</v>
      </c>
      <c r="O313">
        <v>200.9071782</v>
      </c>
      <c r="P313">
        <v>1150.416</v>
      </c>
      <c r="Q313">
        <v>1150.42</v>
      </c>
    </row>
    <row r="314" spans="1:17" ht="12.75">
      <c r="A314" t="s">
        <v>37</v>
      </c>
      <c r="B314" s="93">
        <v>40375</v>
      </c>
      <c r="C314">
        <v>1</v>
      </c>
      <c r="D314">
        <v>0.1728308</v>
      </c>
      <c r="E314">
        <v>0.1728308</v>
      </c>
      <c r="F314">
        <v>69.1854</v>
      </c>
      <c r="G314">
        <v>0.428149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3.742315</v>
      </c>
      <c r="N314">
        <v>21323.71</v>
      </c>
      <c r="O314">
        <v>199.9807555</v>
      </c>
      <c r="P314">
        <v>984.7901</v>
      </c>
      <c r="Q314">
        <v>984.7901</v>
      </c>
    </row>
    <row r="315" spans="1:17" ht="12.75">
      <c r="A315" t="s">
        <v>37</v>
      </c>
      <c r="B315" s="93">
        <v>40375</v>
      </c>
      <c r="C315">
        <v>2</v>
      </c>
      <c r="D315">
        <v>0.1598253</v>
      </c>
      <c r="E315">
        <v>0.1598253</v>
      </c>
      <c r="F315">
        <v>68.7095</v>
      </c>
      <c r="G315">
        <v>0.4297152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3.742315</v>
      </c>
      <c r="N315">
        <v>21323.71</v>
      </c>
      <c r="O315">
        <v>200.9071782</v>
      </c>
      <c r="P315">
        <v>910.6843</v>
      </c>
      <c r="Q315">
        <v>910.6843</v>
      </c>
    </row>
    <row r="316" spans="1:17" ht="12.75">
      <c r="A316" t="s">
        <v>37</v>
      </c>
      <c r="B316" s="93">
        <v>40375</v>
      </c>
      <c r="C316">
        <v>3</v>
      </c>
      <c r="D316">
        <v>0.1476</v>
      </c>
      <c r="E316">
        <v>0.1476</v>
      </c>
      <c r="F316">
        <v>68.7752</v>
      </c>
      <c r="G316">
        <v>0.4297152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3.742315</v>
      </c>
      <c r="N316">
        <v>21323.71</v>
      </c>
      <c r="O316">
        <v>200.9071782</v>
      </c>
      <c r="P316">
        <v>841.0245</v>
      </c>
      <c r="Q316">
        <v>841.0245</v>
      </c>
    </row>
    <row r="317" spans="1:17" ht="12.75">
      <c r="A317" t="s">
        <v>37</v>
      </c>
      <c r="B317" s="93">
        <v>40375</v>
      </c>
      <c r="C317">
        <v>4</v>
      </c>
      <c r="D317">
        <v>0.143097</v>
      </c>
      <c r="E317">
        <v>0.143097</v>
      </c>
      <c r="F317">
        <v>67.7775</v>
      </c>
      <c r="G317">
        <v>0.4297152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3.742315</v>
      </c>
      <c r="N317">
        <v>21323.71</v>
      </c>
      <c r="O317">
        <v>200.9071782</v>
      </c>
      <c r="P317">
        <v>815.3666</v>
      </c>
      <c r="Q317">
        <v>815.3666</v>
      </c>
    </row>
    <row r="318" spans="1:17" ht="12.75">
      <c r="A318" t="s">
        <v>37</v>
      </c>
      <c r="B318" s="93">
        <v>40375</v>
      </c>
      <c r="C318">
        <v>5</v>
      </c>
      <c r="D318">
        <v>0.1440404</v>
      </c>
      <c r="E318">
        <v>0.1440404</v>
      </c>
      <c r="F318">
        <v>66.9275</v>
      </c>
      <c r="G318">
        <v>0.4297152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3.742315</v>
      </c>
      <c r="N318">
        <v>21323.71</v>
      </c>
      <c r="O318">
        <v>200.9071782</v>
      </c>
      <c r="P318">
        <v>820.7423</v>
      </c>
      <c r="Q318">
        <v>820.7423</v>
      </c>
    </row>
    <row r="319" spans="1:17" ht="12.75">
      <c r="A319" t="s">
        <v>37</v>
      </c>
      <c r="B319" s="93">
        <v>40375</v>
      </c>
      <c r="C319">
        <v>6</v>
      </c>
      <c r="D319">
        <v>0.1656693</v>
      </c>
      <c r="E319">
        <v>0.1656693</v>
      </c>
      <c r="F319">
        <v>66.2881</v>
      </c>
      <c r="G319">
        <v>0.4297152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3.742315</v>
      </c>
      <c r="N319">
        <v>21323.71</v>
      </c>
      <c r="O319">
        <v>200.9071782</v>
      </c>
      <c r="P319">
        <v>943.9835</v>
      </c>
      <c r="Q319">
        <v>943.9835</v>
      </c>
    </row>
    <row r="320" spans="1:17" ht="12.75">
      <c r="A320" t="s">
        <v>37</v>
      </c>
      <c r="B320" s="93">
        <v>40375</v>
      </c>
      <c r="C320">
        <v>7</v>
      </c>
      <c r="D320">
        <v>0.1970745</v>
      </c>
      <c r="E320">
        <v>0.1970745</v>
      </c>
      <c r="F320">
        <v>69.5625</v>
      </c>
      <c r="G320">
        <v>0.4297152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3.742315</v>
      </c>
      <c r="N320">
        <v>21323.71</v>
      </c>
      <c r="O320">
        <v>200.9071782</v>
      </c>
      <c r="P320">
        <v>1122.931</v>
      </c>
      <c r="Q320">
        <v>1122.931</v>
      </c>
    </row>
    <row r="321" spans="1:17" ht="12.75">
      <c r="A321" t="s">
        <v>37</v>
      </c>
      <c r="B321" s="93">
        <v>40375</v>
      </c>
      <c r="C321">
        <v>8</v>
      </c>
      <c r="D321">
        <v>0.3882261</v>
      </c>
      <c r="E321">
        <v>0.3882261</v>
      </c>
      <c r="F321">
        <v>73.7545</v>
      </c>
      <c r="G321">
        <v>0.4297152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3.742315</v>
      </c>
      <c r="N321">
        <v>21323.71</v>
      </c>
      <c r="O321">
        <v>200.9071782</v>
      </c>
      <c r="P321">
        <v>2212.112</v>
      </c>
      <c r="Q321">
        <v>2212.112</v>
      </c>
    </row>
    <row r="322" spans="1:17" ht="12.75">
      <c r="A322" t="s">
        <v>37</v>
      </c>
      <c r="B322" s="93">
        <v>40375</v>
      </c>
      <c r="C322">
        <v>9</v>
      </c>
      <c r="D322">
        <v>0.6569787</v>
      </c>
      <c r="E322">
        <v>0.6569787</v>
      </c>
      <c r="F322">
        <v>79.63</v>
      </c>
      <c r="G322">
        <v>0.4297152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3.742315</v>
      </c>
      <c r="N322">
        <v>21323.71</v>
      </c>
      <c r="O322">
        <v>200.9071782</v>
      </c>
      <c r="P322">
        <v>3743.465</v>
      </c>
      <c r="Q322">
        <v>3743.465</v>
      </c>
    </row>
    <row r="323" spans="1:17" ht="12.75">
      <c r="A323" t="s">
        <v>37</v>
      </c>
      <c r="B323" s="93">
        <v>40375</v>
      </c>
      <c r="C323">
        <v>10</v>
      </c>
      <c r="D323">
        <v>0.9936527</v>
      </c>
      <c r="E323">
        <v>0.9936527</v>
      </c>
      <c r="F323">
        <v>82.8111</v>
      </c>
      <c r="G323">
        <v>0.4297152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3.742315</v>
      </c>
      <c r="N323">
        <v>21323.71</v>
      </c>
      <c r="O323">
        <v>200.9071782</v>
      </c>
      <c r="P323">
        <v>5661.833</v>
      </c>
      <c r="Q323">
        <v>5661.833</v>
      </c>
    </row>
    <row r="324" spans="1:17" ht="12.75">
      <c r="A324" t="s">
        <v>37</v>
      </c>
      <c r="B324" s="93">
        <v>40375</v>
      </c>
      <c r="C324">
        <v>11</v>
      </c>
      <c r="D324">
        <v>1.3735</v>
      </c>
      <c r="E324">
        <v>1.3735</v>
      </c>
      <c r="F324">
        <v>85.0807</v>
      </c>
      <c r="G324">
        <v>0.4297152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3.742315</v>
      </c>
      <c r="N324">
        <v>21323.71</v>
      </c>
      <c r="O324">
        <v>200.9071782</v>
      </c>
      <c r="P324">
        <v>7826.201</v>
      </c>
      <c r="Q324">
        <v>7826.201</v>
      </c>
    </row>
    <row r="325" spans="1:17" ht="12.75">
      <c r="A325" t="s">
        <v>37</v>
      </c>
      <c r="B325" s="93">
        <v>40375</v>
      </c>
      <c r="C325">
        <v>12</v>
      </c>
      <c r="D325">
        <v>1.689146</v>
      </c>
      <c r="E325">
        <v>1.689146</v>
      </c>
      <c r="F325">
        <v>88.7695</v>
      </c>
      <c r="G325">
        <v>0.4297152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3.742315</v>
      </c>
      <c r="N325">
        <v>21323.71</v>
      </c>
      <c r="O325">
        <v>200.9071782</v>
      </c>
      <c r="P325">
        <v>9624.753</v>
      </c>
      <c r="Q325">
        <v>9624.753</v>
      </c>
    </row>
    <row r="326" spans="1:17" ht="12.75">
      <c r="A326" t="s">
        <v>37</v>
      </c>
      <c r="B326" s="93">
        <v>40375</v>
      </c>
      <c r="C326">
        <v>13</v>
      </c>
      <c r="D326">
        <v>1.837419</v>
      </c>
      <c r="E326">
        <v>1.837419</v>
      </c>
      <c r="F326">
        <v>89.7022</v>
      </c>
      <c r="G326">
        <v>0.4317777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3.742315</v>
      </c>
      <c r="N326">
        <v>21323.71</v>
      </c>
      <c r="O326">
        <v>199.7873435</v>
      </c>
      <c r="P326">
        <v>10469.61</v>
      </c>
      <c r="Q326">
        <v>10469.61</v>
      </c>
    </row>
    <row r="327" spans="1:17" ht="12.75">
      <c r="A327" t="s">
        <v>37</v>
      </c>
      <c r="B327" s="93">
        <v>40375</v>
      </c>
      <c r="C327">
        <v>14</v>
      </c>
      <c r="D327">
        <v>1.871645</v>
      </c>
      <c r="E327">
        <v>1.607451</v>
      </c>
      <c r="F327">
        <v>89.2329</v>
      </c>
      <c r="G327">
        <v>0.4297152</v>
      </c>
      <c r="H327">
        <v>0.2125408</v>
      </c>
      <c r="I327">
        <v>0.2430581</v>
      </c>
      <c r="J327">
        <v>0.2641944</v>
      </c>
      <c r="K327">
        <v>0.2853306</v>
      </c>
      <c r="L327">
        <v>0.3158479</v>
      </c>
      <c r="M327">
        <v>3.742315</v>
      </c>
      <c r="N327">
        <v>21323.71</v>
      </c>
      <c r="O327">
        <v>200.9071782</v>
      </c>
      <c r="P327">
        <v>10664.64</v>
      </c>
      <c r="Q327">
        <v>9159.256</v>
      </c>
    </row>
    <row r="328" spans="1:17" ht="12.75">
      <c r="A328" t="s">
        <v>37</v>
      </c>
      <c r="B328" s="93">
        <v>40375</v>
      </c>
      <c r="C328">
        <v>15</v>
      </c>
      <c r="D328">
        <v>1.906368</v>
      </c>
      <c r="E328">
        <v>1.629987</v>
      </c>
      <c r="F328">
        <v>87.1353</v>
      </c>
      <c r="G328">
        <v>0.4297152</v>
      </c>
      <c r="H328">
        <v>0.2249942</v>
      </c>
      <c r="I328">
        <v>0.2553539</v>
      </c>
      <c r="J328">
        <v>0.276381</v>
      </c>
      <c r="K328">
        <v>0.2974081</v>
      </c>
      <c r="L328">
        <v>0.3277679</v>
      </c>
      <c r="M328">
        <v>3.742315</v>
      </c>
      <c r="N328">
        <v>21323.71</v>
      </c>
      <c r="O328">
        <v>200.9071782</v>
      </c>
      <c r="P328">
        <v>10862.49</v>
      </c>
      <c r="Q328">
        <v>9287.666</v>
      </c>
    </row>
    <row r="329" spans="1:17" ht="12.75">
      <c r="A329" t="s">
        <v>37</v>
      </c>
      <c r="B329" s="93">
        <v>40375</v>
      </c>
      <c r="C329">
        <v>16</v>
      </c>
      <c r="D329">
        <v>1.887055</v>
      </c>
      <c r="E329">
        <v>1.602099</v>
      </c>
      <c r="F329">
        <v>84.6859</v>
      </c>
      <c r="G329">
        <v>0.4297152</v>
      </c>
      <c r="H329">
        <v>0.2335945</v>
      </c>
      <c r="I329">
        <v>0.2639392</v>
      </c>
      <c r="J329">
        <v>0.2849559</v>
      </c>
      <c r="K329">
        <v>0.3059725</v>
      </c>
      <c r="L329">
        <v>0.3363172</v>
      </c>
      <c r="M329">
        <v>3.742315</v>
      </c>
      <c r="N329">
        <v>21323.71</v>
      </c>
      <c r="O329">
        <v>200.9071782</v>
      </c>
      <c r="P329">
        <v>10752.44</v>
      </c>
      <c r="Q329">
        <v>9128.759</v>
      </c>
    </row>
    <row r="330" spans="1:17" ht="12.75">
      <c r="A330" t="s">
        <v>37</v>
      </c>
      <c r="B330" s="93">
        <v>40375</v>
      </c>
      <c r="C330">
        <v>17</v>
      </c>
      <c r="D330">
        <v>1.759929</v>
      </c>
      <c r="E330">
        <v>1.471337</v>
      </c>
      <c r="F330">
        <v>80.8678</v>
      </c>
      <c r="G330">
        <v>0.4297152</v>
      </c>
      <c r="H330">
        <v>0.2373013</v>
      </c>
      <c r="I330">
        <v>0.2676042</v>
      </c>
      <c r="J330">
        <v>0.2885919</v>
      </c>
      <c r="K330">
        <v>0.3095796</v>
      </c>
      <c r="L330">
        <v>0.3398825</v>
      </c>
      <c r="M330">
        <v>3.742315</v>
      </c>
      <c r="N330">
        <v>21323.71</v>
      </c>
      <c r="O330">
        <v>200.9071782</v>
      </c>
      <c r="P330">
        <v>10028.08</v>
      </c>
      <c r="Q330">
        <v>8383.68</v>
      </c>
    </row>
    <row r="331" spans="1:17" ht="12.75">
      <c r="A331" t="s">
        <v>37</v>
      </c>
      <c r="B331" s="93">
        <v>40375</v>
      </c>
      <c r="C331">
        <v>18</v>
      </c>
      <c r="D331">
        <v>1.421009</v>
      </c>
      <c r="E331">
        <v>1.472576</v>
      </c>
      <c r="F331">
        <v>80.0551</v>
      </c>
      <c r="G331">
        <v>0.4297152</v>
      </c>
      <c r="H331">
        <v>-0.104421</v>
      </c>
      <c r="I331">
        <v>-0.0731947</v>
      </c>
      <c r="J331">
        <v>-0.0515674</v>
      </c>
      <c r="K331">
        <v>-0.0299402</v>
      </c>
      <c r="L331">
        <v>0.0012862</v>
      </c>
      <c r="M331">
        <v>3.742315</v>
      </c>
      <c r="N331">
        <v>21323.71</v>
      </c>
      <c r="O331">
        <v>200.9071782</v>
      </c>
      <c r="P331">
        <v>8096.91</v>
      </c>
      <c r="Q331">
        <v>8390.741</v>
      </c>
    </row>
    <row r="332" spans="1:17" ht="12.75">
      <c r="A332" t="s">
        <v>37</v>
      </c>
      <c r="B332" s="93">
        <v>40375</v>
      </c>
      <c r="C332">
        <v>19</v>
      </c>
      <c r="D332">
        <v>0.9739001</v>
      </c>
      <c r="E332">
        <v>1.008315</v>
      </c>
      <c r="F332">
        <v>76.5169</v>
      </c>
      <c r="G332">
        <v>0.4297152</v>
      </c>
      <c r="H332">
        <v>-0.085423</v>
      </c>
      <c r="I332">
        <v>-0.0552868</v>
      </c>
      <c r="J332">
        <v>-0.0344146</v>
      </c>
      <c r="K332">
        <v>-0.0135425</v>
      </c>
      <c r="L332">
        <v>0.0165937</v>
      </c>
      <c r="M332">
        <v>3.742315</v>
      </c>
      <c r="N332">
        <v>21323.71</v>
      </c>
      <c r="O332">
        <v>200.9071782</v>
      </c>
      <c r="P332">
        <v>5549.283</v>
      </c>
      <c r="Q332">
        <v>5745.377</v>
      </c>
    </row>
    <row r="333" spans="1:17" ht="12.75">
      <c r="A333" t="s">
        <v>37</v>
      </c>
      <c r="B333" s="93">
        <v>40375</v>
      </c>
      <c r="C333">
        <v>20</v>
      </c>
      <c r="D333">
        <v>0.692949</v>
      </c>
      <c r="E333">
        <v>0.7154</v>
      </c>
      <c r="F333">
        <v>72.9307</v>
      </c>
      <c r="G333">
        <v>0.4297152</v>
      </c>
      <c r="H333">
        <v>-0.0730098</v>
      </c>
      <c r="I333">
        <v>-0.0431393</v>
      </c>
      <c r="J333">
        <v>-0.022451</v>
      </c>
      <c r="K333">
        <v>-0.0017627</v>
      </c>
      <c r="L333">
        <v>0.0281079</v>
      </c>
      <c r="M333">
        <v>3.742315</v>
      </c>
      <c r="N333">
        <v>21323.71</v>
      </c>
      <c r="O333">
        <v>200.9071782</v>
      </c>
      <c r="P333">
        <v>3948.423</v>
      </c>
      <c r="Q333">
        <v>4076.349</v>
      </c>
    </row>
    <row r="334" spans="1:17" ht="12.75">
      <c r="A334" t="s">
        <v>37</v>
      </c>
      <c r="B334" s="93">
        <v>40375</v>
      </c>
      <c r="C334">
        <v>21</v>
      </c>
      <c r="D334">
        <v>0.5396373</v>
      </c>
      <c r="E334">
        <v>0.5541984</v>
      </c>
      <c r="F334">
        <v>70.9141</v>
      </c>
      <c r="G334">
        <v>0.4317777</v>
      </c>
      <c r="H334">
        <v>-0.0651528</v>
      </c>
      <c r="I334">
        <v>-0.0352628</v>
      </c>
      <c r="J334">
        <v>-0.0145611</v>
      </c>
      <c r="K334">
        <v>0.0061407</v>
      </c>
      <c r="L334">
        <v>0.0360307</v>
      </c>
      <c r="M334">
        <v>3.742315</v>
      </c>
      <c r="N334">
        <v>21323.71</v>
      </c>
      <c r="O334">
        <v>199.7873435</v>
      </c>
      <c r="P334">
        <v>3074.854</v>
      </c>
      <c r="Q334">
        <v>3157.822</v>
      </c>
    </row>
    <row r="335" spans="1:17" ht="12.75">
      <c r="A335" t="s">
        <v>37</v>
      </c>
      <c r="B335" s="93">
        <v>40375</v>
      </c>
      <c r="C335">
        <v>22</v>
      </c>
      <c r="D335">
        <v>0.3921047</v>
      </c>
      <c r="E335">
        <v>0.4013492</v>
      </c>
      <c r="F335">
        <v>69.6277</v>
      </c>
      <c r="G335">
        <v>0.4297152</v>
      </c>
      <c r="H335">
        <v>-0.0593915</v>
      </c>
      <c r="I335">
        <v>-0.0297643</v>
      </c>
      <c r="J335">
        <v>-0.0092446</v>
      </c>
      <c r="K335">
        <v>0.0112752</v>
      </c>
      <c r="L335">
        <v>0.0409024</v>
      </c>
      <c r="M335">
        <v>3.742315</v>
      </c>
      <c r="N335">
        <v>21323.71</v>
      </c>
      <c r="O335">
        <v>200.9071782</v>
      </c>
      <c r="P335">
        <v>2234.212</v>
      </c>
      <c r="Q335">
        <v>2286.888</v>
      </c>
    </row>
    <row r="336" spans="1:17" ht="12.75">
      <c r="A336" t="s">
        <v>37</v>
      </c>
      <c r="B336" s="93">
        <v>40375</v>
      </c>
      <c r="C336">
        <v>23</v>
      </c>
      <c r="D336">
        <v>0.2792068</v>
      </c>
      <c r="E336">
        <v>0.2850827</v>
      </c>
      <c r="F336">
        <v>68.7115</v>
      </c>
      <c r="G336">
        <v>0.4297152</v>
      </c>
      <c r="H336">
        <v>-0.0559351</v>
      </c>
      <c r="I336">
        <v>-0.0263597</v>
      </c>
      <c r="J336">
        <v>-0.0058759</v>
      </c>
      <c r="K336">
        <v>0.0146079</v>
      </c>
      <c r="L336">
        <v>0.0441832</v>
      </c>
      <c r="M336">
        <v>3.742315</v>
      </c>
      <c r="N336">
        <v>21323.71</v>
      </c>
      <c r="O336">
        <v>200.9071782</v>
      </c>
      <c r="P336">
        <v>1590.92</v>
      </c>
      <c r="Q336">
        <v>1624.401</v>
      </c>
    </row>
    <row r="337" spans="1:17" ht="12.75">
      <c r="A337" t="s">
        <v>37</v>
      </c>
      <c r="B337" s="93">
        <v>40375</v>
      </c>
      <c r="C337">
        <v>24</v>
      </c>
      <c r="D337">
        <v>0.2150139</v>
      </c>
      <c r="E337">
        <v>0.2150147</v>
      </c>
      <c r="F337">
        <v>68.5251</v>
      </c>
      <c r="G337">
        <v>0.4297152</v>
      </c>
      <c r="H337">
        <v>-0.050008</v>
      </c>
      <c r="I337">
        <v>-0.0204633</v>
      </c>
      <c r="J337" s="99">
        <v>-8.34E-07</v>
      </c>
      <c r="K337">
        <v>0.0204617</v>
      </c>
      <c r="L337">
        <v>0.0500063</v>
      </c>
      <c r="M337">
        <v>3.742315</v>
      </c>
      <c r="N337">
        <v>21323.71</v>
      </c>
      <c r="O337">
        <v>200.9071782</v>
      </c>
      <c r="P337">
        <v>1225.149</v>
      </c>
      <c r="Q337">
        <v>1225.154</v>
      </c>
    </row>
    <row r="338" spans="1:17" ht="12.75">
      <c r="A338" t="s">
        <v>37</v>
      </c>
      <c r="B338" s="93">
        <v>40407</v>
      </c>
      <c r="C338">
        <v>1</v>
      </c>
      <c r="D338">
        <v>0.1291569</v>
      </c>
      <c r="E338">
        <v>0.1291569</v>
      </c>
      <c r="F338">
        <v>64.8949</v>
      </c>
      <c r="G338">
        <v>0.4253551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3.742315</v>
      </c>
      <c r="N338">
        <v>21323.71</v>
      </c>
      <c r="O338">
        <v>199.7873435</v>
      </c>
      <c r="P338">
        <v>735.9361</v>
      </c>
      <c r="Q338">
        <v>735.9361</v>
      </c>
    </row>
    <row r="339" spans="1:17" ht="12.75">
      <c r="A339" t="s">
        <v>37</v>
      </c>
      <c r="B339" s="93">
        <v>40407</v>
      </c>
      <c r="C339">
        <v>2</v>
      </c>
      <c r="D339">
        <v>0.1233265</v>
      </c>
      <c r="E339">
        <v>0.1233265</v>
      </c>
      <c r="F339">
        <v>64.466</v>
      </c>
      <c r="G339">
        <v>0.4253551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3.742315</v>
      </c>
      <c r="N339">
        <v>21323.71</v>
      </c>
      <c r="O339">
        <v>199.7873435</v>
      </c>
      <c r="P339">
        <v>702.7143</v>
      </c>
      <c r="Q339">
        <v>702.7143</v>
      </c>
    </row>
    <row r="340" spans="1:17" ht="12.75">
      <c r="A340" t="s">
        <v>37</v>
      </c>
      <c r="B340" s="93">
        <v>40407</v>
      </c>
      <c r="C340">
        <v>3</v>
      </c>
      <c r="D340">
        <v>0.1173068</v>
      </c>
      <c r="E340">
        <v>0.1173068</v>
      </c>
      <c r="F340">
        <v>64.6125</v>
      </c>
      <c r="G340">
        <v>0.4253551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3.742315</v>
      </c>
      <c r="N340">
        <v>21323.71</v>
      </c>
      <c r="O340">
        <v>199.7873435</v>
      </c>
      <c r="P340">
        <v>668.4141</v>
      </c>
      <c r="Q340">
        <v>668.4141</v>
      </c>
    </row>
    <row r="341" spans="1:17" ht="12.75">
      <c r="A341" t="s">
        <v>37</v>
      </c>
      <c r="B341" s="93">
        <v>40407</v>
      </c>
      <c r="C341">
        <v>4</v>
      </c>
      <c r="D341">
        <v>0.1168182</v>
      </c>
      <c r="E341">
        <v>0.1168182</v>
      </c>
      <c r="F341">
        <v>64.3385</v>
      </c>
      <c r="G341">
        <v>0.4253551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3.742315</v>
      </c>
      <c r="N341">
        <v>21323.71</v>
      </c>
      <c r="O341">
        <v>199.7873435</v>
      </c>
      <c r="P341">
        <v>665.6302</v>
      </c>
      <c r="Q341">
        <v>665.6302</v>
      </c>
    </row>
    <row r="342" spans="1:17" ht="12.75">
      <c r="A342" t="s">
        <v>37</v>
      </c>
      <c r="B342" s="93">
        <v>40407</v>
      </c>
      <c r="C342">
        <v>5</v>
      </c>
      <c r="D342">
        <v>0.117852</v>
      </c>
      <c r="E342">
        <v>0.117852</v>
      </c>
      <c r="F342">
        <v>64.0605</v>
      </c>
      <c r="G342">
        <v>0.4253551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3.742315</v>
      </c>
      <c r="N342">
        <v>21323.71</v>
      </c>
      <c r="O342">
        <v>199.7873435</v>
      </c>
      <c r="P342">
        <v>671.5206</v>
      </c>
      <c r="Q342">
        <v>671.5206</v>
      </c>
    </row>
    <row r="343" spans="1:17" ht="12.75">
      <c r="A343" t="s">
        <v>37</v>
      </c>
      <c r="B343" s="93">
        <v>40407</v>
      </c>
      <c r="C343">
        <v>6</v>
      </c>
      <c r="D343">
        <v>0.1340598</v>
      </c>
      <c r="E343">
        <v>0.1340598</v>
      </c>
      <c r="F343">
        <v>63.787</v>
      </c>
      <c r="G343">
        <v>0.4253551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3.742315</v>
      </c>
      <c r="N343">
        <v>21323.71</v>
      </c>
      <c r="O343">
        <v>199.7873435</v>
      </c>
      <c r="P343">
        <v>763.8728</v>
      </c>
      <c r="Q343">
        <v>763.8728</v>
      </c>
    </row>
    <row r="344" spans="1:17" ht="12.75">
      <c r="A344" t="s">
        <v>37</v>
      </c>
      <c r="B344" s="93">
        <v>40407</v>
      </c>
      <c r="C344">
        <v>7</v>
      </c>
      <c r="D344">
        <v>0.1551097</v>
      </c>
      <c r="E344">
        <v>0.1551097</v>
      </c>
      <c r="F344">
        <v>65.4846</v>
      </c>
      <c r="G344">
        <v>0.4253551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3.742315</v>
      </c>
      <c r="N344">
        <v>21323.71</v>
      </c>
      <c r="O344">
        <v>199.7873435</v>
      </c>
      <c r="P344">
        <v>883.8152</v>
      </c>
      <c r="Q344">
        <v>883.8152</v>
      </c>
    </row>
    <row r="345" spans="1:17" ht="12.75">
      <c r="A345" t="s">
        <v>37</v>
      </c>
      <c r="B345" s="93">
        <v>40407</v>
      </c>
      <c r="C345">
        <v>8</v>
      </c>
      <c r="D345">
        <v>0.2962851</v>
      </c>
      <c r="E345">
        <v>0.2962851</v>
      </c>
      <c r="F345">
        <v>70.0474</v>
      </c>
      <c r="G345">
        <v>0.4253551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3.742315</v>
      </c>
      <c r="N345">
        <v>21323.71</v>
      </c>
      <c r="O345">
        <v>199.7873435</v>
      </c>
      <c r="P345">
        <v>1688.232</v>
      </c>
      <c r="Q345">
        <v>1688.232</v>
      </c>
    </row>
    <row r="346" spans="1:17" ht="12.75">
      <c r="A346" t="s">
        <v>37</v>
      </c>
      <c r="B346" s="93">
        <v>40407</v>
      </c>
      <c r="C346">
        <v>9</v>
      </c>
      <c r="D346">
        <v>0.4677472</v>
      </c>
      <c r="E346">
        <v>0.4677472</v>
      </c>
      <c r="F346">
        <v>74.8001</v>
      </c>
      <c r="G346">
        <v>0.4253551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3.742315</v>
      </c>
      <c r="N346">
        <v>21323.71</v>
      </c>
      <c r="O346">
        <v>199.7873435</v>
      </c>
      <c r="P346">
        <v>2665.223</v>
      </c>
      <c r="Q346">
        <v>2665.223</v>
      </c>
    </row>
    <row r="347" spans="1:17" ht="12.75">
      <c r="A347" t="s">
        <v>37</v>
      </c>
      <c r="B347" s="93">
        <v>40407</v>
      </c>
      <c r="C347">
        <v>10</v>
      </c>
      <c r="D347">
        <v>0.7345959</v>
      </c>
      <c r="E347">
        <v>0.7345959</v>
      </c>
      <c r="F347">
        <v>80.2429</v>
      </c>
      <c r="G347">
        <v>0.4253551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3.742315</v>
      </c>
      <c r="N347">
        <v>21323.71</v>
      </c>
      <c r="O347">
        <v>199.7873435</v>
      </c>
      <c r="P347">
        <v>4185.728</v>
      </c>
      <c r="Q347">
        <v>4185.728</v>
      </c>
    </row>
    <row r="348" spans="1:17" ht="12.75">
      <c r="A348" t="s">
        <v>37</v>
      </c>
      <c r="B348" s="93">
        <v>40407</v>
      </c>
      <c r="C348">
        <v>11</v>
      </c>
      <c r="D348">
        <v>1.066423</v>
      </c>
      <c r="E348">
        <v>1.066423</v>
      </c>
      <c r="F348">
        <v>83.1437</v>
      </c>
      <c r="G348">
        <v>0.4253551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3.742315</v>
      </c>
      <c r="N348">
        <v>21323.71</v>
      </c>
      <c r="O348">
        <v>199.7873435</v>
      </c>
      <c r="P348">
        <v>6076.476</v>
      </c>
      <c r="Q348">
        <v>6076.476</v>
      </c>
    </row>
    <row r="349" spans="1:17" ht="12.75">
      <c r="A349" t="s">
        <v>37</v>
      </c>
      <c r="B349" s="93">
        <v>40407</v>
      </c>
      <c r="C349">
        <v>12</v>
      </c>
      <c r="D349">
        <v>1.32281</v>
      </c>
      <c r="E349">
        <v>1.32281</v>
      </c>
      <c r="F349">
        <v>84.3951</v>
      </c>
      <c r="G349">
        <v>0.4253551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3.742315</v>
      </c>
      <c r="N349">
        <v>21323.71</v>
      </c>
      <c r="O349">
        <v>199.7873435</v>
      </c>
      <c r="P349">
        <v>7537.37</v>
      </c>
      <c r="Q349">
        <v>7537.37</v>
      </c>
    </row>
    <row r="350" spans="1:17" ht="12.75">
      <c r="A350" t="s">
        <v>37</v>
      </c>
      <c r="B350" s="93">
        <v>40407</v>
      </c>
      <c r="C350">
        <v>13</v>
      </c>
      <c r="D350">
        <v>1.438375</v>
      </c>
      <c r="E350">
        <v>1.438375</v>
      </c>
      <c r="F350">
        <v>83.6041</v>
      </c>
      <c r="G350">
        <v>0.4253551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3.742315</v>
      </c>
      <c r="N350">
        <v>21323.71</v>
      </c>
      <c r="O350">
        <v>199.7873435</v>
      </c>
      <c r="P350">
        <v>8195.86</v>
      </c>
      <c r="Q350">
        <v>8195.86</v>
      </c>
    </row>
    <row r="351" spans="1:17" ht="12.75">
      <c r="A351" t="s">
        <v>37</v>
      </c>
      <c r="B351" s="93">
        <v>40407</v>
      </c>
      <c r="C351">
        <v>14</v>
      </c>
      <c r="D351">
        <v>1.495851</v>
      </c>
      <c r="E351">
        <v>1.269504</v>
      </c>
      <c r="F351">
        <v>84.0199</v>
      </c>
      <c r="G351">
        <v>0.4253551</v>
      </c>
      <c r="H351">
        <v>0.1766077</v>
      </c>
      <c r="I351">
        <v>0.2059939</v>
      </c>
      <c r="J351">
        <v>0.2263466</v>
      </c>
      <c r="K351">
        <v>0.2466994</v>
      </c>
      <c r="L351">
        <v>0.2760855</v>
      </c>
      <c r="M351">
        <v>3.742315</v>
      </c>
      <c r="N351">
        <v>21323.71</v>
      </c>
      <c r="O351">
        <v>199.7873435</v>
      </c>
      <c r="P351">
        <v>8523.356</v>
      </c>
      <c r="Q351">
        <v>7233.633</v>
      </c>
    </row>
    <row r="352" spans="1:17" ht="12.75">
      <c r="A352" t="s">
        <v>37</v>
      </c>
      <c r="B352" s="93">
        <v>40407</v>
      </c>
      <c r="C352">
        <v>15</v>
      </c>
      <c r="D352">
        <v>1.546883</v>
      </c>
      <c r="E352">
        <v>1.307958</v>
      </c>
      <c r="F352">
        <v>83.3967</v>
      </c>
      <c r="G352">
        <v>0.4253551</v>
      </c>
      <c r="H352">
        <v>0.1893023</v>
      </c>
      <c r="I352">
        <v>0.2186198</v>
      </c>
      <c r="J352">
        <v>0.238925</v>
      </c>
      <c r="K352">
        <v>0.2592302</v>
      </c>
      <c r="L352">
        <v>0.2885476</v>
      </c>
      <c r="M352">
        <v>3.742315</v>
      </c>
      <c r="N352">
        <v>21323.71</v>
      </c>
      <c r="O352">
        <v>199.7873435</v>
      </c>
      <c r="P352">
        <v>8814.137</v>
      </c>
      <c r="Q352">
        <v>7452.742</v>
      </c>
    </row>
    <row r="353" spans="1:17" ht="12.75">
      <c r="A353" t="s">
        <v>37</v>
      </c>
      <c r="B353" s="93">
        <v>40407</v>
      </c>
      <c r="C353">
        <v>16</v>
      </c>
      <c r="D353">
        <v>1.576672</v>
      </c>
      <c r="E353">
        <v>1.326032</v>
      </c>
      <c r="F353">
        <v>82.6862</v>
      </c>
      <c r="G353">
        <v>0.4274046</v>
      </c>
      <c r="H353">
        <v>0.2006664</v>
      </c>
      <c r="I353">
        <v>0.2301912</v>
      </c>
      <c r="J353">
        <v>0.25064</v>
      </c>
      <c r="K353">
        <v>0.2710889</v>
      </c>
      <c r="L353">
        <v>0.3006137</v>
      </c>
      <c r="M353">
        <v>3.742315</v>
      </c>
      <c r="N353">
        <v>21323.71</v>
      </c>
      <c r="O353">
        <v>198.6675088</v>
      </c>
      <c r="P353">
        <v>8983.875</v>
      </c>
      <c r="Q353">
        <v>7555.729</v>
      </c>
    </row>
    <row r="354" spans="1:17" ht="12.75">
      <c r="A354" t="s">
        <v>37</v>
      </c>
      <c r="B354" s="93">
        <v>40407</v>
      </c>
      <c r="C354">
        <v>17</v>
      </c>
      <c r="D354">
        <v>1.509361</v>
      </c>
      <c r="E354">
        <v>1.250636</v>
      </c>
      <c r="F354">
        <v>81.4215</v>
      </c>
      <c r="G354">
        <v>0.4274046</v>
      </c>
      <c r="H354">
        <v>0.2086761</v>
      </c>
      <c r="I354">
        <v>0.2382456</v>
      </c>
      <c r="J354">
        <v>0.2587253</v>
      </c>
      <c r="K354">
        <v>0.279205</v>
      </c>
      <c r="L354">
        <v>0.3087745</v>
      </c>
      <c r="M354">
        <v>3.742315</v>
      </c>
      <c r="N354">
        <v>21323.71</v>
      </c>
      <c r="O354">
        <v>198.6675088</v>
      </c>
      <c r="P354">
        <v>8600.339</v>
      </c>
      <c r="Q354">
        <v>7126.122</v>
      </c>
    </row>
    <row r="355" spans="1:17" ht="12.75">
      <c r="A355" t="s">
        <v>37</v>
      </c>
      <c r="B355" s="93">
        <v>40407</v>
      </c>
      <c r="C355">
        <v>18</v>
      </c>
      <c r="D355">
        <v>1.245791</v>
      </c>
      <c r="E355">
        <v>1.307954</v>
      </c>
      <c r="F355">
        <v>80.721</v>
      </c>
      <c r="G355">
        <v>0.4274046</v>
      </c>
      <c r="H355">
        <v>-0.113629</v>
      </c>
      <c r="I355">
        <v>-0.0832227</v>
      </c>
      <c r="J355">
        <v>-0.0621634</v>
      </c>
      <c r="K355">
        <v>-0.041104</v>
      </c>
      <c r="L355">
        <v>-0.0106977</v>
      </c>
      <c r="M355">
        <v>3.742315</v>
      </c>
      <c r="N355">
        <v>21323.71</v>
      </c>
      <c r="O355">
        <v>198.6675088</v>
      </c>
      <c r="P355">
        <v>7098.518</v>
      </c>
      <c r="Q355">
        <v>7452.724</v>
      </c>
    </row>
    <row r="356" spans="1:17" ht="12.75">
      <c r="A356" t="s">
        <v>37</v>
      </c>
      <c r="B356" s="93">
        <v>40407</v>
      </c>
      <c r="C356">
        <v>19</v>
      </c>
      <c r="D356">
        <v>0.8662128</v>
      </c>
      <c r="E356">
        <v>0.9077626</v>
      </c>
      <c r="F356">
        <v>76.3446</v>
      </c>
      <c r="G356">
        <v>0.4274046</v>
      </c>
      <c r="H356">
        <v>-0.0915412</v>
      </c>
      <c r="I356">
        <v>-0.0620059</v>
      </c>
      <c r="J356">
        <v>-0.0415498</v>
      </c>
      <c r="K356">
        <v>-0.0210937</v>
      </c>
      <c r="L356">
        <v>0.0084416</v>
      </c>
      <c r="M356">
        <v>3.742315</v>
      </c>
      <c r="N356">
        <v>21323.71</v>
      </c>
      <c r="O356">
        <v>198.6675088</v>
      </c>
      <c r="P356">
        <v>4935.68</v>
      </c>
      <c r="Q356">
        <v>5172.431</v>
      </c>
    </row>
    <row r="357" spans="1:17" ht="12.75">
      <c r="A357" t="s">
        <v>37</v>
      </c>
      <c r="B357" s="93">
        <v>40407</v>
      </c>
      <c r="C357">
        <v>20</v>
      </c>
      <c r="D357">
        <v>0.6251222</v>
      </c>
      <c r="E357">
        <v>0.6525307</v>
      </c>
      <c r="F357">
        <v>73.2581</v>
      </c>
      <c r="G357">
        <v>0.4274046</v>
      </c>
      <c r="H357">
        <v>-0.0770978</v>
      </c>
      <c r="I357">
        <v>-0.0477409</v>
      </c>
      <c r="J357">
        <v>-0.0274085</v>
      </c>
      <c r="K357">
        <v>-0.007076</v>
      </c>
      <c r="L357">
        <v>0.0222808</v>
      </c>
      <c r="M357">
        <v>3.742315</v>
      </c>
      <c r="N357">
        <v>21323.71</v>
      </c>
      <c r="O357">
        <v>198.6675088</v>
      </c>
      <c r="P357">
        <v>3561.946</v>
      </c>
      <c r="Q357">
        <v>3718.12</v>
      </c>
    </row>
    <row r="358" spans="1:17" ht="12.75">
      <c r="A358" t="s">
        <v>37</v>
      </c>
      <c r="B358" s="93">
        <v>40407</v>
      </c>
      <c r="C358">
        <v>21</v>
      </c>
      <c r="D358">
        <v>0.4860567</v>
      </c>
      <c r="E358">
        <v>0.5038515</v>
      </c>
      <c r="F358">
        <v>70.8644</v>
      </c>
      <c r="G358">
        <v>0.4274046</v>
      </c>
      <c r="H358">
        <v>-0.0673469</v>
      </c>
      <c r="I358">
        <v>-0.0380711</v>
      </c>
      <c r="J358">
        <v>-0.0177948</v>
      </c>
      <c r="K358">
        <v>0.0024816</v>
      </c>
      <c r="L358">
        <v>0.0317574</v>
      </c>
      <c r="M358">
        <v>3.742315</v>
      </c>
      <c r="N358">
        <v>21323.71</v>
      </c>
      <c r="O358">
        <v>198.6675088</v>
      </c>
      <c r="P358">
        <v>2769.551</v>
      </c>
      <c r="Q358">
        <v>2870.946</v>
      </c>
    </row>
    <row r="359" spans="1:17" ht="12.75">
      <c r="A359" t="s">
        <v>37</v>
      </c>
      <c r="B359" s="93">
        <v>40407</v>
      </c>
      <c r="C359">
        <v>22</v>
      </c>
      <c r="D359">
        <v>0.3585308</v>
      </c>
      <c r="E359">
        <v>0.3700173</v>
      </c>
      <c r="F359">
        <v>70.5146</v>
      </c>
      <c r="G359">
        <v>0.4274046</v>
      </c>
      <c r="H359">
        <v>-0.0610025</v>
      </c>
      <c r="I359">
        <v>-0.0317481</v>
      </c>
      <c r="J359">
        <v>-0.0114865</v>
      </c>
      <c r="K359">
        <v>0.008775</v>
      </c>
      <c r="L359">
        <v>0.0380294</v>
      </c>
      <c r="M359">
        <v>3.742315</v>
      </c>
      <c r="N359">
        <v>21323.71</v>
      </c>
      <c r="O359">
        <v>198.6675088</v>
      </c>
      <c r="P359">
        <v>2042.908</v>
      </c>
      <c r="Q359">
        <v>2108.359</v>
      </c>
    </row>
    <row r="360" spans="1:17" ht="12.75">
      <c r="A360" t="s">
        <v>37</v>
      </c>
      <c r="B360" s="93">
        <v>40407</v>
      </c>
      <c r="C360">
        <v>23</v>
      </c>
      <c r="D360">
        <v>0.2595952</v>
      </c>
      <c r="E360">
        <v>0.2669463</v>
      </c>
      <c r="F360">
        <v>69.9122</v>
      </c>
      <c r="G360">
        <v>0.4274046</v>
      </c>
      <c r="H360">
        <v>-0.0568885</v>
      </c>
      <c r="I360">
        <v>-0.0276214</v>
      </c>
      <c r="J360">
        <v>-0.007351</v>
      </c>
      <c r="K360">
        <v>0.0129193</v>
      </c>
      <c r="L360">
        <v>0.0421865</v>
      </c>
      <c r="M360">
        <v>3.742315</v>
      </c>
      <c r="N360">
        <v>21323.71</v>
      </c>
      <c r="O360">
        <v>198.6675088</v>
      </c>
      <c r="P360">
        <v>1479.174</v>
      </c>
      <c r="Q360">
        <v>1521.06</v>
      </c>
    </row>
    <row r="361" spans="1:17" ht="12.75">
      <c r="A361" t="s">
        <v>37</v>
      </c>
      <c r="B361" s="93">
        <v>40407</v>
      </c>
      <c r="C361">
        <v>24</v>
      </c>
      <c r="D361">
        <v>0.2014044</v>
      </c>
      <c r="E361">
        <v>0.2014044</v>
      </c>
      <c r="F361">
        <v>70.1707</v>
      </c>
      <c r="G361">
        <v>0.4274046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3.742315</v>
      </c>
      <c r="N361">
        <v>21323.71</v>
      </c>
      <c r="O361">
        <v>198.6675088</v>
      </c>
      <c r="P361">
        <v>1147.602</v>
      </c>
      <c r="Q361">
        <v>1147.602</v>
      </c>
    </row>
    <row r="362" spans="1:17" ht="12.75">
      <c r="A362" t="s">
        <v>37</v>
      </c>
      <c r="B362" s="93">
        <v>40408</v>
      </c>
      <c r="C362">
        <v>1</v>
      </c>
      <c r="D362">
        <v>0.1663501</v>
      </c>
      <c r="E362">
        <v>0.1663501</v>
      </c>
      <c r="F362">
        <v>69.1899</v>
      </c>
      <c r="G362">
        <v>0.4253551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3.742315</v>
      </c>
      <c r="N362">
        <v>21323.71</v>
      </c>
      <c r="O362">
        <v>199.7873435</v>
      </c>
      <c r="P362">
        <v>947.8626</v>
      </c>
      <c r="Q362">
        <v>947.8626</v>
      </c>
    </row>
    <row r="363" spans="1:17" ht="12.75">
      <c r="A363" t="s">
        <v>37</v>
      </c>
      <c r="B363" s="93">
        <v>40408</v>
      </c>
      <c r="C363">
        <v>2</v>
      </c>
      <c r="D363">
        <v>0.1538011</v>
      </c>
      <c r="E363">
        <v>0.1538011</v>
      </c>
      <c r="F363">
        <v>68.6746</v>
      </c>
      <c r="G363">
        <v>0.4253551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3.742315</v>
      </c>
      <c r="N363">
        <v>21323.71</v>
      </c>
      <c r="O363">
        <v>199.7873435</v>
      </c>
      <c r="P363">
        <v>876.3586</v>
      </c>
      <c r="Q363">
        <v>876.3586</v>
      </c>
    </row>
    <row r="364" spans="1:17" ht="12.75">
      <c r="A364" t="s">
        <v>37</v>
      </c>
      <c r="B364" s="93">
        <v>40408</v>
      </c>
      <c r="C364">
        <v>3</v>
      </c>
      <c r="D364">
        <v>0.1412574</v>
      </c>
      <c r="E364">
        <v>0.1412574</v>
      </c>
      <c r="F364">
        <v>68.2352</v>
      </c>
      <c r="G364">
        <v>0.4253551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3.742315</v>
      </c>
      <c r="N364">
        <v>21323.71</v>
      </c>
      <c r="O364">
        <v>199.7873435</v>
      </c>
      <c r="P364">
        <v>804.8845</v>
      </c>
      <c r="Q364">
        <v>804.8845</v>
      </c>
    </row>
    <row r="365" spans="1:17" ht="12.75">
      <c r="A365" t="s">
        <v>37</v>
      </c>
      <c r="B365" s="93">
        <v>40408</v>
      </c>
      <c r="C365">
        <v>4</v>
      </c>
      <c r="D365">
        <v>0.137945</v>
      </c>
      <c r="E365">
        <v>0.137945</v>
      </c>
      <c r="F365">
        <v>68.4252</v>
      </c>
      <c r="G365">
        <v>0.4274046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3.742315</v>
      </c>
      <c r="N365">
        <v>21323.71</v>
      </c>
      <c r="O365">
        <v>198.6675088</v>
      </c>
      <c r="P365">
        <v>786.0109</v>
      </c>
      <c r="Q365">
        <v>786.0109</v>
      </c>
    </row>
    <row r="366" spans="1:17" ht="12.75">
      <c r="A366" t="s">
        <v>37</v>
      </c>
      <c r="B366" s="93">
        <v>40408</v>
      </c>
      <c r="C366">
        <v>5</v>
      </c>
      <c r="D366">
        <v>0.1401531</v>
      </c>
      <c r="E366">
        <v>0.1401531</v>
      </c>
      <c r="F366">
        <v>68.1169</v>
      </c>
      <c r="G366">
        <v>0.4253551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3.742315</v>
      </c>
      <c r="N366">
        <v>21323.71</v>
      </c>
      <c r="O366">
        <v>199.7873435</v>
      </c>
      <c r="P366">
        <v>798.5925</v>
      </c>
      <c r="Q366">
        <v>798.5925</v>
      </c>
    </row>
    <row r="367" spans="1:17" ht="12.75">
      <c r="A367" t="s">
        <v>37</v>
      </c>
      <c r="B367" s="93">
        <v>40408</v>
      </c>
      <c r="C367">
        <v>6</v>
      </c>
      <c r="D367">
        <v>0.1619755</v>
      </c>
      <c r="E367">
        <v>0.1619755</v>
      </c>
      <c r="F367">
        <v>67.6676</v>
      </c>
      <c r="G367">
        <v>0.4274046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3.742315</v>
      </c>
      <c r="N367">
        <v>21323.71</v>
      </c>
      <c r="O367">
        <v>198.6675088</v>
      </c>
      <c r="P367">
        <v>922.9366</v>
      </c>
      <c r="Q367">
        <v>922.9366</v>
      </c>
    </row>
    <row r="368" spans="1:17" ht="12.75">
      <c r="A368" t="s">
        <v>37</v>
      </c>
      <c r="B368" s="93">
        <v>40408</v>
      </c>
      <c r="C368">
        <v>7</v>
      </c>
      <c r="D368">
        <v>0.1953896</v>
      </c>
      <c r="E368">
        <v>0.1953896</v>
      </c>
      <c r="F368">
        <v>71.2013</v>
      </c>
      <c r="G368">
        <v>0.4274046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3.742315</v>
      </c>
      <c r="N368">
        <v>21323.71</v>
      </c>
      <c r="O368">
        <v>198.6675088</v>
      </c>
      <c r="P368">
        <v>1113.33</v>
      </c>
      <c r="Q368">
        <v>1113.33</v>
      </c>
    </row>
    <row r="369" spans="1:17" ht="12.75">
      <c r="A369" t="s">
        <v>37</v>
      </c>
      <c r="B369" s="93">
        <v>40408</v>
      </c>
      <c r="C369">
        <v>8</v>
      </c>
      <c r="D369">
        <v>0.3978782</v>
      </c>
      <c r="E369">
        <v>0.3978782</v>
      </c>
      <c r="F369">
        <v>73.3333</v>
      </c>
      <c r="G369">
        <v>0.4274046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3.742315</v>
      </c>
      <c r="N369">
        <v>21323.71</v>
      </c>
      <c r="O369">
        <v>198.6675088</v>
      </c>
      <c r="P369">
        <v>2267.11</v>
      </c>
      <c r="Q369">
        <v>2267.11</v>
      </c>
    </row>
    <row r="370" spans="1:17" ht="12.75">
      <c r="A370" t="s">
        <v>37</v>
      </c>
      <c r="B370" s="93">
        <v>40408</v>
      </c>
      <c r="C370">
        <v>9</v>
      </c>
      <c r="D370">
        <v>0.6549789</v>
      </c>
      <c r="E370">
        <v>0.6549789</v>
      </c>
      <c r="F370">
        <v>77.8893</v>
      </c>
      <c r="G370">
        <v>0.4253551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3.742315</v>
      </c>
      <c r="N370">
        <v>21323.71</v>
      </c>
      <c r="O370">
        <v>199.7873435</v>
      </c>
      <c r="P370">
        <v>3732.07</v>
      </c>
      <c r="Q370">
        <v>3732.07</v>
      </c>
    </row>
    <row r="371" spans="1:17" ht="12.75">
      <c r="A371" t="s">
        <v>37</v>
      </c>
      <c r="B371" s="93">
        <v>40408</v>
      </c>
      <c r="C371">
        <v>10</v>
      </c>
      <c r="D371">
        <v>0.9983085</v>
      </c>
      <c r="E371">
        <v>0.9983085</v>
      </c>
      <c r="F371">
        <v>82.5166</v>
      </c>
      <c r="G371">
        <v>0.4253551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3.742315</v>
      </c>
      <c r="N371">
        <v>21323.71</v>
      </c>
      <c r="O371">
        <v>199.7873435</v>
      </c>
      <c r="P371">
        <v>5688.362</v>
      </c>
      <c r="Q371">
        <v>5688.362</v>
      </c>
    </row>
    <row r="372" spans="1:17" ht="12.75">
      <c r="A372" t="s">
        <v>37</v>
      </c>
      <c r="B372" s="93">
        <v>40408</v>
      </c>
      <c r="C372">
        <v>11</v>
      </c>
      <c r="D372">
        <v>1.420605</v>
      </c>
      <c r="E372">
        <v>1.420605</v>
      </c>
      <c r="F372">
        <v>86.9732</v>
      </c>
      <c r="G372">
        <v>0.4253551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3.742315</v>
      </c>
      <c r="N372">
        <v>21323.71</v>
      </c>
      <c r="O372">
        <v>199.7873435</v>
      </c>
      <c r="P372">
        <v>8094.607</v>
      </c>
      <c r="Q372">
        <v>8094.607</v>
      </c>
    </row>
    <row r="373" spans="1:17" ht="12.75">
      <c r="A373" t="s">
        <v>37</v>
      </c>
      <c r="B373" s="93">
        <v>40408</v>
      </c>
      <c r="C373">
        <v>12</v>
      </c>
      <c r="D373">
        <v>1.727468</v>
      </c>
      <c r="E373">
        <v>1.727468</v>
      </c>
      <c r="F373">
        <v>88.9257</v>
      </c>
      <c r="G373">
        <v>0.4253551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3.742315</v>
      </c>
      <c r="N373">
        <v>21323.71</v>
      </c>
      <c r="O373">
        <v>199.7873435</v>
      </c>
      <c r="P373">
        <v>9843.112</v>
      </c>
      <c r="Q373">
        <v>9843.112</v>
      </c>
    </row>
    <row r="374" spans="1:17" ht="12.75">
      <c r="A374" t="s">
        <v>37</v>
      </c>
      <c r="B374" s="93">
        <v>40408</v>
      </c>
      <c r="C374">
        <v>13</v>
      </c>
      <c r="D374">
        <v>1.826261</v>
      </c>
      <c r="E374">
        <v>1.826261</v>
      </c>
      <c r="F374">
        <v>87.904</v>
      </c>
      <c r="G374">
        <v>0.4253551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3.742315</v>
      </c>
      <c r="N374">
        <v>21323.71</v>
      </c>
      <c r="O374">
        <v>199.7873435</v>
      </c>
      <c r="P374">
        <v>10406.03</v>
      </c>
      <c r="Q374">
        <v>10406.03</v>
      </c>
    </row>
    <row r="375" spans="1:17" ht="12.75">
      <c r="A375" t="s">
        <v>37</v>
      </c>
      <c r="B375" s="93">
        <v>40408</v>
      </c>
      <c r="C375">
        <v>14</v>
      </c>
      <c r="D375">
        <v>1.818605</v>
      </c>
      <c r="E375">
        <v>1.560434</v>
      </c>
      <c r="F375">
        <v>85.9299</v>
      </c>
      <c r="G375">
        <v>0.4253551</v>
      </c>
      <c r="H375">
        <v>0.2073998</v>
      </c>
      <c r="I375">
        <v>0.2373963</v>
      </c>
      <c r="J375">
        <v>0.2581718</v>
      </c>
      <c r="K375">
        <v>0.2789473</v>
      </c>
      <c r="L375">
        <v>0.3089437</v>
      </c>
      <c r="M375">
        <v>3.742315</v>
      </c>
      <c r="N375">
        <v>21323.71</v>
      </c>
      <c r="O375">
        <v>199.7873435</v>
      </c>
      <c r="P375">
        <v>10362.41</v>
      </c>
      <c r="Q375">
        <v>8891.35</v>
      </c>
    </row>
    <row r="376" spans="1:17" ht="12.75">
      <c r="A376" t="s">
        <v>37</v>
      </c>
      <c r="B376" s="93">
        <v>40408</v>
      </c>
      <c r="C376">
        <v>15</v>
      </c>
      <c r="D376">
        <v>1.843051</v>
      </c>
      <c r="E376">
        <v>1.571568</v>
      </c>
      <c r="F376">
        <v>84.3119</v>
      </c>
      <c r="G376">
        <v>0.4288636</v>
      </c>
      <c r="H376">
        <v>0.2205652</v>
      </c>
      <c r="I376">
        <v>0.2506478</v>
      </c>
      <c r="J376">
        <v>0.2714828</v>
      </c>
      <c r="K376">
        <v>0.2923179</v>
      </c>
      <c r="L376">
        <v>0.3224005</v>
      </c>
      <c r="M376">
        <v>3.742315</v>
      </c>
      <c r="N376">
        <v>21323.71</v>
      </c>
      <c r="O376">
        <v>197.7410862</v>
      </c>
      <c r="P376">
        <v>10501.71</v>
      </c>
      <c r="Q376">
        <v>8954.797</v>
      </c>
    </row>
    <row r="377" spans="1:17" ht="12.75">
      <c r="A377" t="s">
        <v>37</v>
      </c>
      <c r="B377" s="93">
        <v>40408</v>
      </c>
      <c r="C377">
        <v>16</v>
      </c>
      <c r="D377">
        <v>1.81822</v>
      </c>
      <c r="E377">
        <v>1.540312</v>
      </c>
      <c r="F377">
        <v>84.0319</v>
      </c>
      <c r="G377">
        <v>0.4274046</v>
      </c>
      <c r="H377">
        <v>0.2272198</v>
      </c>
      <c r="I377">
        <v>0.2571668</v>
      </c>
      <c r="J377">
        <v>0.277908</v>
      </c>
      <c r="K377">
        <v>0.2986492</v>
      </c>
      <c r="L377">
        <v>0.3285961</v>
      </c>
      <c r="M377">
        <v>3.742315</v>
      </c>
      <c r="N377">
        <v>21323.71</v>
      </c>
      <c r="O377">
        <v>198.6675088</v>
      </c>
      <c r="P377">
        <v>10360.22</v>
      </c>
      <c r="Q377">
        <v>8776.696</v>
      </c>
    </row>
    <row r="378" spans="1:17" ht="12.75">
      <c r="A378" t="s">
        <v>37</v>
      </c>
      <c r="B378" s="93">
        <v>40408</v>
      </c>
      <c r="C378">
        <v>17</v>
      </c>
      <c r="D378">
        <v>1.726108</v>
      </c>
      <c r="E378">
        <v>1.441077</v>
      </c>
      <c r="F378">
        <v>83.6188</v>
      </c>
      <c r="G378">
        <v>0.4274046</v>
      </c>
      <c r="H378">
        <v>0.2342873</v>
      </c>
      <c r="I378">
        <v>0.264267</v>
      </c>
      <c r="J378">
        <v>0.2850308</v>
      </c>
      <c r="K378">
        <v>0.3057947</v>
      </c>
      <c r="L378">
        <v>0.3357744</v>
      </c>
      <c r="M378">
        <v>3.742315</v>
      </c>
      <c r="N378">
        <v>21323.71</v>
      </c>
      <c r="O378">
        <v>198.6675088</v>
      </c>
      <c r="P378">
        <v>9835.363</v>
      </c>
      <c r="Q378">
        <v>8211.258</v>
      </c>
    </row>
    <row r="379" spans="1:17" ht="12.75">
      <c r="A379" t="s">
        <v>37</v>
      </c>
      <c r="B379" s="93">
        <v>40408</v>
      </c>
      <c r="C379">
        <v>18</v>
      </c>
      <c r="D379">
        <v>1.396755</v>
      </c>
      <c r="E379">
        <v>1.463379</v>
      </c>
      <c r="F379">
        <v>81.9098</v>
      </c>
      <c r="G379">
        <v>0.4253551</v>
      </c>
      <c r="H379">
        <v>-0.1186357</v>
      </c>
      <c r="I379">
        <v>-0.0879069</v>
      </c>
      <c r="J379">
        <v>-0.0666243</v>
      </c>
      <c r="K379">
        <v>-0.0453416</v>
      </c>
      <c r="L379">
        <v>-0.0146128</v>
      </c>
      <c r="M379">
        <v>3.742315</v>
      </c>
      <c r="N379">
        <v>21323.71</v>
      </c>
      <c r="O379">
        <v>199.7873435</v>
      </c>
      <c r="P379">
        <v>7958.71</v>
      </c>
      <c r="Q379">
        <v>8338.336</v>
      </c>
    </row>
    <row r="380" spans="1:17" ht="12.75">
      <c r="A380" t="s">
        <v>37</v>
      </c>
      <c r="B380" s="93">
        <v>40408</v>
      </c>
      <c r="C380">
        <v>19</v>
      </c>
      <c r="D380">
        <v>0.9643907</v>
      </c>
      <c r="E380">
        <v>1.008824</v>
      </c>
      <c r="F380">
        <v>78.3925</v>
      </c>
      <c r="G380">
        <v>0.4253551</v>
      </c>
      <c r="H380">
        <v>-0.0947689</v>
      </c>
      <c r="I380">
        <v>-0.0650305</v>
      </c>
      <c r="J380">
        <v>-0.0444338</v>
      </c>
      <c r="K380">
        <v>-0.023837</v>
      </c>
      <c r="L380">
        <v>0.0059014</v>
      </c>
      <c r="M380">
        <v>3.742315</v>
      </c>
      <c r="N380">
        <v>21323.71</v>
      </c>
      <c r="O380">
        <v>199.7873435</v>
      </c>
      <c r="P380">
        <v>5495.098</v>
      </c>
      <c r="Q380">
        <v>5748.282</v>
      </c>
    </row>
    <row r="381" spans="1:17" ht="12.75">
      <c r="A381" t="s">
        <v>37</v>
      </c>
      <c r="B381" s="93">
        <v>40408</v>
      </c>
      <c r="C381">
        <v>20</v>
      </c>
      <c r="D381">
        <v>0.6935506</v>
      </c>
      <c r="E381">
        <v>0.7228586</v>
      </c>
      <c r="F381">
        <v>75.4438</v>
      </c>
      <c r="G381">
        <v>0.4274046</v>
      </c>
      <c r="H381">
        <v>-0.0796251</v>
      </c>
      <c r="I381">
        <v>-0.0498973</v>
      </c>
      <c r="J381">
        <v>-0.029308</v>
      </c>
      <c r="K381">
        <v>-0.0087186</v>
      </c>
      <c r="L381">
        <v>0.0210092</v>
      </c>
      <c r="M381">
        <v>3.742315</v>
      </c>
      <c r="N381">
        <v>21323.71</v>
      </c>
      <c r="O381">
        <v>198.6675088</v>
      </c>
      <c r="P381">
        <v>3951.852</v>
      </c>
      <c r="Q381">
        <v>4118.848</v>
      </c>
    </row>
    <row r="382" spans="1:17" ht="12.75">
      <c r="A382" t="s">
        <v>37</v>
      </c>
      <c r="B382" s="93">
        <v>40408</v>
      </c>
      <c r="C382">
        <v>21</v>
      </c>
      <c r="D382">
        <v>0.5405419</v>
      </c>
      <c r="E382">
        <v>0.5595589</v>
      </c>
      <c r="F382">
        <v>73.2422</v>
      </c>
      <c r="G382">
        <v>0.4274046</v>
      </c>
      <c r="H382">
        <v>-0.0692294</v>
      </c>
      <c r="I382">
        <v>-0.0395635</v>
      </c>
      <c r="J382">
        <v>-0.019017</v>
      </c>
      <c r="K382">
        <v>0.0015295</v>
      </c>
      <c r="L382">
        <v>0.0311953</v>
      </c>
      <c r="M382">
        <v>3.742315</v>
      </c>
      <c r="N382">
        <v>21323.71</v>
      </c>
      <c r="O382">
        <v>198.6675088</v>
      </c>
      <c r="P382">
        <v>3080.008</v>
      </c>
      <c r="Q382">
        <v>3188.367</v>
      </c>
    </row>
    <row r="383" spans="1:17" ht="12.75">
      <c r="A383" t="s">
        <v>37</v>
      </c>
      <c r="B383" s="93">
        <v>40408</v>
      </c>
      <c r="C383">
        <v>22</v>
      </c>
      <c r="D383">
        <v>0.3986543</v>
      </c>
      <c r="E383">
        <v>0.4109093</v>
      </c>
      <c r="F383">
        <v>72.17</v>
      </c>
      <c r="G383">
        <v>0.4274046</v>
      </c>
      <c r="H383">
        <v>-0.0624407</v>
      </c>
      <c r="I383">
        <v>-0.0327906</v>
      </c>
      <c r="J383">
        <v>-0.012255</v>
      </c>
      <c r="K383">
        <v>0.0082805</v>
      </c>
      <c r="L383">
        <v>0.0379306</v>
      </c>
      <c r="M383">
        <v>3.742315</v>
      </c>
      <c r="N383">
        <v>21323.71</v>
      </c>
      <c r="O383">
        <v>198.6675088</v>
      </c>
      <c r="P383">
        <v>2271.532</v>
      </c>
      <c r="Q383">
        <v>2341.361</v>
      </c>
    </row>
    <row r="384" spans="1:17" ht="12.75">
      <c r="A384" t="s">
        <v>37</v>
      </c>
      <c r="B384" s="93">
        <v>40408</v>
      </c>
      <c r="C384">
        <v>23</v>
      </c>
      <c r="D384">
        <v>0.2847127</v>
      </c>
      <c r="E384">
        <v>0.2925604</v>
      </c>
      <c r="F384">
        <v>71.3073</v>
      </c>
      <c r="G384">
        <v>0.4274046</v>
      </c>
      <c r="H384">
        <v>-0.0580598</v>
      </c>
      <c r="I384">
        <v>-0.0283941</v>
      </c>
      <c r="J384">
        <v>-0.0078477</v>
      </c>
      <c r="K384">
        <v>0.0126987</v>
      </c>
      <c r="L384">
        <v>0.0423644</v>
      </c>
      <c r="M384">
        <v>3.742315</v>
      </c>
      <c r="N384">
        <v>21323.71</v>
      </c>
      <c r="O384">
        <v>198.6675088</v>
      </c>
      <c r="P384">
        <v>1622.293</v>
      </c>
      <c r="Q384">
        <v>1667.009</v>
      </c>
    </row>
    <row r="385" spans="1:17" ht="12.75">
      <c r="A385" t="s">
        <v>37</v>
      </c>
      <c r="B385" s="93">
        <v>40408</v>
      </c>
      <c r="C385">
        <v>24</v>
      </c>
      <c r="D385">
        <v>0.2159505</v>
      </c>
      <c r="E385">
        <v>0.2159505</v>
      </c>
      <c r="F385">
        <v>70.8152</v>
      </c>
      <c r="G385">
        <v>0.4274046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3.742315</v>
      </c>
      <c r="N385">
        <v>21323.71</v>
      </c>
      <c r="O385">
        <v>198.6675088</v>
      </c>
      <c r="P385">
        <v>1230.486</v>
      </c>
      <c r="Q385">
        <v>1230.486</v>
      </c>
    </row>
    <row r="386" spans="1:17" ht="12.75">
      <c r="A386" t="s">
        <v>37</v>
      </c>
      <c r="B386" s="93">
        <v>40409</v>
      </c>
      <c r="C386">
        <v>1</v>
      </c>
      <c r="D386">
        <v>0.1746854</v>
      </c>
      <c r="E386">
        <v>0.1746854</v>
      </c>
      <c r="F386">
        <v>70.6492</v>
      </c>
      <c r="G386">
        <v>0.4274046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3.742315</v>
      </c>
      <c r="N386">
        <v>21323.71</v>
      </c>
      <c r="O386">
        <v>198.6675088</v>
      </c>
      <c r="P386">
        <v>995.3575</v>
      </c>
      <c r="Q386">
        <v>995.3575</v>
      </c>
    </row>
    <row r="387" spans="1:17" ht="12.75">
      <c r="A387" t="s">
        <v>37</v>
      </c>
      <c r="B387" s="93">
        <v>40409</v>
      </c>
      <c r="C387">
        <v>2</v>
      </c>
      <c r="D387">
        <v>0.1599915</v>
      </c>
      <c r="E387">
        <v>0.1599915</v>
      </c>
      <c r="F387">
        <v>70.0702</v>
      </c>
      <c r="G387">
        <v>0.4274046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3.742315</v>
      </c>
      <c r="N387">
        <v>21323.71</v>
      </c>
      <c r="O387">
        <v>198.6675088</v>
      </c>
      <c r="P387">
        <v>911.6316</v>
      </c>
      <c r="Q387">
        <v>911.6316</v>
      </c>
    </row>
    <row r="388" spans="1:17" ht="12.75">
      <c r="A388" t="s">
        <v>37</v>
      </c>
      <c r="B388" s="93">
        <v>40409</v>
      </c>
      <c r="C388">
        <v>3</v>
      </c>
      <c r="D388">
        <v>0.1441711</v>
      </c>
      <c r="E388">
        <v>0.1441711</v>
      </c>
      <c r="F388">
        <v>69.2395</v>
      </c>
      <c r="G388">
        <v>0.4274046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3.742315</v>
      </c>
      <c r="N388">
        <v>21323.71</v>
      </c>
      <c r="O388">
        <v>198.6675088</v>
      </c>
      <c r="P388">
        <v>821.4871</v>
      </c>
      <c r="Q388">
        <v>821.4871</v>
      </c>
    </row>
    <row r="389" spans="1:17" ht="12.75">
      <c r="A389" t="s">
        <v>37</v>
      </c>
      <c r="B389" s="93">
        <v>40409</v>
      </c>
      <c r="C389">
        <v>4</v>
      </c>
      <c r="D389">
        <v>0.138435</v>
      </c>
      <c r="E389">
        <v>0.138435</v>
      </c>
      <c r="F389">
        <v>68.4876</v>
      </c>
      <c r="G389">
        <v>0.4274046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3.742315</v>
      </c>
      <c r="N389">
        <v>21323.71</v>
      </c>
      <c r="O389">
        <v>198.6675088</v>
      </c>
      <c r="P389">
        <v>788.8027</v>
      </c>
      <c r="Q389">
        <v>788.8027</v>
      </c>
    </row>
    <row r="390" spans="1:17" ht="12.75">
      <c r="A390" t="s">
        <v>37</v>
      </c>
      <c r="B390" s="93">
        <v>40409</v>
      </c>
      <c r="C390">
        <v>5</v>
      </c>
      <c r="D390">
        <v>0.1390941</v>
      </c>
      <c r="E390">
        <v>0.1390941</v>
      </c>
      <c r="F390">
        <v>67.9825</v>
      </c>
      <c r="G390">
        <v>0.4253551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3.742315</v>
      </c>
      <c r="N390">
        <v>21323.71</v>
      </c>
      <c r="O390">
        <v>199.7873435</v>
      </c>
      <c r="P390">
        <v>792.5584</v>
      </c>
      <c r="Q390">
        <v>792.5584</v>
      </c>
    </row>
    <row r="391" spans="1:17" ht="12.75">
      <c r="A391" t="s">
        <v>37</v>
      </c>
      <c r="B391" s="93">
        <v>40409</v>
      </c>
      <c r="C391">
        <v>6</v>
      </c>
      <c r="D391">
        <v>0.1610383</v>
      </c>
      <c r="E391">
        <v>0.1610383</v>
      </c>
      <c r="F391">
        <v>66.7851</v>
      </c>
      <c r="G391">
        <v>0.4274046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3.742315</v>
      </c>
      <c r="N391">
        <v>21323.71</v>
      </c>
      <c r="O391">
        <v>198.6675088</v>
      </c>
      <c r="P391">
        <v>917.5961</v>
      </c>
      <c r="Q391">
        <v>917.5961</v>
      </c>
    </row>
    <row r="392" spans="1:17" ht="12.75">
      <c r="A392" t="s">
        <v>37</v>
      </c>
      <c r="B392" s="93">
        <v>40409</v>
      </c>
      <c r="C392">
        <v>7</v>
      </c>
      <c r="D392">
        <v>0.1971457</v>
      </c>
      <c r="E392">
        <v>0.1971457</v>
      </c>
      <c r="F392">
        <v>67.6645</v>
      </c>
      <c r="G392">
        <v>0.4274046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3.742315</v>
      </c>
      <c r="N392">
        <v>21323.71</v>
      </c>
      <c r="O392">
        <v>198.6675088</v>
      </c>
      <c r="P392">
        <v>1123.336</v>
      </c>
      <c r="Q392">
        <v>1123.336</v>
      </c>
    </row>
    <row r="393" spans="1:17" ht="12.75">
      <c r="A393" t="s">
        <v>37</v>
      </c>
      <c r="B393" s="93">
        <v>40409</v>
      </c>
      <c r="C393">
        <v>8</v>
      </c>
      <c r="D393">
        <v>0.3900111</v>
      </c>
      <c r="E393">
        <v>0.3900111</v>
      </c>
      <c r="F393">
        <v>72.2599</v>
      </c>
      <c r="G393">
        <v>0.4253551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3.742315</v>
      </c>
      <c r="N393">
        <v>21323.71</v>
      </c>
      <c r="O393">
        <v>199.7873435</v>
      </c>
      <c r="P393">
        <v>2222.283</v>
      </c>
      <c r="Q393">
        <v>2222.283</v>
      </c>
    </row>
    <row r="394" spans="1:17" ht="12.75">
      <c r="A394" t="s">
        <v>37</v>
      </c>
      <c r="B394" s="93">
        <v>40409</v>
      </c>
      <c r="C394">
        <v>9</v>
      </c>
      <c r="D394">
        <v>0.6397784</v>
      </c>
      <c r="E394">
        <v>0.6397784</v>
      </c>
      <c r="F394">
        <v>77.9341</v>
      </c>
      <c r="G394">
        <v>0.4253551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3.742315</v>
      </c>
      <c r="N394">
        <v>21323.71</v>
      </c>
      <c r="O394">
        <v>199.7873435</v>
      </c>
      <c r="P394">
        <v>3645.458</v>
      </c>
      <c r="Q394">
        <v>3645.458</v>
      </c>
    </row>
    <row r="395" spans="1:17" ht="12.75">
      <c r="A395" t="s">
        <v>37</v>
      </c>
      <c r="B395" s="93">
        <v>40409</v>
      </c>
      <c r="C395">
        <v>10</v>
      </c>
      <c r="D395">
        <v>0.9642581</v>
      </c>
      <c r="E395">
        <v>0.9642581</v>
      </c>
      <c r="F395">
        <v>81.1917</v>
      </c>
      <c r="G395">
        <v>0.4253551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3.742315</v>
      </c>
      <c r="N395">
        <v>21323.71</v>
      </c>
      <c r="O395">
        <v>199.7873435</v>
      </c>
      <c r="P395">
        <v>5494.342</v>
      </c>
      <c r="Q395">
        <v>5494.342</v>
      </c>
    </row>
    <row r="396" spans="1:17" ht="12.75">
      <c r="A396" t="s">
        <v>37</v>
      </c>
      <c r="B396" s="93">
        <v>40409</v>
      </c>
      <c r="C396">
        <v>11</v>
      </c>
      <c r="D396">
        <v>1.33367</v>
      </c>
      <c r="E396">
        <v>1.33367</v>
      </c>
      <c r="F396">
        <v>83.7736</v>
      </c>
      <c r="G396">
        <v>0.4253551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3.742315</v>
      </c>
      <c r="N396">
        <v>21323.71</v>
      </c>
      <c r="O396">
        <v>199.7873435</v>
      </c>
      <c r="P396">
        <v>7599.25</v>
      </c>
      <c r="Q396">
        <v>7599.25</v>
      </c>
    </row>
    <row r="397" spans="1:17" ht="12.75">
      <c r="A397" t="s">
        <v>37</v>
      </c>
      <c r="B397" s="93">
        <v>40409</v>
      </c>
      <c r="C397">
        <v>12</v>
      </c>
      <c r="D397">
        <v>1.578372</v>
      </c>
      <c r="E397">
        <v>1.578372</v>
      </c>
      <c r="F397">
        <v>84.847</v>
      </c>
      <c r="G397">
        <v>0.4253551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3.742315</v>
      </c>
      <c r="N397">
        <v>21323.71</v>
      </c>
      <c r="O397">
        <v>199.7873435</v>
      </c>
      <c r="P397">
        <v>8993.564</v>
      </c>
      <c r="Q397">
        <v>8993.564</v>
      </c>
    </row>
    <row r="398" spans="1:17" ht="12.75">
      <c r="A398" t="s">
        <v>37</v>
      </c>
      <c r="B398" s="93">
        <v>40409</v>
      </c>
      <c r="C398">
        <v>13</v>
      </c>
      <c r="D398">
        <v>1.675947</v>
      </c>
      <c r="E398">
        <v>1.675947</v>
      </c>
      <c r="F398">
        <v>86.2698</v>
      </c>
      <c r="G398">
        <v>0.4253551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3.742315</v>
      </c>
      <c r="N398">
        <v>21323.71</v>
      </c>
      <c r="O398">
        <v>199.7873435</v>
      </c>
      <c r="P398">
        <v>9549.544</v>
      </c>
      <c r="Q398">
        <v>9549.544</v>
      </c>
    </row>
    <row r="399" spans="1:17" ht="12.75">
      <c r="A399" t="s">
        <v>37</v>
      </c>
      <c r="B399" s="93">
        <v>40409</v>
      </c>
      <c r="C399">
        <v>14</v>
      </c>
      <c r="D399">
        <v>1.678863</v>
      </c>
      <c r="E399">
        <v>1.435979</v>
      </c>
      <c r="F399">
        <v>84.485</v>
      </c>
      <c r="G399">
        <v>0.4278378</v>
      </c>
      <c r="H399">
        <v>0.1924446</v>
      </c>
      <c r="I399">
        <v>0.2222445</v>
      </c>
      <c r="J399">
        <v>0.2428838</v>
      </c>
      <c r="K399">
        <v>0.2635231</v>
      </c>
      <c r="L399">
        <v>0.293323</v>
      </c>
      <c r="M399">
        <v>3.742315</v>
      </c>
      <c r="N399">
        <v>21323.71</v>
      </c>
      <c r="O399">
        <v>199.7873435</v>
      </c>
      <c r="P399">
        <v>9566.159</v>
      </c>
      <c r="Q399">
        <v>8182.208</v>
      </c>
    </row>
    <row r="400" spans="1:17" ht="12.75">
      <c r="A400" t="s">
        <v>37</v>
      </c>
      <c r="B400" s="93">
        <v>40409</v>
      </c>
      <c r="C400">
        <v>15</v>
      </c>
      <c r="D400">
        <v>1.686812</v>
      </c>
      <c r="E400">
        <v>1.435043</v>
      </c>
      <c r="F400">
        <v>83.3141</v>
      </c>
      <c r="G400">
        <v>0.4278378</v>
      </c>
      <c r="H400">
        <v>0.2016145</v>
      </c>
      <c r="I400">
        <v>0.2312457</v>
      </c>
      <c r="J400">
        <v>0.2517682</v>
      </c>
      <c r="K400">
        <v>0.2722907</v>
      </c>
      <c r="L400">
        <v>0.301922</v>
      </c>
      <c r="M400">
        <v>3.742315</v>
      </c>
      <c r="N400">
        <v>21323.71</v>
      </c>
      <c r="O400">
        <v>199.7873435</v>
      </c>
      <c r="P400">
        <v>9611.453</v>
      </c>
      <c r="Q400">
        <v>8176.877</v>
      </c>
    </row>
    <row r="401" spans="1:17" ht="12.75">
      <c r="A401" t="s">
        <v>37</v>
      </c>
      <c r="B401" s="93">
        <v>40409</v>
      </c>
      <c r="C401">
        <v>16</v>
      </c>
      <c r="D401">
        <v>1.673459</v>
      </c>
      <c r="E401">
        <v>1.411315</v>
      </c>
      <c r="F401">
        <v>82.5527</v>
      </c>
      <c r="G401">
        <v>0.4253551</v>
      </c>
      <c r="H401">
        <v>0.2121587</v>
      </c>
      <c r="I401">
        <v>0.2416903</v>
      </c>
      <c r="J401">
        <v>0.2621439</v>
      </c>
      <c r="K401">
        <v>0.2825974</v>
      </c>
      <c r="L401">
        <v>0.312129</v>
      </c>
      <c r="M401">
        <v>3.742315</v>
      </c>
      <c r="N401">
        <v>21323.71</v>
      </c>
      <c r="O401">
        <v>199.7873435</v>
      </c>
      <c r="P401">
        <v>9535.367</v>
      </c>
      <c r="Q401">
        <v>8041.672</v>
      </c>
    </row>
    <row r="402" spans="1:17" ht="12.75">
      <c r="A402" t="s">
        <v>37</v>
      </c>
      <c r="B402" s="93">
        <v>40409</v>
      </c>
      <c r="C402">
        <v>17</v>
      </c>
      <c r="D402">
        <v>1.570795</v>
      </c>
      <c r="E402">
        <v>1.303926</v>
      </c>
      <c r="F402">
        <v>80.5058</v>
      </c>
      <c r="G402">
        <v>0.4253551</v>
      </c>
      <c r="H402">
        <v>0.2168864</v>
      </c>
      <c r="I402">
        <v>0.2464169</v>
      </c>
      <c r="J402">
        <v>0.2668697</v>
      </c>
      <c r="K402">
        <v>0.2873224</v>
      </c>
      <c r="L402">
        <v>0.316853</v>
      </c>
      <c r="M402">
        <v>3.742315</v>
      </c>
      <c r="N402">
        <v>21323.71</v>
      </c>
      <c r="O402">
        <v>199.7873435</v>
      </c>
      <c r="P402">
        <v>8950.393</v>
      </c>
      <c r="Q402">
        <v>7429.769</v>
      </c>
    </row>
    <row r="403" spans="1:17" ht="12.75">
      <c r="A403" t="s">
        <v>37</v>
      </c>
      <c r="B403" s="93">
        <v>40409</v>
      </c>
      <c r="C403">
        <v>18</v>
      </c>
      <c r="D403">
        <v>1.252484</v>
      </c>
      <c r="E403">
        <v>1.314362</v>
      </c>
      <c r="F403">
        <v>77.2278</v>
      </c>
      <c r="G403">
        <v>0.4253551</v>
      </c>
      <c r="H403">
        <v>-0.1131667</v>
      </c>
      <c r="I403">
        <v>-0.0828653</v>
      </c>
      <c r="J403">
        <v>-0.0618787</v>
      </c>
      <c r="K403">
        <v>-0.040892</v>
      </c>
      <c r="L403">
        <v>-0.0105906</v>
      </c>
      <c r="M403">
        <v>3.742315</v>
      </c>
      <c r="N403">
        <v>21323.71</v>
      </c>
      <c r="O403">
        <v>199.7873435</v>
      </c>
      <c r="P403">
        <v>7136.652</v>
      </c>
      <c r="Q403">
        <v>7489.237</v>
      </c>
    </row>
    <row r="404" spans="1:17" ht="12.75">
      <c r="A404" t="s">
        <v>37</v>
      </c>
      <c r="B404" s="93">
        <v>40409</v>
      </c>
      <c r="C404">
        <v>19</v>
      </c>
      <c r="D404">
        <v>0.8607522</v>
      </c>
      <c r="E404">
        <v>0.8997112</v>
      </c>
      <c r="F404">
        <v>75.7521</v>
      </c>
      <c r="G404">
        <v>0.4237597</v>
      </c>
      <c r="H404">
        <v>-0.0886832</v>
      </c>
      <c r="I404">
        <v>-0.0593057</v>
      </c>
      <c r="J404">
        <v>-0.038959</v>
      </c>
      <c r="K404">
        <v>-0.0186122</v>
      </c>
      <c r="L404">
        <v>0.0107653</v>
      </c>
      <c r="M404">
        <v>3.742315</v>
      </c>
      <c r="N404">
        <v>21323.71</v>
      </c>
      <c r="O404">
        <v>198.8609208</v>
      </c>
      <c r="P404">
        <v>4904.566</v>
      </c>
      <c r="Q404">
        <v>5126.554</v>
      </c>
    </row>
    <row r="405" spans="1:17" ht="12.75">
      <c r="A405" t="s">
        <v>37</v>
      </c>
      <c r="B405" s="93">
        <v>40409</v>
      </c>
      <c r="C405">
        <v>20</v>
      </c>
      <c r="D405">
        <v>0.618106</v>
      </c>
      <c r="E405">
        <v>0.6438647</v>
      </c>
      <c r="F405">
        <v>73.6177</v>
      </c>
      <c r="G405">
        <v>0.4237597</v>
      </c>
      <c r="H405">
        <v>-0.0751681</v>
      </c>
      <c r="I405">
        <v>-0.0459766</v>
      </c>
      <c r="J405">
        <v>-0.0257587</v>
      </c>
      <c r="K405">
        <v>-0.0055407</v>
      </c>
      <c r="L405">
        <v>0.0236508</v>
      </c>
      <c r="M405">
        <v>3.742315</v>
      </c>
      <c r="N405">
        <v>21323.71</v>
      </c>
      <c r="O405">
        <v>198.8609208</v>
      </c>
      <c r="P405">
        <v>3521.968</v>
      </c>
      <c r="Q405">
        <v>3668.741</v>
      </c>
    </row>
    <row r="406" spans="1:17" ht="12.75">
      <c r="A406" t="s">
        <v>37</v>
      </c>
      <c r="B406" s="93">
        <v>40409</v>
      </c>
      <c r="C406">
        <v>21</v>
      </c>
      <c r="D406">
        <v>0.4867464</v>
      </c>
      <c r="E406">
        <v>0.5035444</v>
      </c>
      <c r="F406">
        <v>71.8413</v>
      </c>
      <c r="G406">
        <v>0.4237597</v>
      </c>
      <c r="H406">
        <v>-0.0660782</v>
      </c>
      <c r="I406">
        <v>-0.0369631</v>
      </c>
      <c r="J406">
        <v>-0.016798</v>
      </c>
      <c r="K406">
        <v>0.003367</v>
      </c>
      <c r="L406">
        <v>0.0324821</v>
      </c>
      <c r="M406">
        <v>3.742315</v>
      </c>
      <c r="N406">
        <v>21323.71</v>
      </c>
      <c r="O406">
        <v>198.8609208</v>
      </c>
      <c r="P406">
        <v>2773.481</v>
      </c>
      <c r="Q406">
        <v>2869.196</v>
      </c>
    </row>
    <row r="407" spans="1:17" ht="12.75">
      <c r="A407" t="s">
        <v>37</v>
      </c>
      <c r="B407" s="93">
        <v>40409</v>
      </c>
      <c r="C407">
        <v>22</v>
      </c>
      <c r="D407">
        <v>0.357505</v>
      </c>
      <c r="E407">
        <v>0.3683836</v>
      </c>
      <c r="F407">
        <v>70.2557</v>
      </c>
      <c r="G407">
        <v>0.4258098</v>
      </c>
      <c r="H407">
        <v>-0.0603644</v>
      </c>
      <c r="I407">
        <v>-0.0311278</v>
      </c>
      <c r="J407">
        <v>-0.0108786</v>
      </c>
      <c r="K407">
        <v>0.0093706</v>
      </c>
      <c r="L407">
        <v>0.0386072</v>
      </c>
      <c r="M407">
        <v>3.742315</v>
      </c>
      <c r="N407">
        <v>21323.71</v>
      </c>
      <c r="O407">
        <v>197.7410862</v>
      </c>
      <c r="P407">
        <v>2037.064</v>
      </c>
      <c r="Q407">
        <v>2099.05</v>
      </c>
    </row>
    <row r="408" spans="1:17" ht="12.75">
      <c r="A408" t="s">
        <v>37</v>
      </c>
      <c r="B408" s="93">
        <v>40409</v>
      </c>
      <c r="C408">
        <v>23</v>
      </c>
      <c r="D408">
        <v>0.254873</v>
      </c>
      <c r="E408">
        <v>0.2660732</v>
      </c>
      <c r="F408">
        <v>68.8136</v>
      </c>
      <c r="G408">
        <v>0.4268617</v>
      </c>
      <c r="H408">
        <v>-0.0606226</v>
      </c>
      <c r="I408">
        <v>-0.0314234</v>
      </c>
      <c r="J408">
        <v>-0.0112002</v>
      </c>
      <c r="K408">
        <v>0.009023</v>
      </c>
      <c r="L408">
        <v>0.0382221</v>
      </c>
      <c r="M408">
        <v>3.742315</v>
      </c>
      <c r="N408">
        <v>21323.71</v>
      </c>
      <c r="O408">
        <v>198.6675088</v>
      </c>
      <c r="P408">
        <v>1452.266</v>
      </c>
      <c r="Q408">
        <v>1516.085</v>
      </c>
    </row>
    <row r="409" spans="1:17" ht="12.75">
      <c r="A409" t="s">
        <v>37</v>
      </c>
      <c r="B409" s="93">
        <v>40409</v>
      </c>
      <c r="C409">
        <v>24</v>
      </c>
      <c r="D409">
        <v>0.1968606</v>
      </c>
      <c r="E409">
        <v>0.1996848</v>
      </c>
      <c r="F409">
        <v>66.2074</v>
      </c>
      <c r="G409">
        <v>0.4268617</v>
      </c>
      <c r="H409">
        <v>-0.0521415</v>
      </c>
      <c r="I409">
        <v>-0.0230045</v>
      </c>
      <c r="J409">
        <v>-0.0028243</v>
      </c>
      <c r="K409">
        <v>0.017356</v>
      </c>
      <c r="L409">
        <v>0.046493</v>
      </c>
      <c r="M409">
        <v>3.742315</v>
      </c>
      <c r="N409">
        <v>21323.71</v>
      </c>
      <c r="O409">
        <v>198.6675088</v>
      </c>
      <c r="P409">
        <v>1121.712</v>
      </c>
      <c r="Q409">
        <v>1137.804</v>
      </c>
    </row>
    <row r="410" spans="1:17" ht="12.75">
      <c r="A410" t="s">
        <v>37</v>
      </c>
      <c r="B410" s="93">
        <v>40413</v>
      </c>
      <c r="C410">
        <v>1</v>
      </c>
      <c r="D410">
        <v>0.1492551</v>
      </c>
      <c r="E410">
        <v>0.1492551</v>
      </c>
      <c r="F410">
        <v>64.7107</v>
      </c>
      <c r="G410">
        <v>0.4263984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3.742315</v>
      </c>
      <c r="N410">
        <v>21323.71</v>
      </c>
      <c r="O410">
        <v>200.7137662</v>
      </c>
      <c r="P410">
        <v>850.4554</v>
      </c>
      <c r="Q410">
        <v>850.4554</v>
      </c>
    </row>
    <row r="411" spans="1:17" ht="12.75">
      <c r="A411" t="s">
        <v>37</v>
      </c>
      <c r="B411" s="93">
        <v>40413</v>
      </c>
      <c r="C411">
        <v>2</v>
      </c>
      <c r="D411">
        <v>0.1388628</v>
      </c>
      <c r="E411">
        <v>0.1388628</v>
      </c>
      <c r="F411">
        <v>64.8901</v>
      </c>
      <c r="G411">
        <v>0.4263984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3.742315</v>
      </c>
      <c r="N411">
        <v>21323.71</v>
      </c>
      <c r="O411">
        <v>200.7137662</v>
      </c>
      <c r="P411">
        <v>791.2402</v>
      </c>
      <c r="Q411">
        <v>791.2402</v>
      </c>
    </row>
    <row r="412" spans="1:17" ht="12.75">
      <c r="A412" t="s">
        <v>37</v>
      </c>
      <c r="B412" s="93">
        <v>40413</v>
      </c>
      <c r="C412">
        <v>3</v>
      </c>
      <c r="D412">
        <v>0.1283397</v>
      </c>
      <c r="E412">
        <v>0.1283397</v>
      </c>
      <c r="F412">
        <v>63.8154</v>
      </c>
      <c r="G412">
        <v>0.4263984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3.742315</v>
      </c>
      <c r="N412">
        <v>21323.71</v>
      </c>
      <c r="O412">
        <v>200.7137662</v>
      </c>
      <c r="P412">
        <v>731.2797</v>
      </c>
      <c r="Q412">
        <v>731.2797</v>
      </c>
    </row>
    <row r="413" spans="1:17" ht="12.75">
      <c r="A413" t="s">
        <v>37</v>
      </c>
      <c r="B413" s="93">
        <v>40413</v>
      </c>
      <c r="C413">
        <v>4</v>
      </c>
      <c r="D413">
        <v>0.1248776</v>
      </c>
      <c r="E413">
        <v>0.1248776</v>
      </c>
      <c r="F413">
        <v>63.1837</v>
      </c>
      <c r="G413">
        <v>0.4284442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3.742315</v>
      </c>
      <c r="N413">
        <v>21323.71</v>
      </c>
      <c r="O413">
        <v>199.5939315</v>
      </c>
      <c r="P413">
        <v>711.5524</v>
      </c>
      <c r="Q413">
        <v>711.5524</v>
      </c>
    </row>
    <row r="414" spans="1:17" ht="12.75">
      <c r="A414" t="s">
        <v>37</v>
      </c>
      <c r="B414" s="93">
        <v>40413</v>
      </c>
      <c r="C414">
        <v>5</v>
      </c>
      <c r="D414">
        <v>0.1232512</v>
      </c>
      <c r="E414">
        <v>0.1232512</v>
      </c>
      <c r="F414">
        <v>62.84</v>
      </c>
      <c r="G414">
        <v>0.4284442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3.742315</v>
      </c>
      <c r="N414">
        <v>21323.71</v>
      </c>
      <c r="O414">
        <v>199.5939315</v>
      </c>
      <c r="P414">
        <v>702.2856</v>
      </c>
      <c r="Q414">
        <v>702.2856</v>
      </c>
    </row>
    <row r="415" spans="1:17" ht="12.75">
      <c r="A415" t="s">
        <v>37</v>
      </c>
      <c r="B415" s="93">
        <v>40413</v>
      </c>
      <c r="C415">
        <v>6</v>
      </c>
      <c r="D415">
        <v>0.1360134</v>
      </c>
      <c r="E415">
        <v>0.1360134</v>
      </c>
      <c r="F415">
        <v>62.3727</v>
      </c>
      <c r="G415">
        <v>0.4263984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3.742315</v>
      </c>
      <c r="N415">
        <v>21323.71</v>
      </c>
      <c r="O415">
        <v>200.7137662</v>
      </c>
      <c r="P415">
        <v>775.0045</v>
      </c>
      <c r="Q415">
        <v>775.0045</v>
      </c>
    </row>
    <row r="416" spans="1:17" ht="12.75">
      <c r="A416" t="s">
        <v>37</v>
      </c>
      <c r="B416" s="93">
        <v>40413</v>
      </c>
      <c r="C416">
        <v>7</v>
      </c>
      <c r="D416">
        <v>0.1567943</v>
      </c>
      <c r="E416">
        <v>0.1567943</v>
      </c>
      <c r="F416">
        <v>63.4537</v>
      </c>
      <c r="G416">
        <v>0.4263984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3.742315</v>
      </c>
      <c r="N416">
        <v>21323.71</v>
      </c>
      <c r="O416">
        <v>200.7137662</v>
      </c>
      <c r="P416">
        <v>893.4138</v>
      </c>
      <c r="Q416">
        <v>893.4138</v>
      </c>
    </row>
    <row r="417" spans="1:17" ht="12.75">
      <c r="A417" t="s">
        <v>37</v>
      </c>
      <c r="B417" s="93">
        <v>40413</v>
      </c>
      <c r="C417">
        <v>8</v>
      </c>
      <c r="D417">
        <v>0.289109</v>
      </c>
      <c r="E417">
        <v>0.289109</v>
      </c>
      <c r="F417">
        <v>69.4621</v>
      </c>
      <c r="G417">
        <v>0.4284442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3.742315</v>
      </c>
      <c r="N417">
        <v>21323.71</v>
      </c>
      <c r="O417">
        <v>199.5939315</v>
      </c>
      <c r="P417">
        <v>1647.343</v>
      </c>
      <c r="Q417">
        <v>1647.343</v>
      </c>
    </row>
    <row r="418" spans="1:17" ht="12.75">
      <c r="A418" t="s">
        <v>37</v>
      </c>
      <c r="B418" s="93">
        <v>40413</v>
      </c>
      <c r="C418">
        <v>9</v>
      </c>
      <c r="D418">
        <v>0.4496835</v>
      </c>
      <c r="E418">
        <v>0.4496835</v>
      </c>
      <c r="F418">
        <v>75.7805</v>
      </c>
      <c r="G418">
        <v>0.4263984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3.742315</v>
      </c>
      <c r="N418">
        <v>21323.71</v>
      </c>
      <c r="O418">
        <v>200.7137662</v>
      </c>
      <c r="P418">
        <v>2562.296</v>
      </c>
      <c r="Q418">
        <v>2562.296</v>
      </c>
    </row>
    <row r="419" spans="1:17" ht="12.75">
      <c r="A419" t="s">
        <v>37</v>
      </c>
      <c r="B419" s="93">
        <v>40413</v>
      </c>
      <c r="C419">
        <v>10</v>
      </c>
      <c r="D419">
        <v>0.7040832</v>
      </c>
      <c r="E419">
        <v>0.7040832</v>
      </c>
      <c r="F419">
        <v>81.5312</v>
      </c>
      <c r="G419">
        <v>0.4263984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3.742315</v>
      </c>
      <c r="N419">
        <v>21323.71</v>
      </c>
      <c r="O419">
        <v>200.7137662</v>
      </c>
      <c r="P419">
        <v>4011.866</v>
      </c>
      <c r="Q419">
        <v>4011.866</v>
      </c>
    </row>
    <row r="420" spans="1:17" ht="12.75">
      <c r="A420" t="s">
        <v>37</v>
      </c>
      <c r="B420" s="93">
        <v>40413</v>
      </c>
      <c r="C420">
        <v>11</v>
      </c>
      <c r="D420">
        <v>1.02513</v>
      </c>
      <c r="E420">
        <v>1.02513</v>
      </c>
      <c r="F420">
        <v>83.0066</v>
      </c>
      <c r="G420">
        <v>0.4263984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3.742315</v>
      </c>
      <c r="N420">
        <v>21323.71</v>
      </c>
      <c r="O420">
        <v>200.7137662</v>
      </c>
      <c r="P420">
        <v>5841.189</v>
      </c>
      <c r="Q420">
        <v>5841.189</v>
      </c>
    </row>
    <row r="421" spans="1:17" ht="12.75">
      <c r="A421" t="s">
        <v>37</v>
      </c>
      <c r="B421" s="93">
        <v>40413</v>
      </c>
      <c r="C421">
        <v>12</v>
      </c>
      <c r="D421">
        <v>1.296434</v>
      </c>
      <c r="E421">
        <v>1.296434</v>
      </c>
      <c r="F421">
        <v>84.8574</v>
      </c>
      <c r="G421">
        <v>0.4284442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3.742315</v>
      </c>
      <c r="N421">
        <v>21323.71</v>
      </c>
      <c r="O421">
        <v>199.5939315</v>
      </c>
      <c r="P421">
        <v>7387.08</v>
      </c>
      <c r="Q421">
        <v>7387.08</v>
      </c>
    </row>
    <row r="422" spans="1:17" ht="12.75">
      <c r="A422" t="s">
        <v>37</v>
      </c>
      <c r="B422" s="93">
        <v>40413</v>
      </c>
      <c r="C422">
        <v>13</v>
      </c>
      <c r="D422">
        <v>1.435594</v>
      </c>
      <c r="E422">
        <v>1.435594</v>
      </c>
      <c r="F422">
        <v>85.7321</v>
      </c>
      <c r="G422">
        <v>0.4263984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3.742315</v>
      </c>
      <c r="N422">
        <v>21323.71</v>
      </c>
      <c r="O422">
        <v>200.7137662</v>
      </c>
      <c r="P422">
        <v>8180.012</v>
      </c>
      <c r="Q422">
        <v>8180.012</v>
      </c>
    </row>
    <row r="423" spans="1:17" ht="12.75">
      <c r="A423" t="s">
        <v>37</v>
      </c>
      <c r="B423" s="93">
        <v>40413</v>
      </c>
      <c r="C423">
        <v>14</v>
      </c>
      <c r="D423">
        <v>1.523204</v>
      </c>
      <c r="E423">
        <v>1.299203</v>
      </c>
      <c r="F423">
        <v>86.7057</v>
      </c>
      <c r="G423">
        <v>0.4263984</v>
      </c>
      <c r="H423">
        <v>0.1742311</v>
      </c>
      <c r="I423">
        <v>0.2036353</v>
      </c>
      <c r="J423">
        <v>0.2240006</v>
      </c>
      <c r="K423">
        <v>0.2443658</v>
      </c>
      <c r="L423">
        <v>0.27377</v>
      </c>
      <c r="M423">
        <v>3.742315</v>
      </c>
      <c r="N423">
        <v>21323.71</v>
      </c>
      <c r="O423">
        <v>200.7137662</v>
      </c>
      <c r="P423">
        <v>8679.216</v>
      </c>
      <c r="Q423">
        <v>7402.86</v>
      </c>
    </row>
    <row r="424" spans="1:17" ht="12.75">
      <c r="A424" t="s">
        <v>37</v>
      </c>
      <c r="B424" s="93">
        <v>40413</v>
      </c>
      <c r="C424">
        <v>15</v>
      </c>
      <c r="D424">
        <v>1.585955</v>
      </c>
      <c r="E424">
        <v>1.348188</v>
      </c>
      <c r="F424">
        <v>84.9655</v>
      </c>
      <c r="G424">
        <v>0.4263984</v>
      </c>
      <c r="H424">
        <v>0.1880637</v>
      </c>
      <c r="I424">
        <v>0.2174289</v>
      </c>
      <c r="J424">
        <v>0.2377672</v>
      </c>
      <c r="K424">
        <v>0.2581055</v>
      </c>
      <c r="L424">
        <v>0.2874708</v>
      </c>
      <c r="M424">
        <v>3.742315</v>
      </c>
      <c r="N424">
        <v>21323.71</v>
      </c>
      <c r="O424">
        <v>200.7137662</v>
      </c>
      <c r="P424">
        <v>9036.771</v>
      </c>
      <c r="Q424">
        <v>7681.973</v>
      </c>
    </row>
    <row r="425" spans="1:17" ht="12.75">
      <c r="A425" t="s">
        <v>37</v>
      </c>
      <c r="B425" s="93">
        <v>40413</v>
      </c>
      <c r="C425">
        <v>16</v>
      </c>
      <c r="D425">
        <v>1.623835</v>
      </c>
      <c r="E425">
        <v>1.373078</v>
      </c>
      <c r="F425">
        <v>84.0227</v>
      </c>
      <c r="G425">
        <v>0.4284442</v>
      </c>
      <c r="H425">
        <v>0.2006904</v>
      </c>
      <c r="I425">
        <v>0.2302701</v>
      </c>
      <c r="J425">
        <v>0.2507569</v>
      </c>
      <c r="K425">
        <v>0.2712437</v>
      </c>
      <c r="L425">
        <v>0.3008234</v>
      </c>
      <c r="M425">
        <v>3.742315</v>
      </c>
      <c r="N425">
        <v>21323.71</v>
      </c>
      <c r="O425">
        <v>199.5939315</v>
      </c>
      <c r="P425">
        <v>9252.613</v>
      </c>
      <c r="Q425">
        <v>7823.8</v>
      </c>
    </row>
    <row r="426" spans="1:17" ht="12.75">
      <c r="A426" t="s">
        <v>37</v>
      </c>
      <c r="B426" s="93">
        <v>40413</v>
      </c>
      <c r="C426">
        <v>17</v>
      </c>
      <c r="D426">
        <v>1.579509</v>
      </c>
      <c r="E426">
        <v>1.317926</v>
      </c>
      <c r="F426">
        <v>83.9409</v>
      </c>
      <c r="G426">
        <v>0.4284442</v>
      </c>
      <c r="H426">
        <v>0.211356</v>
      </c>
      <c r="I426">
        <v>0.2410305</v>
      </c>
      <c r="J426">
        <v>0.261583</v>
      </c>
      <c r="K426">
        <v>0.2821354</v>
      </c>
      <c r="L426">
        <v>0.3118099</v>
      </c>
      <c r="M426">
        <v>3.742315</v>
      </c>
      <c r="N426">
        <v>21323.71</v>
      </c>
      <c r="O426">
        <v>199.5939315</v>
      </c>
      <c r="P426">
        <v>9000.042</v>
      </c>
      <c r="Q426">
        <v>7509.542</v>
      </c>
    </row>
    <row r="427" spans="1:17" ht="12.75">
      <c r="A427" t="s">
        <v>37</v>
      </c>
      <c r="B427" s="93">
        <v>40413</v>
      </c>
      <c r="C427">
        <v>18</v>
      </c>
      <c r="D427">
        <v>1.306754</v>
      </c>
      <c r="E427">
        <v>1.371308</v>
      </c>
      <c r="F427">
        <v>81.6666</v>
      </c>
      <c r="G427">
        <v>0.4253551</v>
      </c>
      <c r="H427">
        <v>-0.1160209</v>
      </c>
      <c r="I427">
        <v>-0.0856134</v>
      </c>
      <c r="J427">
        <v>-0.0645533</v>
      </c>
      <c r="K427">
        <v>-0.0434931</v>
      </c>
      <c r="L427">
        <v>-0.0130856</v>
      </c>
      <c r="M427">
        <v>3.742315</v>
      </c>
      <c r="N427">
        <v>21323.71</v>
      </c>
      <c r="O427">
        <v>199.7873435</v>
      </c>
      <c r="P427">
        <v>7445.887</v>
      </c>
      <c r="Q427">
        <v>7813.711</v>
      </c>
    </row>
    <row r="428" spans="1:17" ht="12.75">
      <c r="A428" t="s">
        <v>37</v>
      </c>
      <c r="B428" s="93">
        <v>40413</v>
      </c>
      <c r="C428">
        <v>19</v>
      </c>
      <c r="D428">
        <v>0.9081232</v>
      </c>
      <c r="E428">
        <v>0.958696</v>
      </c>
      <c r="F428">
        <v>77.2044</v>
      </c>
      <c r="G428">
        <v>0.4263984</v>
      </c>
      <c r="H428">
        <v>-0.1005312</v>
      </c>
      <c r="I428">
        <v>-0.0710154</v>
      </c>
      <c r="J428">
        <v>-0.0505728</v>
      </c>
      <c r="K428">
        <v>-0.0301302</v>
      </c>
      <c r="L428">
        <v>-0.0006144</v>
      </c>
      <c r="M428">
        <v>3.742315</v>
      </c>
      <c r="N428">
        <v>21323.71</v>
      </c>
      <c r="O428">
        <v>200.7137662</v>
      </c>
      <c r="P428">
        <v>5174.486</v>
      </c>
      <c r="Q428">
        <v>5462.65</v>
      </c>
    </row>
    <row r="429" spans="1:17" ht="12.75">
      <c r="A429" t="s">
        <v>37</v>
      </c>
      <c r="B429" s="93">
        <v>40413</v>
      </c>
      <c r="C429">
        <v>20</v>
      </c>
      <c r="D429">
        <v>0.6602142</v>
      </c>
      <c r="E429">
        <v>0.6936896</v>
      </c>
      <c r="F429">
        <v>73.881</v>
      </c>
      <c r="G429">
        <v>0.4263984</v>
      </c>
      <c r="H429">
        <v>-0.0831593</v>
      </c>
      <c r="I429">
        <v>-0.0538056</v>
      </c>
      <c r="J429">
        <v>-0.0334754</v>
      </c>
      <c r="K429">
        <v>-0.0131452</v>
      </c>
      <c r="L429">
        <v>0.0162085</v>
      </c>
      <c r="M429">
        <v>3.742315</v>
      </c>
      <c r="N429">
        <v>21323.71</v>
      </c>
      <c r="O429">
        <v>200.7137662</v>
      </c>
      <c r="P429">
        <v>3761.9</v>
      </c>
      <c r="Q429">
        <v>3952.643</v>
      </c>
    </row>
    <row r="430" spans="1:17" ht="12.75">
      <c r="A430" t="s">
        <v>37</v>
      </c>
      <c r="B430" s="93">
        <v>40413</v>
      </c>
      <c r="C430">
        <v>21</v>
      </c>
      <c r="D430">
        <v>0.5274427</v>
      </c>
      <c r="E430">
        <v>0.5492652</v>
      </c>
      <c r="F430">
        <v>71.4165</v>
      </c>
      <c r="G430">
        <v>0.4263984</v>
      </c>
      <c r="H430">
        <v>-0.0713872</v>
      </c>
      <c r="I430">
        <v>-0.042104</v>
      </c>
      <c r="J430">
        <v>-0.0218225</v>
      </c>
      <c r="K430">
        <v>-0.001541</v>
      </c>
      <c r="L430">
        <v>0.0277422</v>
      </c>
      <c r="M430">
        <v>3.742315</v>
      </c>
      <c r="N430">
        <v>21323.71</v>
      </c>
      <c r="O430">
        <v>200.7137662</v>
      </c>
      <c r="P430">
        <v>3005.368</v>
      </c>
      <c r="Q430">
        <v>3129.713</v>
      </c>
    </row>
    <row r="431" spans="1:17" ht="12.75">
      <c r="A431" t="s">
        <v>37</v>
      </c>
      <c r="B431" s="93">
        <v>40413</v>
      </c>
      <c r="C431">
        <v>22</v>
      </c>
      <c r="D431">
        <v>0.3816355</v>
      </c>
      <c r="E431">
        <v>0.3956986</v>
      </c>
      <c r="F431">
        <v>70.1273</v>
      </c>
      <c r="G431">
        <v>0.4263984</v>
      </c>
      <c r="H431">
        <v>-0.0635801</v>
      </c>
      <c r="I431">
        <v>-0.034325</v>
      </c>
      <c r="J431">
        <v>-0.0140631</v>
      </c>
      <c r="K431">
        <v>0.0061989</v>
      </c>
      <c r="L431">
        <v>0.035454</v>
      </c>
      <c r="M431">
        <v>3.742315</v>
      </c>
      <c r="N431">
        <v>21323.71</v>
      </c>
      <c r="O431">
        <v>200.7137662</v>
      </c>
      <c r="P431">
        <v>2174.559</v>
      </c>
      <c r="Q431">
        <v>2254.69</v>
      </c>
    </row>
    <row r="432" spans="1:17" ht="12.75">
      <c r="A432" t="s">
        <v>37</v>
      </c>
      <c r="B432" s="93">
        <v>40413</v>
      </c>
      <c r="C432">
        <v>23</v>
      </c>
      <c r="D432">
        <v>0.2727596</v>
      </c>
      <c r="E432">
        <v>0.2817052</v>
      </c>
      <c r="F432">
        <v>68.6587</v>
      </c>
      <c r="G432">
        <v>0.4263984</v>
      </c>
      <c r="H432">
        <v>-0.0584262</v>
      </c>
      <c r="I432">
        <v>-0.0291927</v>
      </c>
      <c r="J432">
        <v>-0.0089457</v>
      </c>
      <c r="K432">
        <v>0.0113014</v>
      </c>
      <c r="L432">
        <v>0.0405348</v>
      </c>
      <c r="M432">
        <v>3.742315</v>
      </c>
      <c r="N432">
        <v>21323.71</v>
      </c>
      <c r="O432">
        <v>200.7137662</v>
      </c>
      <c r="P432">
        <v>1554.184</v>
      </c>
      <c r="Q432">
        <v>1605.156</v>
      </c>
    </row>
    <row r="433" spans="1:17" ht="12.75">
      <c r="A433" t="s">
        <v>37</v>
      </c>
      <c r="B433" s="93">
        <v>40413</v>
      </c>
      <c r="C433">
        <v>24</v>
      </c>
      <c r="D433">
        <v>0.2091038</v>
      </c>
      <c r="E433">
        <v>0.2099117</v>
      </c>
      <c r="F433">
        <v>67.1488</v>
      </c>
      <c r="G433">
        <v>0.4263984</v>
      </c>
      <c r="H433">
        <v>-0.0502458</v>
      </c>
      <c r="I433">
        <v>-0.0210375</v>
      </c>
      <c r="J433">
        <v>-0.0008079</v>
      </c>
      <c r="K433">
        <v>0.0194216</v>
      </c>
      <c r="L433">
        <v>0.0486299</v>
      </c>
      <c r="M433">
        <v>3.742315</v>
      </c>
      <c r="N433">
        <v>21323.71</v>
      </c>
      <c r="O433">
        <v>200.7137662</v>
      </c>
      <c r="P433">
        <v>1191.473</v>
      </c>
      <c r="Q433">
        <v>1196.077</v>
      </c>
    </row>
    <row r="434" spans="1:17" ht="12.75">
      <c r="A434" t="s">
        <v>37</v>
      </c>
      <c r="B434" s="93">
        <v>40414</v>
      </c>
      <c r="C434">
        <v>1</v>
      </c>
      <c r="D434">
        <v>0.1723349</v>
      </c>
      <c r="E434">
        <v>0.1723349</v>
      </c>
      <c r="F434">
        <v>66.6642</v>
      </c>
      <c r="G434">
        <v>0.4263984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3.742315</v>
      </c>
      <c r="N434">
        <v>21323.71</v>
      </c>
      <c r="O434">
        <v>200.7137662</v>
      </c>
      <c r="P434">
        <v>981.9645</v>
      </c>
      <c r="Q434">
        <v>981.9645</v>
      </c>
    </row>
    <row r="435" spans="1:17" ht="12.75">
      <c r="A435" t="s">
        <v>37</v>
      </c>
      <c r="B435" s="93">
        <v>40414</v>
      </c>
      <c r="C435">
        <v>2</v>
      </c>
      <c r="D435">
        <v>0.1581283</v>
      </c>
      <c r="E435">
        <v>0.1581283</v>
      </c>
      <c r="F435">
        <v>66.0035</v>
      </c>
      <c r="G435">
        <v>0.4274046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3.742315</v>
      </c>
      <c r="N435">
        <v>21323.71</v>
      </c>
      <c r="O435">
        <v>198.6675088</v>
      </c>
      <c r="P435">
        <v>901.0151</v>
      </c>
      <c r="Q435">
        <v>901.0151</v>
      </c>
    </row>
    <row r="436" spans="1:17" ht="12.75">
      <c r="A436" t="s">
        <v>37</v>
      </c>
      <c r="B436" s="93">
        <v>40414</v>
      </c>
      <c r="C436">
        <v>3</v>
      </c>
      <c r="D436">
        <v>0.1423655</v>
      </c>
      <c r="E436">
        <v>0.1423655</v>
      </c>
      <c r="F436">
        <v>66.0158</v>
      </c>
      <c r="G436">
        <v>0.4299013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3.742315</v>
      </c>
      <c r="N436">
        <v>21323.71</v>
      </c>
      <c r="O436">
        <v>198.6675088</v>
      </c>
      <c r="P436">
        <v>811.1985</v>
      </c>
      <c r="Q436">
        <v>811.1985</v>
      </c>
    </row>
    <row r="437" spans="1:17" ht="12.75">
      <c r="A437" t="s">
        <v>37</v>
      </c>
      <c r="B437" s="93">
        <v>40414</v>
      </c>
      <c r="C437">
        <v>4</v>
      </c>
      <c r="D437">
        <v>0.1366864</v>
      </c>
      <c r="E437">
        <v>0.1366864</v>
      </c>
      <c r="F437">
        <v>65.8906</v>
      </c>
      <c r="G437">
        <v>0.4299013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3.742315</v>
      </c>
      <c r="N437">
        <v>21323.71</v>
      </c>
      <c r="O437">
        <v>198.6675088</v>
      </c>
      <c r="P437">
        <v>778.8391</v>
      </c>
      <c r="Q437">
        <v>778.8391</v>
      </c>
    </row>
    <row r="438" spans="1:17" ht="12.75">
      <c r="A438" t="s">
        <v>37</v>
      </c>
      <c r="B438" s="93">
        <v>40414</v>
      </c>
      <c r="C438">
        <v>5</v>
      </c>
      <c r="D438">
        <v>0.1354125</v>
      </c>
      <c r="E438">
        <v>0.1354125</v>
      </c>
      <c r="F438">
        <v>65.7649</v>
      </c>
      <c r="G438">
        <v>0.4278378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3.742315</v>
      </c>
      <c r="N438">
        <v>21323.71</v>
      </c>
      <c r="O438">
        <v>199.7873435</v>
      </c>
      <c r="P438">
        <v>771.5805</v>
      </c>
      <c r="Q438">
        <v>771.5805</v>
      </c>
    </row>
    <row r="439" spans="1:17" ht="12.75">
      <c r="A439" t="s">
        <v>37</v>
      </c>
      <c r="B439" s="93">
        <v>40414</v>
      </c>
      <c r="C439">
        <v>6</v>
      </c>
      <c r="D439">
        <v>0.1540732</v>
      </c>
      <c r="E439">
        <v>0.1540732</v>
      </c>
      <c r="F439">
        <v>65.3996</v>
      </c>
      <c r="G439">
        <v>0.4278378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3.742315</v>
      </c>
      <c r="N439">
        <v>21323.71</v>
      </c>
      <c r="O439">
        <v>199.7873435</v>
      </c>
      <c r="P439">
        <v>877.9089</v>
      </c>
      <c r="Q439">
        <v>877.9089</v>
      </c>
    </row>
    <row r="440" spans="1:17" ht="12.75">
      <c r="A440" t="s">
        <v>37</v>
      </c>
      <c r="B440" s="93">
        <v>40414</v>
      </c>
      <c r="C440">
        <v>7</v>
      </c>
      <c r="D440">
        <v>0.1805169</v>
      </c>
      <c r="E440">
        <v>0.1805169</v>
      </c>
      <c r="F440">
        <v>66.3213</v>
      </c>
      <c r="G440">
        <v>0.4278378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3.742315</v>
      </c>
      <c r="N440">
        <v>21323.71</v>
      </c>
      <c r="O440">
        <v>199.7873435</v>
      </c>
      <c r="P440">
        <v>1028.585</v>
      </c>
      <c r="Q440">
        <v>1028.585</v>
      </c>
    </row>
    <row r="441" spans="1:17" ht="12.75">
      <c r="A441" t="s">
        <v>37</v>
      </c>
      <c r="B441" s="93">
        <v>40414</v>
      </c>
      <c r="C441">
        <v>8</v>
      </c>
      <c r="D441">
        <v>0.3434996</v>
      </c>
      <c r="E441">
        <v>0.3434996</v>
      </c>
      <c r="F441">
        <v>71.6955</v>
      </c>
      <c r="G441">
        <v>0.4284442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3.742315</v>
      </c>
      <c r="N441">
        <v>21323.71</v>
      </c>
      <c r="O441">
        <v>199.5939315</v>
      </c>
      <c r="P441">
        <v>1957.261</v>
      </c>
      <c r="Q441">
        <v>1957.261</v>
      </c>
    </row>
    <row r="442" spans="1:17" ht="12.75">
      <c r="A442" t="s">
        <v>37</v>
      </c>
      <c r="B442" s="93">
        <v>40414</v>
      </c>
      <c r="C442">
        <v>9</v>
      </c>
      <c r="D442">
        <v>0.5504003</v>
      </c>
      <c r="E442">
        <v>0.5504003</v>
      </c>
      <c r="F442">
        <v>77.0688</v>
      </c>
      <c r="G442">
        <v>0.4284442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3.742315</v>
      </c>
      <c r="N442">
        <v>21323.71</v>
      </c>
      <c r="O442">
        <v>199.5939315</v>
      </c>
      <c r="P442">
        <v>3136.181</v>
      </c>
      <c r="Q442">
        <v>3136.181</v>
      </c>
    </row>
    <row r="443" spans="1:17" ht="12.75">
      <c r="A443" t="s">
        <v>37</v>
      </c>
      <c r="B443" s="93">
        <v>40414</v>
      </c>
      <c r="C443">
        <v>10</v>
      </c>
      <c r="D443">
        <v>0.8322798</v>
      </c>
      <c r="E443">
        <v>0.8322798</v>
      </c>
      <c r="F443">
        <v>81.4971</v>
      </c>
      <c r="G443">
        <v>0.4248153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3.742315</v>
      </c>
      <c r="N443">
        <v>21323.71</v>
      </c>
      <c r="O443">
        <v>199.7873435</v>
      </c>
      <c r="P443">
        <v>4742.33</v>
      </c>
      <c r="Q443">
        <v>4742.33</v>
      </c>
    </row>
    <row r="444" spans="1:17" ht="12.75">
      <c r="A444" t="s">
        <v>37</v>
      </c>
      <c r="B444" s="93">
        <v>40414</v>
      </c>
      <c r="C444">
        <v>11</v>
      </c>
      <c r="D444">
        <v>1.168203</v>
      </c>
      <c r="E444">
        <v>1.168203</v>
      </c>
      <c r="F444">
        <v>83.0252</v>
      </c>
      <c r="G444">
        <v>0.4268617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3.742315</v>
      </c>
      <c r="N444">
        <v>21323.71</v>
      </c>
      <c r="O444">
        <v>198.6675088</v>
      </c>
      <c r="P444">
        <v>6656.42</v>
      </c>
      <c r="Q444">
        <v>6656.42</v>
      </c>
    </row>
    <row r="445" spans="1:17" ht="12.75">
      <c r="A445" t="s">
        <v>37</v>
      </c>
      <c r="B445" s="93">
        <v>40414</v>
      </c>
      <c r="C445">
        <v>12</v>
      </c>
      <c r="D445">
        <v>1.429228</v>
      </c>
      <c r="E445">
        <v>1.429228</v>
      </c>
      <c r="F445">
        <v>85.8254</v>
      </c>
      <c r="G445">
        <v>0.4248153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3.742315</v>
      </c>
      <c r="N445">
        <v>21323.71</v>
      </c>
      <c r="O445">
        <v>199.7873435</v>
      </c>
      <c r="P445">
        <v>8143.742</v>
      </c>
      <c r="Q445">
        <v>8143.742</v>
      </c>
    </row>
    <row r="446" spans="1:17" ht="12.75">
      <c r="A446" t="s">
        <v>37</v>
      </c>
      <c r="B446" s="93">
        <v>40414</v>
      </c>
      <c r="C446">
        <v>13</v>
      </c>
      <c r="D446">
        <v>1.558932</v>
      </c>
      <c r="E446">
        <v>1.558932</v>
      </c>
      <c r="F446">
        <v>85.6577</v>
      </c>
      <c r="G446">
        <v>0.4283182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3.742315</v>
      </c>
      <c r="N446">
        <v>21323.71</v>
      </c>
      <c r="O446">
        <v>197.7410862</v>
      </c>
      <c r="P446">
        <v>8882.794</v>
      </c>
      <c r="Q446">
        <v>8882.794</v>
      </c>
    </row>
    <row r="447" spans="1:17" ht="12.75">
      <c r="A447" t="s">
        <v>37</v>
      </c>
      <c r="B447" s="93">
        <v>40414</v>
      </c>
      <c r="C447">
        <v>14</v>
      </c>
      <c r="D447">
        <v>1.616509</v>
      </c>
      <c r="E447">
        <v>1.380156</v>
      </c>
      <c r="F447">
        <v>87.1692</v>
      </c>
      <c r="G447">
        <v>0.4268617</v>
      </c>
      <c r="H447">
        <v>0.1860445</v>
      </c>
      <c r="I447">
        <v>0.2157669</v>
      </c>
      <c r="J447">
        <v>0.2363526</v>
      </c>
      <c r="K447">
        <v>0.2569382</v>
      </c>
      <c r="L447">
        <v>0.2866607</v>
      </c>
      <c r="M447">
        <v>3.742315</v>
      </c>
      <c r="N447">
        <v>21323.71</v>
      </c>
      <c r="O447">
        <v>198.6675088</v>
      </c>
      <c r="P447">
        <v>9210.866</v>
      </c>
      <c r="Q447">
        <v>7864.13</v>
      </c>
    </row>
    <row r="448" spans="1:17" ht="12.75">
      <c r="A448" t="s">
        <v>37</v>
      </c>
      <c r="B448" s="93">
        <v>40414</v>
      </c>
      <c r="C448">
        <v>15</v>
      </c>
      <c r="D448">
        <v>1.68927</v>
      </c>
      <c r="E448">
        <v>1.437729</v>
      </c>
      <c r="F448">
        <v>87.1581</v>
      </c>
      <c r="G448">
        <v>0.4268617</v>
      </c>
      <c r="H448">
        <v>0.201286</v>
      </c>
      <c r="I448">
        <v>0.2309767</v>
      </c>
      <c r="J448">
        <v>0.2515404</v>
      </c>
      <c r="K448">
        <v>0.2721041</v>
      </c>
      <c r="L448">
        <v>0.3017949</v>
      </c>
      <c r="M448">
        <v>3.742315</v>
      </c>
      <c r="N448">
        <v>21323.71</v>
      </c>
      <c r="O448">
        <v>198.6675088</v>
      </c>
      <c r="P448">
        <v>9625.459</v>
      </c>
      <c r="Q448">
        <v>8192.182</v>
      </c>
    </row>
    <row r="449" spans="1:17" ht="12.75">
      <c r="A449" t="s">
        <v>37</v>
      </c>
      <c r="B449" s="93">
        <v>40414</v>
      </c>
      <c r="C449">
        <v>16</v>
      </c>
      <c r="D449">
        <v>1.703695</v>
      </c>
      <c r="E449">
        <v>1.44365</v>
      </c>
      <c r="F449">
        <v>85.522</v>
      </c>
      <c r="G449">
        <v>0.4263984</v>
      </c>
      <c r="H449">
        <v>0.2099831</v>
      </c>
      <c r="I449">
        <v>0.23956</v>
      </c>
      <c r="J449">
        <v>0.2600449</v>
      </c>
      <c r="K449">
        <v>0.2805298</v>
      </c>
      <c r="L449">
        <v>0.3101068</v>
      </c>
      <c r="M449">
        <v>3.742315</v>
      </c>
      <c r="N449">
        <v>21323.71</v>
      </c>
      <c r="O449">
        <v>200.7137662</v>
      </c>
      <c r="P449">
        <v>9707.651</v>
      </c>
      <c r="Q449">
        <v>8225.916</v>
      </c>
    </row>
    <row r="450" spans="1:17" ht="12.75">
      <c r="A450" t="s">
        <v>37</v>
      </c>
      <c r="B450" s="93">
        <v>40414</v>
      </c>
      <c r="C450">
        <v>17</v>
      </c>
      <c r="D450">
        <v>1.624028</v>
      </c>
      <c r="E450">
        <v>1.356609</v>
      </c>
      <c r="F450">
        <v>82.5061</v>
      </c>
      <c r="G450">
        <v>0.4263984</v>
      </c>
      <c r="H450">
        <v>0.2172803</v>
      </c>
      <c r="I450">
        <v>0.2469024</v>
      </c>
      <c r="J450">
        <v>0.2674186</v>
      </c>
      <c r="K450">
        <v>0.2879348</v>
      </c>
      <c r="L450">
        <v>0.3175569</v>
      </c>
      <c r="M450">
        <v>3.742315</v>
      </c>
      <c r="N450">
        <v>21323.71</v>
      </c>
      <c r="O450">
        <v>200.7137662</v>
      </c>
      <c r="P450">
        <v>9253.711</v>
      </c>
      <c r="Q450">
        <v>7729.96</v>
      </c>
    </row>
    <row r="451" spans="1:17" ht="12.75">
      <c r="A451" t="s">
        <v>37</v>
      </c>
      <c r="B451" s="93">
        <v>40414</v>
      </c>
      <c r="C451">
        <v>18</v>
      </c>
      <c r="D451">
        <v>1.334447</v>
      </c>
      <c r="E451">
        <v>1.39888</v>
      </c>
      <c r="F451">
        <v>80.8998</v>
      </c>
      <c r="G451">
        <v>0.4253551</v>
      </c>
      <c r="H451">
        <v>-0.1160665</v>
      </c>
      <c r="I451">
        <v>-0.0855607</v>
      </c>
      <c r="J451">
        <v>-0.0644325</v>
      </c>
      <c r="K451">
        <v>-0.0433043</v>
      </c>
      <c r="L451">
        <v>-0.0127985</v>
      </c>
      <c r="M451">
        <v>3.742315</v>
      </c>
      <c r="N451">
        <v>21323.71</v>
      </c>
      <c r="O451">
        <v>199.7873435</v>
      </c>
      <c r="P451">
        <v>7603.681</v>
      </c>
      <c r="Q451">
        <v>7970.817</v>
      </c>
    </row>
    <row r="452" spans="1:17" ht="12.75">
      <c r="A452" t="s">
        <v>37</v>
      </c>
      <c r="B452" s="93">
        <v>40414</v>
      </c>
      <c r="C452">
        <v>19</v>
      </c>
      <c r="D452">
        <v>0.9301901</v>
      </c>
      <c r="E452">
        <v>0.9717481</v>
      </c>
      <c r="F452">
        <v>77.5693</v>
      </c>
      <c r="G452">
        <v>0.4258098</v>
      </c>
      <c r="H452">
        <v>-0.0918831</v>
      </c>
      <c r="I452">
        <v>-0.0621506</v>
      </c>
      <c r="J452">
        <v>-0.041558</v>
      </c>
      <c r="K452">
        <v>-0.0209653</v>
      </c>
      <c r="L452">
        <v>0.0087671</v>
      </c>
      <c r="M452">
        <v>3.742315</v>
      </c>
      <c r="N452">
        <v>21323.71</v>
      </c>
      <c r="O452">
        <v>197.7410862</v>
      </c>
      <c r="P452">
        <v>5300.224</v>
      </c>
      <c r="Q452">
        <v>5537.021</v>
      </c>
    </row>
    <row r="453" spans="1:17" ht="12.75">
      <c r="A453" t="s">
        <v>37</v>
      </c>
      <c r="B453" s="93">
        <v>40414</v>
      </c>
      <c r="C453">
        <v>20</v>
      </c>
      <c r="D453">
        <v>0.6673353</v>
      </c>
      <c r="E453">
        <v>0.6946447</v>
      </c>
      <c r="F453">
        <v>73.6469</v>
      </c>
      <c r="G453">
        <v>0.4258098</v>
      </c>
      <c r="H453">
        <v>-0.0773306</v>
      </c>
      <c r="I453">
        <v>-0.0477777</v>
      </c>
      <c r="J453">
        <v>-0.0273094</v>
      </c>
      <c r="K453">
        <v>-0.0068411</v>
      </c>
      <c r="L453">
        <v>0.0227119</v>
      </c>
      <c r="M453">
        <v>3.742315</v>
      </c>
      <c r="N453">
        <v>21323.71</v>
      </c>
      <c r="O453">
        <v>197.7410862</v>
      </c>
      <c r="P453">
        <v>3802.477</v>
      </c>
      <c r="Q453">
        <v>3958.085</v>
      </c>
    </row>
    <row r="454" spans="1:17" ht="12.75">
      <c r="A454" t="s">
        <v>37</v>
      </c>
      <c r="B454" s="93">
        <v>40414</v>
      </c>
      <c r="C454">
        <v>21</v>
      </c>
      <c r="D454">
        <v>0.5173566</v>
      </c>
      <c r="E454">
        <v>0.5349565</v>
      </c>
      <c r="F454">
        <v>71.3885</v>
      </c>
      <c r="G454">
        <v>0.4237597</v>
      </c>
      <c r="H454">
        <v>-0.0671834</v>
      </c>
      <c r="I454">
        <v>-0.037889</v>
      </c>
      <c r="J454">
        <v>-0.0175999</v>
      </c>
      <c r="K454">
        <v>0.0026893</v>
      </c>
      <c r="L454">
        <v>0.0319836</v>
      </c>
      <c r="M454">
        <v>3.742315</v>
      </c>
      <c r="N454">
        <v>21323.71</v>
      </c>
      <c r="O454">
        <v>198.8609208</v>
      </c>
      <c r="P454">
        <v>2947.898</v>
      </c>
      <c r="Q454">
        <v>3048.182</v>
      </c>
    </row>
    <row r="455" spans="1:17" ht="12.75">
      <c r="A455" t="s">
        <v>37</v>
      </c>
      <c r="B455" s="93">
        <v>40414</v>
      </c>
      <c r="C455">
        <v>22</v>
      </c>
      <c r="D455">
        <v>0.3803008</v>
      </c>
      <c r="E455">
        <v>0.3916366</v>
      </c>
      <c r="F455">
        <v>70.255</v>
      </c>
      <c r="G455">
        <v>0.4258098</v>
      </c>
      <c r="H455">
        <v>-0.0611206</v>
      </c>
      <c r="I455">
        <v>-0.0317074</v>
      </c>
      <c r="J455">
        <v>-0.0113359</v>
      </c>
      <c r="K455">
        <v>0.0090356</v>
      </c>
      <c r="L455">
        <v>0.0384489</v>
      </c>
      <c r="M455">
        <v>3.742315</v>
      </c>
      <c r="N455">
        <v>21323.71</v>
      </c>
      <c r="O455">
        <v>197.7410862</v>
      </c>
      <c r="P455">
        <v>2166.954</v>
      </c>
      <c r="Q455">
        <v>2231.546</v>
      </c>
    </row>
    <row r="456" spans="1:17" ht="12.75">
      <c r="A456" t="s">
        <v>37</v>
      </c>
      <c r="B456" s="93">
        <v>40414</v>
      </c>
      <c r="C456">
        <v>23</v>
      </c>
      <c r="D456">
        <v>0.2718854</v>
      </c>
      <c r="E456">
        <v>0.2790537</v>
      </c>
      <c r="F456">
        <v>69.9566</v>
      </c>
      <c r="G456">
        <v>0.4272682</v>
      </c>
      <c r="H456">
        <v>-0.0571767</v>
      </c>
      <c r="I456">
        <v>-0.0276313</v>
      </c>
      <c r="J456">
        <v>-0.0071683</v>
      </c>
      <c r="K456">
        <v>0.0132947</v>
      </c>
      <c r="L456">
        <v>0.04284</v>
      </c>
      <c r="M456">
        <v>3.742315</v>
      </c>
      <c r="N456">
        <v>21323.71</v>
      </c>
      <c r="O456">
        <v>196.8146635</v>
      </c>
      <c r="P456">
        <v>1549.203</v>
      </c>
      <c r="Q456">
        <v>1590.048</v>
      </c>
    </row>
    <row r="457" spans="1:17" ht="12.75">
      <c r="A457" t="s">
        <v>37</v>
      </c>
      <c r="B457" s="93">
        <v>40414</v>
      </c>
      <c r="C457">
        <v>24</v>
      </c>
      <c r="D457">
        <v>0.2110623</v>
      </c>
      <c r="E457">
        <v>0.2110623</v>
      </c>
      <c r="F457">
        <v>69.2127</v>
      </c>
      <c r="G457">
        <v>0.4272682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3.742315</v>
      </c>
      <c r="N457">
        <v>21323.71</v>
      </c>
      <c r="O457">
        <v>196.8146635</v>
      </c>
      <c r="P457">
        <v>1202.633</v>
      </c>
      <c r="Q457">
        <v>1202.633</v>
      </c>
    </row>
    <row r="458" spans="1:17" ht="12.75">
      <c r="A458" t="s">
        <v>37</v>
      </c>
      <c r="B458" s="93">
        <v>40415</v>
      </c>
      <c r="C458">
        <v>1</v>
      </c>
      <c r="D458">
        <v>0.1742668</v>
      </c>
      <c r="E458">
        <v>0.1742668</v>
      </c>
      <c r="F458">
        <v>69.0756</v>
      </c>
      <c r="G458">
        <v>0.4272682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3.742315</v>
      </c>
      <c r="N458">
        <v>21323.71</v>
      </c>
      <c r="O458">
        <v>196.8146635</v>
      </c>
      <c r="P458">
        <v>992.9722</v>
      </c>
      <c r="Q458">
        <v>992.9722</v>
      </c>
    </row>
    <row r="459" spans="1:17" ht="12.75">
      <c r="A459" t="s">
        <v>37</v>
      </c>
      <c r="B459" s="93">
        <v>40415</v>
      </c>
      <c r="C459">
        <v>2</v>
      </c>
      <c r="D459">
        <v>0.1602651</v>
      </c>
      <c r="E459">
        <v>0.1602651</v>
      </c>
      <c r="F459">
        <v>68.2819</v>
      </c>
      <c r="G459">
        <v>0.4272682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3.742315</v>
      </c>
      <c r="N459">
        <v>21323.71</v>
      </c>
      <c r="O459">
        <v>196.8146635</v>
      </c>
      <c r="P459">
        <v>913.1908</v>
      </c>
      <c r="Q459">
        <v>913.1908</v>
      </c>
    </row>
    <row r="460" spans="1:17" ht="12.75">
      <c r="A460" t="s">
        <v>37</v>
      </c>
      <c r="B460" s="93">
        <v>40415</v>
      </c>
      <c r="C460">
        <v>3</v>
      </c>
      <c r="D460">
        <v>0.1450361</v>
      </c>
      <c r="E460">
        <v>0.1450361</v>
      </c>
      <c r="F460">
        <v>67.9574</v>
      </c>
      <c r="G460">
        <v>0.4252003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3.742315</v>
      </c>
      <c r="N460">
        <v>21323.71</v>
      </c>
      <c r="O460">
        <v>197.9344982</v>
      </c>
      <c r="P460">
        <v>826.416</v>
      </c>
      <c r="Q460">
        <v>826.416</v>
      </c>
    </row>
    <row r="461" spans="1:17" ht="12.75">
      <c r="A461" t="s">
        <v>37</v>
      </c>
      <c r="B461" s="93">
        <v>40415</v>
      </c>
      <c r="C461">
        <v>4</v>
      </c>
      <c r="D461">
        <v>0.1396275</v>
      </c>
      <c r="E461">
        <v>0.1396275</v>
      </c>
      <c r="F461">
        <v>67.7733</v>
      </c>
      <c r="G461">
        <v>0.4237597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3.742315</v>
      </c>
      <c r="N461">
        <v>21323.71</v>
      </c>
      <c r="O461">
        <v>198.8609208</v>
      </c>
      <c r="P461">
        <v>795.5977</v>
      </c>
      <c r="Q461">
        <v>795.5977</v>
      </c>
    </row>
    <row r="462" spans="1:17" ht="12.75">
      <c r="A462" t="s">
        <v>37</v>
      </c>
      <c r="B462" s="93">
        <v>40415</v>
      </c>
      <c r="C462">
        <v>5</v>
      </c>
      <c r="D462">
        <v>0.1448566</v>
      </c>
      <c r="E462">
        <v>0.1448566</v>
      </c>
      <c r="F462">
        <v>67.782</v>
      </c>
      <c r="G462">
        <v>0.4237597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3.742315</v>
      </c>
      <c r="N462">
        <v>21323.71</v>
      </c>
      <c r="O462">
        <v>198.8609208</v>
      </c>
      <c r="P462">
        <v>825.3931</v>
      </c>
      <c r="Q462">
        <v>825.3931</v>
      </c>
    </row>
    <row r="463" spans="1:17" ht="12.75">
      <c r="A463" t="s">
        <v>37</v>
      </c>
      <c r="B463" s="93">
        <v>40415</v>
      </c>
      <c r="C463">
        <v>6</v>
      </c>
      <c r="D463">
        <v>0.162207</v>
      </c>
      <c r="E463">
        <v>0.162207</v>
      </c>
      <c r="F463">
        <v>67.1875</v>
      </c>
      <c r="G463">
        <v>0.4237597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3.742315</v>
      </c>
      <c r="N463">
        <v>21323.71</v>
      </c>
      <c r="O463">
        <v>198.8609208</v>
      </c>
      <c r="P463">
        <v>924.2555</v>
      </c>
      <c r="Q463">
        <v>924.2555</v>
      </c>
    </row>
    <row r="464" spans="1:17" ht="12.75">
      <c r="A464" t="s">
        <v>37</v>
      </c>
      <c r="B464" s="93">
        <v>40415</v>
      </c>
      <c r="C464">
        <v>7</v>
      </c>
      <c r="D464">
        <v>0.1904663</v>
      </c>
      <c r="E464">
        <v>0.1904663</v>
      </c>
      <c r="F464">
        <v>67.968</v>
      </c>
      <c r="G464">
        <v>0.4237597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3.742315</v>
      </c>
      <c r="N464">
        <v>21323.71</v>
      </c>
      <c r="O464">
        <v>198.8609208</v>
      </c>
      <c r="P464">
        <v>1085.277</v>
      </c>
      <c r="Q464">
        <v>1085.277</v>
      </c>
    </row>
    <row r="465" spans="1:17" ht="12.75">
      <c r="A465" t="s">
        <v>37</v>
      </c>
      <c r="B465" s="93">
        <v>40415</v>
      </c>
      <c r="C465">
        <v>8</v>
      </c>
      <c r="D465">
        <v>0.3707934</v>
      </c>
      <c r="E465">
        <v>0.3707934</v>
      </c>
      <c r="F465">
        <v>71.4527</v>
      </c>
      <c r="G465">
        <v>0.4237597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3.742315</v>
      </c>
      <c r="N465">
        <v>21323.71</v>
      </c>
      <c r="O465">
        <v>198.8609208</v>
      </c>
      <c r="P465">
        <v>2112.781</v>
      </c>
      <c r="Q465">
        <v>2112.781</v>
      </c>
    </row>
    <row r="466" spans="1:17" ht="12.75">
      <c r="A466" t="s">
        <v>37</v>
      </c>
      <c r="B466" s="93">
        <v>40415</v>
      </c>
      <c r="C466">
        <v>9</v>
      </c>
      <c r="D466">
        <v>0.6033828</v>
      </c>
      <c r="E466">
        <v>0.6033828</v>
      </c>
      <c r="F466">
        <v>76.5221</v>
      </c>
      <c r="G466">
        <v>0.4237597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3.742315</v>
      </c>
      <c r="N466">
        <v>21323.71</v>
      </c>
      <c r="O466">
        <v>198.8609208</v>
      </c>
      <c r="P466">
        <v>3438.075</v>
      </c>
      <c r="Q466">
        <v>3438.075</v>
      </c>
    </row>
    <row r="467" spans="1:17" ht="12.75">
      <c r="A467" t="s">
        <v>37</v>
      </c>
      <c r="B467" s="93">
        <v>40415</v>
      </c>
      <c r="C467">
        <v>10</v>
      </c>
      <c r="D467">
        <v>0.918755</v>
      </c>
      <c r="E467">
        <v>0.918755</v>
      </c>
      <c r="F467">
        <v>80.9172</v>
      </c>
      <c r="G467">
        <v>0.4237597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3.742315</v>
      </c>
      <c r="N467">
        <v>21323.71</v>
      </c>
      <c r="O467">
        <v>198.8609208</v>
      </c>
      <c r="P467">
        <v>5235.066</v>
      </c>
      <c r="Q467">
        <v>5235.066</v>
      </c>
    </row>
    <row r="468" spans="1:17" ht="12.75">
      <c r="A468" t="s">
        <v>37</v>
      </c>
      <c r="B468" s="93">
        <v>40415</v>
      </c>
      <c r="C468">
        <v>11</v>
      </c>
      <c r="D468">
        <v>1.284826</v>
      </c>
      <c r="E468">
        <v>1.284826</v>
      </c>
      <c r="F468">
        <v>83.4913</v>
      </c>
      <c r="G468">
        <v>0.4237597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3.742315</v>
      </c>
      <c r="N468">
        <v>21323.71</v>
      </c>
      <c r="O468">
        <v>198.8609208</v>
      </c>
      <c r="P468">
        <v>7320.939</v>
      </c>
      <c r="Q468">
        <v>7320.939</v>
      </c>
    </row>
    <row r="469" spans="1:17" ht="12.75">
      <c r="A469" t="s">
        <v>37</v>
      </c>
      <c r="B469" s="93">
        <v>40415</v>
      </c>
      <c r="C469">
        <v>12</v>
      </c>
      <c r="D469">
        <v>1.501928</v>
      </c>
      <c r="E469">
        <v>1.501928</v>
      </c>
      <c r="F469">
        <v>83.2579</v>
      </c>
      <c r="G469">
        <v>0.4237597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3.742315</v>
      </c>
      <c r="N469">
        <v>21323.71</v>
      </c>
      <c r="O469">
        <v>198.8609208</v>
      </c>
      <c r="P469">
        <v>8557.986</v>
      </c>
      <c r="Q469">
        <v>8557.986</v>
      </c>
    </row>
    <row r="470" spans="1:17" ht="12.75">
      <c r="A470" t="s">
        <v>37</v>
      </c>
      <c r="B470" s="93">
        <v>40415</v>
      </c>
      <c r="C470">
        <v>13</v>
      </c>
      <c r="D470">
        <v>1.593425</v>
      </c>
      <c r="E470">
        <v>1.593425</v>
      </c>
      <c r="F470">
        <v>84.225</v>
      </c>
      <c r="G470">
        <v>0.4258098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3.742315</v>
      </c>
      <c r="N470">
        <v>21323.71</v>
      </c>
      <c r="O470">
        <v>197.7410862</v>
      </c>
      <c r="P470">
        <v>9079.335</v>
      </c>
      <c r="Q470">
        <v>9079.335</v>
      </c>
    </row>
    <row r="471" spans="1:17" ht="12.75">
      <c r="A471" t="s">
        <v>37</v>
      </c>
      <c r="B471" s="93">
        <v>40415</v>
      </c>
      <c r="C471">
        <v>14</v>
      </c>
      <c r="D471">
        <v>1.622478</v>
      </c>
      <c r="E471">
        <v>1.387154</v>
      </c>
      <c r="F471">
        <v>85.2389</v>
      </c>
      <c r="G471">
        <v>0.4268617</v>
      </c>
      <c r="H471">
        <v>0.1849431</v>
      </c>
      <c r="I471">
        <v>0.2147087</v>
      </c>
      <c r="J471">
        <v>0.2353243</v>
      </c>
      <c r="K471">
        <v>0.2559398</v>
      </c>
      <c r="L471">
        <v>0.2857054</v>
      </c>
      <c r="M471">
        <v>3.742315</v>
      </c>
      <c r="N471">
        <v>21323.71</v>
      </c>
      <c r="O471">
        <v>198.6675088</v>
      </c>
      <c r="P471">
        <v>9244.882</v>
      </c>
      <c r="Q471">
        <v>7904.004</v>
      </c>
    </row>
    <row r="472" spans="1:17" ht="12.75">
      <c r="A472" t="s">
        <v>37</v>
      </c>
      <c r="B472" s="93">
        <v>40415</v>
      </c>
      <c r="C472">
        <v>15</v>
      </c>
      <c r="D472">
        <v>1.63485</v>
      </c>
      <c r="E472">
        <v>1.384383</v>
      </c>
      <c r="F472">
        <v>82.9723</v>
      </c>
      <c r="G472">
        <v>0.4237597</v>
      </c>
      <c r="H472">
        <v>0.2005941</v>
      </c>
      <c r="I472">
        <v>0.2300595</v>
      </c>
      <c r="J472">
        <v>0.2504672</v>
      </c>
      <c r="K472">
        <v>0.2708749</v>
      </c>
      <c r="L472">
        <v>0.3003403</v>
      </c>
      <c r="M472">
        <v>3.742315</v>
      </c>
      <c r="N472">
        <v>21323.71</v>
      </c>
      <c r="O472">
        <v>198.8609208</v>
      </c>
      <c r="P472">
        <v>9315.377</v>
      </c>
      <c r="Q472">
        <v>7888.215</v>
      </c>
    </row>
    <row r="473" spans="1:17" ht="12.75">
      <c r="A473" t="s">
        <v>37</v>
      </c>
      <c r="B473" s="93">
        <v>40415</v>
      </c>
      <c r="C473">
        <v>16</v>
      </c>
      <c r="D473">
        <v>1.616371</v>
      </c>
      <c r="E473">
        <v>1.36523</v>
      </c>
      <c r="F473">
        <v>81.6816</v>
      </c>
      <c r="G473">
        <v>0.4248153</v>
      </c>
      <c r="H473">
        <v>0.2012754</v>
      </c>
      <c r="I473">
        <v>0.2307364</v>
      </c>
      <c r="J473">
        <v>0.251141</v>
      </c>
      <c r="K473">
        <v>0.2715455</v>
      </c>
      <c r="L473">
        <v>0.3010065</v>
      </c>
      <c r="M473">
        <v>3.742315</v>
      </c>
      <c r="N473">
        <v>21323.71</v>
      </c>
      <c r="O473">
        <v>199.7873435</v>
      </c>
      <c r="P473">
        <v>9210.081</v>
      </c>
      <c r="Q473">
        <v>7779.08</v>
      </c>
    </row>
    <row r="474" spans="1:17" ht="12.75">
      <c r="A474" t="s">
        <v>37</v>
      </c>
      <c r="B474" s="93">
        <v>40415</v>
      </c>
      <c r="C474">
        <v>17</v>
      </c>
      <c r="D474">
        <v>1.541408</v>
      </c>
      <c r="E474">
        <v>1.27687</v>
      </c>
      <c r="F474">
        <v>81.5102</v>
      </c>
      <c r="G474">
        <v>0.4237597</v>
      </c>
      <c r="H474">
        <v>0.2146174</v>
      </c>
      <c r="I474">
        <v>0.2441112</v>
      </c>
      <c r="J474">
        <v>0.2645385</v>
      </c>
      <c r="K474">
        <v>0.2849658</v>
      </c>
      <c r="L474">
        <v>0.3144596</v>
      </c>
      <c r="M474">
        <v>3.742315</v>
      </c>
      <c r="N474">
        <v>21323.71</v>
      </c>
      <c r="O474">
        <v>198.8609208</v>
      </c>
      <c r="P474">
        <v>8782.945</v>
      </c>
      <c r="Q474">
        <v>7275.604</v>
      </c>
    </row>
    <row r="475" spans="1:17" ht="12.75">
      <c r="A475" t="s">
        <v>37</v>
      </c>
      <c r="B475" s="93">
        <v>40415</v>
      </c>
      <c r="C475">
        <v>18</v>
      </c>
      <c r="D475">
        <v>1.24949</v>
      </c>
      <c r="E475">
        <v>1.317213</v>
      </c>
      <c r="F475">
        <v>80.2504</v>
      </c>
      <c r="G475">
        <v>0.4248153</v>
      </c>
      <c r="H475">
        <v>-0.1189988</v>
      </c>
      <c r="I475">
        <v>-0.0887048</v>
      </c>
      <c r="J475">
        <v>-0.0677233</v>
      </c>
      <c r="K475">
        <v>-0.0467418</v>
      </c>
      <c r="L475">
        <v>-0.0164478</v>
      </c>
      <c r="M475">
        <v>3.742315</v>
      </c>
      <c r="N475">
        <v>21323.71</v>
      </c>
      <c r="O475">
        <v>199.7873435</v>
      </c>
      <c r="P475">
        <v>7119.593</v>
      </c>
      <c r="Q475">
        <v>7505.48</v>
      </c>
    </row>
    <row r="476" spans="1:17" ht="12.75">
      <c r="A476" t="s">
        <v>37</v>
      </c>
      <c r="B476" s="93">
        <v>40415</v>
      </c>
      <c r="C476">
        <v>19</v>
      </c>
      <c r="D476">
        <v>0.8619374</v>
      </c>
      <c r="E476">
        <v>0.90661</v>
      </c>
      <c r="F476">
        <v>75.9624</v>
      </c>
      <c r="G476">
        <v>0.426254</v>
      </c>
      <c r="H476">
        <v>-0.094664</v>
      </c>
      <c r="I476">
        <v>-0.0651287</v>
      </c>
      <c r="J476">
        <v>-0.0446726</v>
      </c>
      <c r="K476">
        <v>-0.0242165</v>
      </c>
      <c r="L476">
        <v>0.0053188</v>
      </c>
      <c r="M476">
        <v>3.742315</v>
      </c>
      <c r="N476">
        <v>21323.71</v>
      </c>
      <c r="O476">
        <v>198.8609208</v>
      </c>
      <c r="P476">
        <v>4911.319</v>
      </c>
      <c r="Q476">
        <v>5165.864</v>
      </c>
    </row>
    <row r="477" spans="1:17" ht="12.75">
      <c r="A477" t="s">
        <v>37</v>
      </c>
      <c r="B477" s="93">
        <v>40415</v>
      </c>
      <c r="C477">
        <v>20</v>
      </c>
      <c r="D477">
        <v>0.6171905</v>
      </c>
      <c r="E477">
        <v>0.6464118</v>
      </c>
      <c r="F477">
        <v>71.5527</v>
      </c>
      <c r="G477">
        <v>0.4283182</v>
      </c>
      <c r="H477">
        <v>-0.0791023</v>
      </c>
      <c r="I477">
        <v>-0.0496322</v>
      </c>
      <c r="J477">
        <v>-0.0292214</v>
      </c>
      <c r="K477">
        <v>-0.0088105</v>
      </c>
      <c r="L477">
        <v>0.0206596</v>
      </c>
      <c r="M477">
        <v>3.742315</v>
      </c>
      <c r="N477">
        <v>21323.71</v>
      </c>
      <c r="O477">
        <v>197.7410862</v>
      </c>
      <c r="P477">
        <v>3516.751</v>
      </c>
      <c r="Q477">
        <v>3683.255</v>
      </c>
    </row>
    <row r="478" spans="1:17" ht="12.75">
      <c r="A478" t="s">
        <v>37</v>
      </c>
      <c r="B478" s="93">
        <v>40415</v>
      </c>
      <c r="C478">
        <v>21</v>
      </c>
      <c r="D478">
        <v>0.490443</v>
      </c>
      <c r="E478">
        <v>0.507346</v>
      </c>
      <c r="F478">
        <v>71.4027</v>
      </c>
      <c r="G478">
        <v>0.4272682</v>
      </c>
      <c r="H478">
        <v>-0.0666942</v>
      </c>
      <c r="I478">
        <v>-0.0372771</v>
      </c>
      <c r="J478">
        <v>-0.016903</v>
      </c>
      <c r="K478">
        <v>0.0034711</v>
      </c>
      <c r="L478">
        <v>0.0328881</v>
      </c>
      <c r="M478">
        <v>3.742315</v>
      </c>
      <c r="N478">
        <v>21323.71</v>
      </c>
      <c r="O478">
        <v>196.8146635</v>
      </c>
      <c r="P478">
        <v>2794.544</v>
      </c>
      <c r="Q478">
        <v>2890.857</v>
      </c>
    </row>
    <row r="479" spans="1:17" ht="12.75">
      <c r="A479" t="s">
        <v>37</v>
      </c>
      <c r="B479" s="93">
        <v>40415</v>
      </c>
      <c r="C479">
        <v>22</v>
      </c>
      <c r="D479">
        <v>0.3546207</v>
      </c>
      <c r="E479">
        <v>0.3680617</v>
      </c>
      <c r="F479">
        <v>69.6907</v>
      </c>
      <c r="G479">
        <v>0.4268617</v>
      </c>
      <c r="H479">
        <v>-0.0628863</v>
      </c>
      <c r="I479">
        <v>-0.0336736</v>
      </c>
      <c r="J479">
        <v>-0.013441</v>
      </c>
      <c r="K479">
        <v>0.0067916</v>
      </c>
      <c r="L479">
        <v>0.0360043</v>
      </c>
      <c r="M479">
        <v>3.742315</v>
      </c>
      <c r="N479">
        <v>21323.71</v>
      </c>
      <c r="O479">
        <v>198.6675088</v>
      </c>
      <c r="P479">
        <v>2020.629</v>
      </c>
      <c r="Q479">
        <v>2097.216</v>
      </c>
    </row>
    <row r="480" spans="1:17" ht="12.75">
      <c r="A480" t="s">
        <v>37</v>
      </c>
      <c r="B480" s="93">
        <v>40415</v>
      </c>
      <c r="C480">
        <v>23</v>
      </c>
      <c r="D480">
        <v>0.2560441</v>
      </c>
      <c r="E480">
        <v>0.2642731</v>
      </c>
      <c r="F480">
        <v>69.2302</v>
      </c>
      <c r="G480">
        <v>0.4283182</v>
      </c>
      <c r="H480">
        <v>-0.0578812</v>
      </c>
      <c r="I480">
        <v>-0.0285463</v>
      </c>
      <c r="J480">
        <v>-0.008229</v>
      </c>
      <c r="K480">
        <v>0.0120883</v>
      </c>
      <c r="L480">
        <v>0.0414233</v>
      </c>
      <c r="M480">
        <v>3.742315</v>
      </c>
      <c r="N480">
        <v>21323.71</v>
      </c>
      <c r="O480">
        <v>197.7410862</v>
      </c>
      <c r="P480">
        <v>1458.94</v>
      </c>
      <c r="Q480">
        <v>1505.828</v>
      </c>
    </row>
    <row r="481" spans="1:17" ht="12.75">
      <c r="A481" t="s">
        <v>37</v>
      </c>
      <c r="B481" s="93">
        <v>40415</v>
      </c>
      <c r="C481">
        <v>24</v>
      </c>
      <c r="D481">
        <v>0.2026395</v>
      </c>
      <c r="E481">
        <v>0.2026395</v>
      </c>
      <c r="F481">
        <v>68.5343</v>
      </c>
      <c r="G481">
        <v>0.4272682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3.742315</v>
      </c>
      <c r="N481">
        <v>21323.71</v>
      </c>
      <c r="O481">
        <v>196.8146635</v>
      </c>
      <c r="P481">
        <v>1154.64</v>
      </c>
      <c r="Q481">
        <v>1154.64</v>
      </c>
    </row>
    <row r="482" spans="1:17" ht="12.75">
      <c r="A482" t="s">
        <v>37</v>
      </c>
      <c r="B482" s="93">
        <v>40448</v>
      </c>
      <c r="C482">
        <v>1</v>
      </c>
      <c r="D482">
        <v>0.1869142</v>
      </c>
      <c r="E482">
        <v>0.1869142</v>
      </c>
      <c r="F482">
        <v>69.6795</v>
      </c>
      <c r="G482">
        <v>0.4287025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3.742315</v>
      </c>
      <c r="N482">
        <v>21323.71</v>
      </c>
      <c r="O482">
        <v>193.6485716</v>
      </c>
      <c r="P482">
        <v>1065.037</v>
      </c>
      <c r="Q482">
        <v>1065.037</v>
      </c>
    </row>
    <row r="483" spans="1:17" ht="12.75">
      <c r="A483" t="s">
        <v>37</v>
      </c>
      <c r="B483" s="93">
        <v>40448</v>
      </c>
      <c r="C483">
        <v>2</v>
      </c>
      <c r="D483">
        <v>0.1687287</v>
      </c>
      <c r="E483">
        <v>0.1687287</v>
      </c>
      <c r="F483">
        <v>69.1</v>
      </c>
      <c r="G483">
        <v>0.4287025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3.742315</v>
      </c>
      <c r="N483">
        <v>21323.71</v>
      </c>
      <c r="O483">
        <v>193.6485716</v>
      </c>
      <c r="P483">
        <v>961.416</v>
      </c>
      <c r="Q483">
        <v>961.416</v>
      </c>
    </row>
    <row r="484" spans="1:17" ht="12.75">
      <c r="A484" t="s">
        <v>37</v>
      </c>
      <c r="B484" s="93">
        <v>40448</v>
      </c>
      <c r="C484">
        <v>3</v>
      </c>
      <c r="D484">
        <v>0.1487783</v>
      </c>
      <c r="E484">
        <v>0.1487783</v>
      </c>
      <c r="F484">
        <v>69.751</v>
      </c>
      <c r="G484">
        <v>0.4287025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3.742315</v>
      </c>
      <c r="N484">
        <v>21323.71</v>
      </c>
      <c r="O484">
        <v>193.6485716</v>
      </c>
      <c r="P484">
        <v>847.7386</v>
      </c>
      <c r="Q484">
        <v>847.7386</v>
      </c>
    </row>
    <row r="485" spans="1:17" ht="12.75">
      <c r="A485" t="s">
        <v>37</v>
      </c>
      <c r="B485" s="93">
        <v>40448</v>
      </c>
      <c r="C485">
        <v>4</v>
      </c>
      <c r="D485">
        <v>0.1409123</v>
      </c>
      <c r="E485">
        <v>0.1409123</v>
      </c>
      <c r="F485">
        <v>69.4708</v>
      </c>
      <c r="G485">
        <v>0.4287025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3.742315</v>
      </c>
      <c r="N485">
        <v>21323.71</v>
      </c>
      <c r="O485">
        <v>193.6485716</v>
      </c>
      <c r="P485">
        <v>802.9183</v>
      </c>
      <c r="Q485">
        <v>802.9183</v>
      </c>
    </row>
    <row r="486" spans="1:17" ht="12.75">
      <c r="A486" t="s">
        <v>37</v>
      </c>
      <c r="B486" s="93">
        <v>40448</v>
      </c>
      <c r="C486">
        <v>5</v>
      </c>
      <c r="D486">
        <v>0.1416132</v>
      </c>
      <c r="E486">
        <v>0.1416132</v>
      </c>
      <c r="F486">
        <v>68.8325</v>
      </c>
      <c r="G486">
        <v>0.4287025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3.742315</v>
      </c>
      <c r="N486">
        <v>21323.71</v>
      </c>
      <c r="O486">
        <v>193.6485716</v>
      </c>
      <c r="P486">
        <v>806.912</v>
      </c>
      <c r="Q486">
        <v>806.912</v>
      </c>
    </row>
    <row r="487" spans="1:17" ht="12.75">
      <c r="A487" t="s">
        <v>37</v>
      </c>
      <c r="B487" s="93">
        <v>40448</v>
      </c>
      <c r="C487">
        <v>6</v>
      </c>
      <c r="D487">
        <v>0.1620409</v>
      </c>
      <c r="E487">
        <v>0.1620409</v>
      </c>
      <c r="F487">
        <v>71.3525</v>
      </c>
      <c r="G487">
        <v>0.4287025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3.742315</v>
      </c>
      <c r="N487">
        <v>21323.71</v>
      </c>
      <c r="O487">
        <v>193.6485716</v>
      </c>
      <c r="P487">
        <v>923.3089</v>
      </c>
      <c r="Q487">
        <v>923.3089</v>
      </c>
    </row>
    <row r="488" spans="1:17" ht="12.75">
      <c r="A488" t="s">
        <v>37</v>
      </c>
      <c r="B488" s="93">
        <v>40448</v>
      </c>
      <c r="C488">
        <v>7</v>
      </c>
      <c r="D488">
        <v>0.2010519</v>
      </c>
      <c r="E488">
        <v>0.2010519</v>
      </c>
      <c r="F488">
        <v>71.7517</v>
      </c>
      <c r="G488">
        <v>0.4287025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3.742315</v>
      </c>
      <c r="N488">
        <v>21323.71</v>
      </c>
      <c r="O488">
        <v>193.6485716</v>
      </c>
      <c r="P488">
        <v>1145.594</v>
      </c>
      <c r="Q488">
        <v>1145.594</v>
      </c>
    </row>
    <row r="489" spans="1:17" ht="12.75">
      <c r="A489" t="s">
        <v>37</v>
      </c>
      <c r="B489" s="93">
        <v>40448</v>
      </c>
      <c r="C489">
        <v>8</v>
      </c>
      <c r="D489">
        <v>0.4225487</v>
      </c>
      <c r="E489">
        <v>0.4225487</v>
      </c>
      <c r="F489">
        <v>81.636</v>
      </c>
      <c r="G489">
        <v>0.4287025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3.742315</v>
      </c>
      <c r="N489">
        <v>21323.71</v>
      </c>
      <c r="O489">
        <v>193.6485716</v>
      </c>
      <c r="P489">
        <v>2407.683</v>
      </c>
      <c r="Q489">
        <v>2407.683</v>
      </c>
    </row>
    <row r="490" spans="1:17" ht="12.75">
      <c r="A490" t="s">
        <v>37</v>
      </c>
      <c r="B490" s="93">
        <v>40448</v>
      </c>
      <c r="C490">
        <v>9</v>
      </c>
      <c r="D490">
        <v>0.8021842</v>
      </c>
      <c r="E490">
        <v>0.8021842</v>
      </c>
      <c r="F490">
        <v>89.4471</v>
      </c>
      <c r="G490">
        <v>0.430317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3.742315</v>
      </c>
      <c r="N490">
        <v>21323.71</v>
      </c>
      <c r="O490">
        <v>194.5749942</v>
      </c>
      <c r="P490">
        <v>4570.845</v>
      </c>
      <c r="Q490">
        <v>4570.845</v>
      </c>
    </row>
    <row r="491" spans="1:17" ht="12.75">
      <c r="A491" t="s">
        <v>37</v>
      </c>
      <c r="B491" s="93">
        <v>40448</v>
      </c>
      <c r="C491">
        <v>10</v>
      </c>
      <c r="D491">
        <v>1.356729</v>
      </c>
      <c r="E491">
        <v>1.356729</v>
      </c>
      <c r="F491">
        <v>96.1566</v>
      </c>
      <c r="G491">
        <v>0.430317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3.742315</v>
      </c>
      <c r="N491">
        <v>21323.71</v>
      </c>
      <c r="O491">
        <v>194.5749942</v>
      </c>
      <c r="P491">
        <v>7730.639</v>
      </c>
      <c r="Q491">
        <v>7730.639</v>
      </c>
    </row>
    <row r="492" spans="1:17" ht="12.75">
      <c r="A492" t="s">
        <v>37</v>
      </c>
      <c r="B492" s="93">
        <v>40448</v>
      </c>
      <c r="C492">
        <v>11</v>
      </c>
      <c r="D492">
        <v>2.083681</v>
      </c>
      <c r="E492">
        <v>2.083681</v>
      </c>
      <c r="F492">
        <v>101.14</v>
      </c>
      <c r="G492">
        <v>0.430317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3.742315</v>
      </c>
      <c r="N492">
        <v>21323.71</v>
      </c>
      <c r="O492">
        <v>194.5749942</v>
      </c>
      <c r="P492">
        <v>11872.81</v>
      </c>
      <c r="Q492">
        <v>11872.81</v>
      </c>
    </row>
    <row r="493" spans="1:17" ht="12.75">
      <c r="A493" t="s">
        <v>37</v>
      </c>
      <c r="B493" s="93">
        <v>40448</v>
      </c>
      <c r="C493">
        <v>12</v>
      </c>
      <c r="D493">
        <v>2.596962</v>
      </c>
      <c r="E493">
        <v>2.596962</v>
      </c>
      <c r="F493">
        <v>98.7647</v>
      </c>
      <c r="G493">
        <v>0.430317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3.742315</v>
      </c>
      <c r="N493">
        <v>21323.71</v>
      </c>
      <c r="O493">
        <v>194.5749942</v>
      </c>
      <c r="P493">
        <v>14797.49</v>
      </c>
      <c r="Q493">
        <v>14797.49</v>
      </c>
    </row>
    <row r="494" spans="1:17" ht="12.75">
      <c r="A494" t="s">
        <v>37</v>
      </c>
      <c r="B494" s="93">
        <v>40448</v>
      </c>
      <c r="C494">
        <v>13</v>
      </c>
      <c r="D494">
        <v>2.727426</v>
      </c>
      <c r="E494">
        <v>2.727426</v>
      </c>
      <c r="F494">
        <v>98.421</v>
      </c>
      <c r="G494">
        <v>0.4287025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3.742315</v>
      </c>
      <c r="N494">
        <v>21323.71</v>
      </c>
      <c r="O494">
        <v>193.6485716</v>
      </c>
      <c r="P494">
        <v>15540.87</v>
      </c>
      <c r="Q494">
        <v>15540.87</v>
      </c>
    </row>
    <row r="495" spans="1:17" ht="12.75">
      <c r="A495" t="s">
        <v>37</v>
      </c>
      <c r="B495" s="93">
        <v>40448</v>
      </c>
      <c r="C495">
        <v>14</v>
      </c>
      <c r="D495">
        <v>2.703974</v>
      </c>
      <c r="E495">
        <v>2.703974</v>
      </c>
      <c r="F495">
        <v>96.3059</v>
      </c>
      <c r="G495">
        <v>0.430317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3.742315</v>
      </c>
      <c r="N495">
        <v>21323.71</v>
      </c>
      <c r="O495">
        <v>194.5749942</v>
      </c>
      <c r="P495">
        <v>15407.25</v>
      </c>
      <c r="Q495">
        <v>15407.25</v>
      </c>
    </row>
    <row r="496" spans="1:17" ht="12.75">
      <c r="A496" t="s">
        <v>37</v>
      </c>
      <c r="B496" s="93">
        <v>40448</v>
      </c>
      <c r="C496">
        <v>15</v>
      </c>
      <c r="D496">
        <v>2.739552</v>
      </c>
      <c r="E496">
        <v>2.385184</v>
      </c>
      <c r="F496">
        <v>96.137</v>
      </c>
      <c r="G496">
        <v>0.430317</v>
      </c>
      <c r="H496">
        <v>0.2968852</v>
      </c>
      <c r="I496">
        <v>0.3308466</v>
      </c>
      <c r="J496">
        <v>0.3543682</v>
      </c>
      <c r="K496">
        <v>0.3778898</v>
      </c>
      <c r="L496">
        <v>0.4118512</v>
      </c>
      <c r="M496">
        <v>3.742315</v>
      </c>
      <c r="N496">
        <v>21323.71</v>
      </c>
      <c r="O496">
        <v>194.5749942</v>
      </c>
      <c r="P496">
        <v>15609.97</v>
      </c>
      <c r="Q496">
        <v>13590.78</v>
      </c>
    </row>
    <row r="497" spans="1:17" ht="12.75">
      <c r="A497" t="s">
        <v>37</v>
      </c>
      <c r="B497" s="93">
        <v>40448</v>
      </c>
      <c r="C497">
        <v>16</v>
      </c>
      <c r="D497">
        <v>2.67702</v>
      </c>
      <c r="E497">
        <v>2.318633</v>
      </c>
      <c r="F497">
        <v>93.8718</v>
      </c>
      <c r="G497">
        <v>0.4313646</v>
      </c>
      <c r="H497">
        <v>0.3009237</v>
      </c>
      <c r="I497">
        <v>0.3348735</v>
      </c>
      <c r="J497">
        <v>0.358387</v>
      </c>
      <c r="K497">
        <v>0.3819005</v>
      </c>
      <c r="L497">
        <v>0.4158503</v>
      </c>
      <c r="M497">
        <v>3.742315</v>
      </c>
      <c r="N497">
        <v>21323.71</v>
      </c>
      <c r="O497">
        <v>195.5014169</v>
      </c>
      <c r="P497">
        <v>15253.66</v>
      </c>
      <c r="Q497">
        <v>13211.57</v>
      </c>
    </row>
    <row r="498" spans="1:17" ht="12.75">
      <c r="A498" t="s">
        <v>37</v>
      </c>
      <c r="B498" s="93">
        <v>40448</v>
      </c>
      <c r="C498">
        <v>17</v>
      </c>
      <c r="D498">
        <v>2.54505</v>
      </c>
      <c r="E498">
        <v>2.179294</v>
      </c>
      <c r="F498">
        <v>91.4345</v>
      </c>
      <c r="G498">
        <v>0.4313646</v>
      </c>
      <c r="H498">
        <v>0.3082421</v>
      </c>
      <c r="I498">
        <v>0.3422218</v>
      </c>
      <c r="J498">
        <v>0.365756</v>
      </c>
      <c r="K498">
        <v>0.3892902</v>
      </c>
      <c r="L498">
        <v>0.4232699</v>
      </c>
      <c r="M498">
        <v>3.742315</v>
      </c>
      <c r="N498">
        <v>21323.71</v>
      </c>
      <c r="O498">
        <v>195.5014169</v>
      </c>
      <c r="P498">
        <v>14501.7</v>
      </c>
      <c r="Q498">
        <v>12417.62</v>
      </c>
    </row>
    <row r="499" spans="1:17" ht="12.75">
      <c r="A499" t="s">
        <v>37</v>
      </c>
      <c r="B499" s="93">
        <v>40448</v>
      </c>
      <c r="C499">
        <v>18</v>
      </c>
      <c r="D499">
        <v>2.035855</v>
      </c>
      <c r="E499">
        <v>1.670014</v>
      </c>
      <c r="F499">
        <v>87.4842</v>
      </c>
      <c r="G499">
        <v>0.4292595</v>
      </c>
      <c r="H499">
        <v>0.3070304</v>
      </c>
      <c r="I499">
        <v>0.3417759</v>
      </c>
      <c r="J499">
        <v>0.3658406</v>
      </c>
      <c r="K499">
        <v>0.3899052</v>
      </c>
      <c r="L499">
        <v>0.4246507</v>
      </c>
      <c r="M499">
        <v>3.742315</v>
      </c>
      <c r="N499">
        <v>21323.71</v>
      </c>
      <c r="O499">
        <v>196.6212515</v>
      </c>
      <c r="P499">
        <v>11600.3</v>
      </c>
      <c r="Q499">
        <v>9515.74</v>
      </c>
    </row>
    <row r="500" spans="1:17" ht="12.75">
      <c r="A500" t="s">
        <v>37</v>
      </c>
      <c r="B500" s="93">
        <v>40448</v>
      </c>
      <c r="C500">
        <v>19</v>
      </c>
      <c r="D500">
        <v>1.394425</v>
      </c>
      <c r="E500">
        <v>1.490224</v>
      </c>
      <c r="F500">
        <v>82.5711</v>
      </c>
      <c r="G500">
        <v>0.4292595</v>
      </c>
      <c r="H500">
        <v>-0.1537662</v>
      </c>
      <c r="I500">
        <v>-0.1195188</v>
      </c>
      <c r="J500">
        <v>-0.0957991</v>
      </c>
      <c r="K500">
        <v>-0.0720794</v>
      </c>
      <c r="L500">
        <v>-0.037832</v>
      </c>
      <c r="M500">
        <v>3.742315</v>
      </c>
      <c r="N500">
        <v>21323.71</v>
      </c>
      <c r="O500">
        <v>196.6212515</v>
      </c>
      <c r="P500">
        <v>7945.432</v>
      </c>
      <c r="Q500">
        <v>8491.295</v>
      </c>
    </row>
    <row r="501" spans="1:17" ht="12.75">
      <c r="A501" t="s">
        <v>37</v>
      </c>
      <c r="B501" s="93">
        <v>40448</v>
      </c>
      <c r="C501">
        <v>20</v>
      </c>
      <c r="D501">
        <v>1.006564</v>
      </c>
      <c r="E501">
        <v>1.069913</v>
      </c>
      <c r="F501">
        <v>80.796</v>
      </c>
      <c r="G501">
        <v>0.4313646</v>
      </c>
      <c r="H501">
        <v>-0.1207436</v>
      </c>
      <c r="I501">
        <v>-0.0868345</v>
      </c>
      <c r="J501">
        <v>-0.0633491</v>
      </c>
      <c r="K501">
        <v>-0.0398638</v>
      </c>
      <c r="L501">
        <v>-0.0059547</v>
      </c>
      <c r="M501">
        <v>3.742315</v>
      </c>
      <c r="N501">
        <v>21323.71</v>
      </c>
      <c r="O501">
        <v>195.5014169</v>
      </c>
      <c r="P501">
        <v>5735.399</v>
      </c>
      <c r="Q501">
        <v>6096.362</v>
      </c>
    </row>
    <row r="502" spans="1:17" ht="12.75">
      <c r="A502" t="s">
        <v>37</v>
      </c>
      <c r="B502" s="93">
        <v>40448</v>
      </c>
      <c r="C502">
        <v>21</v>
      </c>
      <c r="D502">
        <v>0.7972752</v>
      </c>
      <c r="E502">
        <v>0.8383435</v>
      </c>
      <c r="F502">
        <v>79.1283</v>
      </c>
      <c r="G502">
        <v>0.4313646</v>
      </c>
      <c r="H502">
        <v>-0.0979968</v>
      </c>
      <c r="I502">
        <v>-0.064363</v>
      </c>
      <c r="J502">
        <v>-0.0410683</v>
      </c>
      <c r="K502">
        <v>-0.0177736</v>
      </c>
      <c r="L502">
        <v>0.0158602</v>
      </c>
      <c r="M502">
        <v>3.742315</v>
      </c>
      <c r="N502">
        <v>21323.71</v>
      </c>
      <c r="O502">
        <v>195.5014169</v>
      </c>
      <c r="P502">
        <v>4542.874</v>
      </c>
      <c r="Q502">
        <v>4776.881</v>
      </c>
    </row>
    <row r="503" spans="1:17" ht="12.75">
      <c r="A503" t="s">
        <v>37</v>
      </c>
      <c r="B503" s="93">
        <v>40448</v>
      </c>
      <c r="C503">
        <v>22</v>
      </c>
      <c r="D503">
        <v>0.5751849</v>
      </c>
      <c r="E503">
        <v>0.6015839</v>
      </c>
      <c r="F503">
        <v>78.3284</v>
      </c>
      <c r="G503">
        <v>0.4313646</v>
      </c>
      <c r="H503">
        <v>-0.0831415</v>
      </c>
      <c r="I503">
        <v>-0.0496175</v>
      </c>
      <c r="J503">
        <v>-0.026399</v>
      </c>
      <c r="K503">
        <v>-0.0031804</v>
      </c>
      <c r="L503">
        <v>0.0303436</v>
      </c>
      <c r="M503">
        <v>3.742315</v>
      </c>
      <c r="N503">
        <v>21323.71</v>
      </c>
      <c r="O503">
        <v>195.5014169</v>
      </c>
      <c r="P503">
        <v>3277.404</v>
      </c>
      <c r="Q503">
        <v>3427.825</v>
      </c>
    </row>
    <row r="504" spans="1:17" ht="12.75">
      <c r="A504" t="s">
        <v>37</v>
      </c>
      <c r="B504" s="93">
        <v>40448</v>
      </c>
      <c r="C504">
        <v>23</v>
      </c>
      <c r="D504">
        <v>0.386874</v>
      </c>
      <c r="E504">
        <v>0.4036364</v>
      </c>
      <c r="F504">
        <v>76.0156</v>
      </c>
      <c r="G504">
        <v>0.4313646</v>
      </c>
      <c r="H504">
        <v>-0.0733077</v>
      </c>
      <c r="I504">
        <v>-0.0399003</v>
      </c>
      <c r="J504">
        <v>-0.0167625</v>
      </c>
      <c r="K504">
        <v>0.0063754</v>
      </c>
      <c r="L504">
        <v>0.0397828</v>
      </c>
      <c r="M504">
        <v>3.742315</v>
      </c>
      <c r="N504">
        <v>21323.71</v>
      </c>
      <c r="O504">
        <v>195.5014169</v>
      </c>
      <c r="P504">
        <v>2204.408</v>
      </c>
      <c r="Q504">
        <v>2299.92</v>
      </c>
    </row>
    <row r="505" spans="1:17" ht="12.75">
      <c r="A505" t="s">
        <v>37</v>
      </c>
      <c r="B505" s="93">
        <v>40448</v>
      </c>
      <c r="C505">
        <v>24</v>
      </c>
      <c r="D505">
        <v>0.2752077</v>
      </c>
      <c r="E505">
        <v>0.2846507</v>
      </c>
      <c r="F505">
        <v>74.3394</v>
      </c>
      <c r="G505">
        <v>0.430317</v>
      </c>
      <c r="H505">
        <v>-0.0657014</v>
      </c>
      <c r="I505">
        <v>-0.0324635</v>
      </c>
      <c r="J505">
        <v>-0.009443</v>
      </c>
      <c r="K505">
        <v>0.0135775</v>
      </c>
      <c r="L505">
        <v>0.0468154</v>
      </c>
      <c r="M505">
        <v>3.742315</v>
      </c>
      <c r="N505">
        <v>21323.71</v>
      </c>
      <c r="O505">
        <v>194.5749942</v>
      </c>
      <c r="P505">
        <v>1568.133</v>
      </c>
      <c r="Q505">
        <v>1621.94</v>
      </c>
    </row>
    <row r="506" spans="1:17" ht="12.75">
      <c r="A506" t="s">
        <v>37</v>
      </c>
      <c r="B506" s="93">
        <v>40449</v>
      </c>
      <c r="C506">
        <v>1</v>
      </c>
      <c r="D506">
        <v>0.2047372</v>
      </c>
      <c r="E506">
        <v>0.2047372</v>
      </c>
      <c r="F506">
        <v>75.3967</v>
      </c>
      <c r="G506">
        <v>0.430317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3.742315</v>
      </c>
      <c r="N506">
        <v>21323.71</v>
      </c>
      <c r="O506">
        <v>194.5749942</v>
      </c>
      <c r="P506">
        <v>1166.593</v>
      </c>
      <c r="Q506">
        <v>1166.593</v>
      </c>
    </row>
    <row r="507" spans="1:17" ht="12.75">
      <c r="A507" t="s">
        <v>37</v>
      </c>
      <c r="B507" s="93">
        <v>40449</v>
      </c>
      <c r="C507">
        <v>2</v>
      </c>
      <c r="D507">
        <v>0.1807946</v>
      </c>
      <c r="E507">
        <v>0.1807946</v>
      </c>
      <c r="F507">
        <v>72.8905</v>
      </c>
      <c r="G507">
        <v>0.430317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3.742315</v>
      </c>
      <c r="N507">
        <v>21323.71</v>
      </c>
      <c r="O507">
        <v>194.5749942</v>
      </c>
      <c r="P507">
        <v>1030.168</v>
      </c>
      <c r="Q507">
        <v>1030.168</v>
      </c>
    </row>
    <row r="508" spans="1:17" ht="12.75">
      <c r="A508" t="s">
        <v>37</v>
      </c>
      <c r="B508" s="93">
        <v>40449</v>
      </c>
      <c r="C508">
        <v>3</v>
      </c>
      <c r="D508">
        <v>0.1569211</v>
      </c>
      <c r="E508">
        <v>0.1569211</v>
      </c>
      <c r="F508">
        <v>73.7954</v>
      </c>
      <c r="G508">
        <v>0.430317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3.742315</v>
      </c>
      <c r="N508">
        <v>21323.71</v>
      </c>
      <c r="O508">
        <v>194.5749942</v>
      </c>
      <c r="P508">
        <v>894.1367</v>
      </c>
      <c r="Q508">
        <v>894.1367</v>
      </c>
    </row>
    <row r="509" spans="1:17" ht="12.75">
      <c r="A509" t="s">
        <v>37</v>
      </c>
      <c r="B509" s="93">
        <v>40449</v>
      </c>
      <c r="C509">
        <v>4</v>
      </c>
      <c r="D509">
        <v>0.1457926</v>
      </c>
      <c r="E509">
        <v>0.1457926</v>
      </c>
      <c r="F509">
        <v>75.5531</v>
      </c>
      <c r="G509">
        <v>0.430317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3.742315</v>
      </c>
      <c r="N509">
        <v>21323.71</v>
      </c>
      <c r="O509">
        <v>194.5749942</v>
      </c>
      <c r="P509">
        <v>830.7261</v>
      </c>
      <c r="Q509">
        <v>830.7261</v>
      </c>
    </row>
    <row r="510" spans="1:17" ht="12.75">
      <c r="A510" t="s">
        <v>37</v>
      </c>
      <c r="B510" s="93">
        <v>40449</v>
      </c>
      <c r="C510">
        <v>5</v>
      </c>
      <c r="D510">
        <v>0.1477153</v>
      </c>
      <c r="E510">
        <v>0.1477153</v>
      </c>
      <c r="F510">
        <v>74.5286</v>
      </c>
      <c r="G510">
        <v>0.430317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3.742315</v>
      </c>
      <c r="N510">
        <v>21323.71</v>
      </c>
      <c r="O510">
        <v>194.5749942</v>
      </c>
      <c r="P510">
        <v>841.6818</v>
      </c>
      <c r="Q510">
        <v>841.6818</v>
      </c>
    </row>
    <row r="511" spans="1:17" ht="12.75">
      <c r="A511" t="s">
        <v>37</v>
      </c>
      <c r="B511" s="93">
        <v>40449</v>
      </c>
      <c r="C511">
        <v>6</v>
      </c>
      <c r="D511">
        <v>0.1785979</v>
      </c>
      <c r="E511">
        <v>0.1785979</v>
      </c>
      <c r="F511">
        <v>74.0001</v>
      </c>
      <c r="G511">
        <v>0.430317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3.742315</v>
      </c>
      <c r="N511">
        <v>21323.71</v>
      </c>
      <c r="O511">
        <v>194.5749942</v>
      </c>
      <c r="P511">
        <v>1017.651</v>
      </c>
      <c r="Q511">
        <v>1017.651</v>
      </c>
    </row>
    <row r="512" spans="1:17" ht="12.75">
      <c r="A512" t="s">
        <v>37</v>
      </c>
      <c r="B512" s="93">
        <v>40449</v>
      </c>
      <c r="C512">
        <v>7</v>
      </c>
      <c r="D512">
        <v>0.2397404</v>
      </c>
      <c r="E512">
        <v>0.2397404</v>
      </c>
      <c r="F512">
        <v>74.2714</v>
      </c>
      <c r="G512">
        <v>0.430317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3.742315</v>
      </c>
      <c r="N512">
        <v>21323.71</v>
      </c>
      <c r="O512">
        <v>194.5749942</v>
      </c>
      <c r="P512">
        <v>1366.041</v>
      </c>
      <c r="Q512">
        <v>1366.041</v>
      </c>
    </row>
    <row r="513" spans="1:17" ht="12.75">
      <c r="A513" t="s">
        <v>37</v>
      </c>
      <c r="B513" s="93">
        <v>40449</v>
      </c>
      <c r="C513">
        <v>8</v>
      </c>
      <c r="D513">
        <v>0.5143669</v>
      </c>
      <c r="E513">
        <v>0.5143669</v>
      </c>
      <c r="F513">
        <v>74.8417</v>
      </c>
      <c r="G513">
        <v>0.430317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3.742315</v>
      </c>
      <c r="N513">
        <v>21323.71</v>
      </c>
      <c r="O513">
        <v>194.5749942</v>
      </c>
      <c r="P513">
        <v>2930.862</v>
      </c>
      <c r="Q513">
        <v>2930.862</v>
      </c>
    </row>
    <row r="514" spans="1:17" ht="12.75">
      <c r="A514" t="s">
        <v>37</v>
      </c>
      <c r="B514" s="93">
        <v>40449</v>
      </c>
      <c r="C514">
        <v>9</v>
      </c>
      <c r="D514">
        <v>0.8458734</v>
      </c>
      <c r="E514">
        <v>0.8458734</v>
      </c>
      <c r="F514">
        <v>76.4311</v>
      </c>
      <c r="G514">
        <v>0.428208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3.742315</v>
      </c>
      <c r="N514">
        <v>21323.71</v>
      </c>
      <c r="O514">
        <v>195.6948289</v>
      </c>
      <c r="P514">
        <v>4819.787</v>
      </c>
      <c r="Q514">
        <v>4819.787</v>
      </c>
    </row>
    <row r="515" spans="1:17" ht="12.75">
      <c r="A515" t="s">
        <v>37</v>
      </c>
      <c r="B515" s="93">
        <v>40449</v>
      </c>
      <c r="C515">
        <v>10</v>
      </c>
      <c r="D515">
        <v>1.222912</v>
      </c>
      <c r="E515">
        <v>1.222912</v>
      </c>
      <c r="F515">
        <v>80.2792</v>
      </c>
      <c r="G515">
        <v>0.428208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3.742315</v>
      </c>
      <c r="N515">
        <v>21323.71</v>
      </c>
      <c r="O515">
        <v>195.6948289</v>
      </c>
      <c r="P515">
        <v>6968.154</v>
      </c>
      <c r="Q515">
        <v>6968.154</v>
      </c>
    </row>
    <row r="516" spans="1:17" ht="12.75">
      <c r="A516" t="s">
        <v>37</v>
      </c>
      <c r="B516" s="93">
        <v>40449</v>
      </c>
      <c r="C516">
        <v>11</v>
      </c>
      <c r="D516">
        <v>1.629037</v>
      </c>
      <c r="E516">
        <v>1.629037</v>
      </c>
      <c r="F516">
        <v>84.0101</v>
      </c>
      <c r="G516">
        <v>0.428208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3.742315</v>
      </c>
      <c r="N516">
        <v>21323.71</v>
      </c>
      <c r="O516">
        <v>195.6948289</v>
      </c>
      <c r="P516">
        <v>9282.25</v>
      </c>
      <c r="Q516">
        <v>9282.25</v>
      </c>
    </row>
    <row r="517" spans="1:17" ht="12.75">
      <c r="A517" t="s">
        <v>37</v>
      </c>
      <c r="B517" s="93">
        <v>40449</v>
      </c>
      <c r="C517">
        <v>12</v>
      </c>
      <c r="D517">
        <v>1.863407</v>
      </c>
      <c r="E517">
        <v>1.863407</v>
      </c>
      <c r="F517">
        <v>85.1403</v>
      </c>
      <c r="G517">
        <v>0.428208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3.742315</v>
      </c>
      <c r="N517">
        <v>21323.71</v>
      </c>
      <c r="O517">
        <v>195.6948289</v>
      </c>
      <c r="P517">
        <v>10617.69</v>
      </c>
      <c r="Q517">
        <v>10617.69</v>
      </c>
    </row>
    <row r="518" spans="1:17" ht="12.75">
      <c r="A518" t="s">
        <v>37</v>
      </c>
      <c r="B518" s="93">
        <v>40449</v>
      </c>
      <c r="C518">
        <v>13</v>
      </c>
      <c r="D518">
        <v>1.883436</v>
      </c>
      <c r="E518">
        <v>1.883436</v>
      </c>
      <c r="F518">
        <v>84.2789</v>
      </c>
      <c r="G518">
        <v>0.428208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3.742315</v>
      </c>
      <c r="N518">
        <v>21323.71</v>
      </c>
      <c r="O518">
        <v>195.6948289</v>
      </c>
      <c r="P518">
        <v>10731.82</v>
      </c>
      <c r="Q518">
        <v>10731.82</v>
      </c>
    </row>
    <row r="519" spans="1:17" ht="12.75">
      <c r="A519" t="s">
        <v>37</v>
      </c>
      <c r="B519" s="93">
        <v>40449</v>
      </c>
      <c r="C519">
        <v>14</v>
      </c>
      <c r="D519">
        <v>1.808436</v>
      </c>
      <c r="E519">
        <v>1.808436</v>
      </c>
      <c r="F519">
        <v>84.0161</v>
      </c>
      <c r="G519">
        <v>0.4265927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3.742315</v>
      </c>
      <c r="N519">
        <v>21323.71</v>
      </c>
      <c r="O519">
        <v>194.7684062</v>
      </c>
      <c r="P519">
        <v>10304.47</v>
      </c>
      <c r="Q519">
        <v>10304.47</v>
      </c>
    </row>
    <row r="520" spans="1:17" ht="12.75">
      <c r="A520" t="s">
        <v>37</v>
      </c>
      <c r="B520" s="93">
        <v>40449</v>
      </c>
      <c r="C520">
        <v>15</v>
      </c>
      <c r="D520">
        <v>1.816409</v>
      </c>
      <c r="E520">
        <v>1.5464</v>
      </c>
      <c r="F520">
        <v>85.0367</v>
      </c>
      <c r="G520">
        <v>0.428208</v>
      </c>
      <c r="H520">
        <v>0.2186412</v>
      </c>
      <c r="I520">
        <v>0.24899</v>
      </c>
      <c r="J520">
        <v>0.2700095</v>
      </c>
      <c r="K520">
        <v>0.291029</v>
      </c>
      <c r="L520">
        <v>0.3213778</v>
      </c>
      <c r="M520">
        <v>3.742315</v>
      </c>
      <c r="N520">
        <v>21323.71</v>
      </c>
      <c r="O520">
        <v>195.6948289</v>
      </c>
      <c r="P520">
        <v>10349.9</v>
      </c>
      <c r="Q520">
        <v>8811.386</v>
      </c>
    </row>
    <row r="521" spans="1:17" ht="12.75">
      <c r="A521" t="s">
        <v>37</v>
      </c>
      <c r="B521" s="93">
        <v>40449</v>
      </c>
      <c r="C521">
        <v>16</v>
      </c>
      <c r="D521">
        <v>1.800474</v>
      </c>
      <c r="E521">
        <v>1.522408</v>
      </c>
      <c r="F521">
        <v>85.2219</v>
      </c>
      <c r="G521">
        <v>0.428208</v>
      </c>
      <c r="H521">
        <v>0.2266855</v>
      </c>
      <c r="I521">
        <v>0.2570415</v>
      </c>
      <c r="J521">
        <v>0.2780659</v>
      </c>
      <c r="K521">
        <v>0.2990904</v>
      </c>
      <c r="L521">
        <v>0.3294463</v>
      </c>
      <c r="M521">
        <v>3.742315</v>
      </c>
      <c r="N521">
        <v>21323.71</v>
      </c>
      <c r="O521">
        <v>195.6948289</v>
      </c>
      <c r="P521">
        <v>10259.1</v>
      </c>
      <c r="Q521">
        <v>8674.682</v>
      </c>
    </row>
    <row r="522" spans="1:17" ht="12.75">
      <c r="A522" t="s">
        <v>37</v>
      </c>
      <c r="B522" s="93">
        <v>40449</v>
      </c>
      <c r="C522">
        <v>17</v>
      </c>
      <c r="D522">
        <v>1.692676</v>
      </c>
      <c r="E522">
        <v>1.409168</v>
      </c>
      <c r="F522">
        <v>83.1288</v>
      </c>
      <c r="G522">
        <v>0.430317</v>
      </c>
      <c r="H522">
        <v>0.2318673</v>
      </c>
      <c r="I522">
        <v>0.262377</v>
      </c>
      <c r="J522">
        <v>0.2835079</v>
      </c>
      <c r="K522">
        <v>0.3046389</v>
      </c>
      <c r="L522">
        <v>0.3351486</v>
      </c>
      <c r="M522">
        <v>3.742315</v>
      </c>
      <c r="N522">
        <v>21323.71</v>
      </c>
      <c r="O522">
        <v>194.5749942</v>
      </c>
      <c r="P522">
        <v>9644.866</v>
      </c>
      <c r="Q522">
        <v>8029.438</v>
      </c>
    </row>
    <row r="523" spans="1:17" ht="12.75">
      <c r="A523" t="s">
        <v>37</v>
      </c>
      <c r="B523" s="93">
        <v>40449</v>
      </c>
      <c r="C523">
        <v>18</v>
      </c>
      <c r="D523">
        <v>1.341253</v>
      </c>
      <c r="E523">
        <v>1.059062</v>
      </c>
      <c r="F523">
        <v>78.6892</v>
      </c>
      <c r="G523">
        <v>0.430317</v>
      </c>
      <c r="H523">
        <v>0.2300087</v>
      </c>
      <c r="I523">
        <v>0.2608383</v>
      </c>
      <c r="J523">
        <v>0.2821908</v>
      </c>
      <c r="K523">
        <v>0.3035433</v>
      </c>
      <c r="L523">
        <v>0.3343729</v>
      </c>
      <c r="M523">
        <v>3.742315</v>
      </c>
      <c r="N523">
        <v>21323.71</v>
      </c>
      <c r="O523">
        <v>194.5749942</v>
      </c>
      <c r="P523">
        <v>7642.459</v>
      </c>
      <c r="Q523">
        <v>6034.536</v>
      </c>
    </row>
    <row r="524" spans="1:17" ht="12.75">
      <c r="A524" t="s">
        <v>37</v>
      </c>
      <c r="B524" s="93">
        <v>40449</v>
      </c>
      <c r="C524">
        <v>19</v>
      </c>
      <c r="D524">
        <v>0.9200043</v>
      </c>
      <c r="E524">
        <v>0.984961</v>
      </c>
      <c r="F524">
        <v>75.8632</v>
      </c>
      <c r="G524">
        <v>0.430317</v>
      </c>
      <c r="H524">
        <v>-0.1174738</v>
      </c>
      <c r="I524">
        <v>-0.0864463</v>
      </c>
      <c r="J524">
        <v>-0.0649567</v>
      </c>
      <c r="K524">
        <v>-0.0434671</v>
      </c>
      <c r="L524">
        <v>-0.0124395</v>
      </c>
      <c r="M524">
        <v>3.742315</v>
      </c>
      <c r="N524">
        <v>21323.71</v>
      </c>
      <c r="O524">
        <v>194.5749942</v>
      </c>
      <c r="P524">
        <v>5242.185</v>
      </c>
      <c r="Q524">
        <v>5612.308</v>
      </c>
    </row>
    <row r="525" spans="1:17" ht="12.75">
      <c r="A525" t="s">
        <v>37</v>
      </c>
      <c r="B525" s="93">
        <v>40449</v>
      </c>
      <c r="C525">
        <v>20</v>
      </c>
      <c r="D525">
        <v>0.6479502</v>
      </c>
      <c r="E525">
        <v>0.6902634</v>
      </c>
      <c r="F525">
        <v>74.2071</v>
      </c>
      <c r="G525">
        <v>0.430317</v>
      </c>
      <c r="H525">
        <v>-0.0937481</v>
      </c>
      <c r="I525">
        <v>-0.0633599</v>
      </c>
      <c r="J525">
        <v>-0.0423132</v>
      </c>
      <c r="K525">
        <v>-0.0212664</v>
      </c>
      <c r="L525">
        <v>0.0091218</v>
      </c>
      <c r="M525">
        <v>3.742315</v>
      </c>
      <c r="N525">
        <v>21323.71</v>
      </c>
      <c r="O525">
        <v>194.5749942</v>
      </c>
      <c r="P525">
        <v>3692.021</v>
      </c>
      <c r="Q525">
        <v>3933.121</v>
      </c>
    </row>
    <row r="526" spans="1:17" ht="12.75">
      <c r="A526" t="s">
        <v>37</v>
      </c>
      <c r="B526" s="93">
        <v>40449</v>
      </c>
      <c r="C526">
        <v>21</v>
      </c>
      <c r="D526">
        <v>0.4988937</v>
      </c>
      <c r="E526">
        <v>0.5246782</v>
      </c>
      <c r="F526">
        <v>72.966</v>
      </c>
      <c r="G526">
        <v>0.4287025</v>
      </c>
      <c r="H526">
        <v>-0.0767601</v>
      </c>
      <c r="I526">
        <v>-0.0466433</v>
      </c>
      <c r="J526">
        <v>-0.0257845</v>
      </c>
      <c r="K526">
        <v>-0.0049257</v>
      </c>
      <c r="L526">
        <v>0.025191</v>
      </c>
      <c r="M526">
        <v>3.742315</v>
      </c>
      <c r="N526">
        <v>21323.71</v>
      </c>
      <c r="O526">
        <v>193.6485716</v>
      </c>
      <c r="P526">
        <v>2842.696</v>
      </c>
      <c r="Q526">
        <v>2989.616</v>
      </c>
    </row>
    <row r="527" spans="1:17" ht="12.75">
      <c r="A527" t="s">
        <v>37</v>
      </c>
      <c r="B527" s="93">
        <v>40449</v>
      </c>
      <c r="C527">
        <v>22</v>
      </c>
      <c r="D527">
        <v>0.3711652</v>
      </c>
      <c r="E527">
        <v>0.3878222</v>
      </c>
      <c r="F527">
        <v>72.0356</v>
      </c>
      <c r="G527">
        <v>0.4287025</v>
      </c>
      <c r="H527">
        <v>-0.0674927</v>
      </c>
      <c r="I527">
        <v>-0.0374586</v>
      </c>
      <c r="J527">
        <v>-0.016657</v>
      </c>
      <c r="K527">
        <v>0.0041446</v>
      </c>
      <c r="L527">
        <v>0.0341787</v>
      </c>
      <c r="M527">
        <v>3.742315</v>
      </c>
      <c r="N527">
        <v>21323.71</v>
      </c>
      <c r="O527">
        <v>193.6485716</v>
      </c>
      <c r="P527">
        <v>2114.899</v>
      </c>
      <c r="Q527">
        <v>2209.811</v>
      </c>
    </row>
    <row r="528" spans="1:17" ht="12.75">
      <c r="A528" t="s">
        <v>37</v>
      </c>
      <c r="B528" s="93">
        <v>40449</v>
      </c>
      <c r="C528">
        <v>23</v>
      </c>
      <c r="D528">
        <v>0.2642969</v>
      </c>
      <c r="E528">
        <v>0.2749912</v>
      </c>
      <c r="F528">
        <v>71.0816</v>
      </c>
      <c r="G528">
        <v>0.4287025</v>
      </c>
      <c r="H528">
        <v>-0.0615366</v>
      </c>
      <c r="I528">
        <v>-0.0314986</v>
      </c>
      <c r="J528">
        <v>-0.0106943</v>
      </c>
      <c r="K528">
        <v>0.0101099</v>
      </c>
      <c r="L528">
        <v>0.040148</v>
      </c>
      <c r="M528">
        <v>3.742315</v>
      </c>
      <c r="N528">
        <v>21323.71</v>
      </c>
      <c r="O528">
        <v>193.6485716</v>
      </c>
      <c r="P528">
        <v>1505.964</v>
      </c>
      <c r="Q528">
        <v>1566.9</v>
      </c>
    </row>
    <row r="529" spans="1:17" ht="12.75">
      <c r="A529" t="s">
        <v>37</v>
      </c>
      <c r="B529" s="93">
        <v>40449</v>
      </c>
      <c r="C529">
        <v>24</v>
      </c>
      <c r="D529">
        <v>0.2029889</v>
      </c>
      <c r="E529">
        <v>0.2098004</v>
      </c>
      <c r="F529">
        <v>70.2006</v>
      </c>
      <c r="G529">
        <v>0.4287025</v>
      </c>
      <c r="H529">
        <v>-0.0576808</v>
      </c>
      <c r="I529">
        <v>-0.0276268</v>
      </c>
      <c r="J529">
        <v>-0.0068115</v>
      </c>
      <c r="K529">
        <v>0.0140038</v>
      </c>
      <c r="L529">
        <v>0.0440578</v>
      </c>
      <c r="M529">
        <v>3.742315</v>
      </c>
      <c r="N529">
        <v>21323.71</v>
      </c>
      <c r="O529">
        <v>193.6485716</v>
      </c>
      <c r="P529">
        <v>1156.63</v>
      </c>
      <c r="Q529">
        <v>1195.443</v>
      </c>
    </row>
    <row r="530" spans="1:17" ht="12.75">
      <c r="A530" t="s">
        <v>37</v>
      </c>
      <c r="B530" s="93">
        <v>40450</v>
      </c>
      <c r="C530">
        <v>1</v>
      </c>
      <c r="D530">
        <v>0.1654217</v>
      </c>
      <c r="E530">
        <v>0.1654217</v>
      </c>
      <c r="F530">
        <v>70.0349</v>
      </c>
      <c r="G530">
        <v>0.4287025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3.742315</v>
      </c>
      <c r="N530">
        <v>21323.71</v>
      </c>
      <c r="O530">
        <v>193.6485716</v>
      </c>
      <c r="P530">
        <v>942.5728</v>
      </c>
      <c r="Q530">
        <v>942.5728</v>
      </c>
    </row>
    <row r="531" spans="1:17" ht="12.75">
      <c r="A531" t="s">
        <v>37</v>
      </c>
      <c r="B531" s="93">
        <v>40450</v>
      </c>
      <c r="C531">
        <v>2</v>
      </c>
      <c r="D531">
        <v>0.1538476</v>
      </c>
      <c r="E531">
        <v>0.1538476</v>
      </c>
      <c r="F531">
        <v>68.9222</v>
      </c>
      <c r="G531">
        <v>0.4287025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3.742315</v>
      </c>
      <c r="N531">
        <v>21323.71</v>
      </c>
      <c r="O531">
        <v>193.6485716</v>
      </c>
      <c r="P531">
        <v>876.6235</v>
      </c>
      <c r="Q531">
        <v>876.6235</v>
      </c>
    </row>
    <row r="532" spans="1:17" ht="12.75">
      <c r="A532" t="s">
        <v>37</v>
      </c>
      <c r="B532" s="93">
        <v>40450</v>
      </c>
      <c r="C532">
        <v>3</v>
      </c>
      <c r="D532">
        <v>0.1398735</v>
      </c>
      <c r="E532">
        <v>0.1398735</v>
      </c>
      <c r="F532">
        <v>68.054</v>
      </c>
      <c r="G532">
        <v>0.4287025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3.742315</v>
      </c>
      <c r="N532">
        <v>21323.71</v>
      </c>
      <c r="O532">
        <v>193.6485716</v>
      </c>
      <c r="P532">
        <v>796.9993</v>
      </c>
      <c r="Q532">
        <v>796.9993</v>
      </c>
    </row>
    <row r="533" spans="1:17" ht="12.75">
      <c r="A533" t="s">
        <v>37</v>
      </c>
      <c r="B533" s="93">
        <v>40450</v>
      </c>
      <c r="C533">
        <v>4</v>
      </c>
      <c r="D533">
        <v>0.1353553</v>
      </c>
      <c r="E533">
        <v>0.1353553</v>
      </c>
      <c r="F533">
        <v>68.2158</v>
      </c>
      <c r="G533">
        <v>0.4287025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3.742315</v>
      </c>
      <c r="N533">
        <v>21323.71</v>
      </c>
      <c r="O533">
        <v>193.6485716</v>
      </c>
      <c r="P533">
        <v>771.2547</v>
      </c>
      <c r="Q533">
        <v>771.2547</v>
      </c>
    </row>
    <row r="534" spans="1:17" ht="12.75">
      <c r="A534" t="s">
        <v>37</v>
      </c>
      <c r="B534" s="93">
        <v>40450</v>
      </c>
      <c r="C534">
        <v>5</v>
      </c>
      <c r="D534">
        <v>0.1368961</v>
      </c>
      <c r="E534">
        <v>0.1368961</v>
      </c>
      <c r="F534">
        <v>67.4205</v>
      </c>
      <c r="G534">
        <v>0.4287025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3.742315</v>
      </c>
      <c r="N534">
        <v>21323.71</v>
      </c>
      <c r="O534">
        <v>193.6485716</v>
      </c>
      <c r="P534">
        <v>780.0341</v>
      </c>
      <c r="Q534">
        <v>780.0341</v>
      </c>
    </row>
    <row r="535" spans="1:17" ht="12.75">
      <c r="A535" t="s">
        <v>37</v>
      </c>
      <c r="B535" s="93">
        <v>40450</v>
      </c>
      <c r="C535">
        <v>6</v>
      </c>
      <c r="D535">
        <v>0.1552552</v>
      </c>
      <c r="E535">
        <v>0.1552552</v>
      </c>
      <c r="F535">
        <v>66.9053</v>
      </c>
      <c r="G535">
        <v>0.4287025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3.742315</v>
      </c>
      <c r="N535">
        <v>21323.71</v>
      </c>
      <c r="O535">
        <v>193.6485716</v>
      </c>
      <c r="P535">
        <v>884.6439</v>
      </c>
      <c r="Q535">
        <v>884.6439</v>
      </c>
    </row>
    <row r="536" spans="1:17" ht="12.75">
      <c r="A536" t="s">
        <v>37</v>
      </c>
      <c r="B536" s="93">
        <v>40450</v>
      </c>
      <c r="C536">
        <v>7</v>
      </c>
      <c r="D536">
        <v>0.1963515</v>
      </c>
      <c r="E536">
        <v>0.1963515</v>
      </c>
      <c r="F536">
        <v>67.7407</v>
      </c>
      <c r="G536">
        <v>0.4287025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3.742315</v>
      </c>
      <c r="N536">
        <v>21323.71</v>
      </c>
      <c r="O536">
        <v>193.6485716</v>
      </c>
      <c r="P536">
        <v>1118.811</v>
      </c>
      <c r="Q536">
        <v>1118.811</v>
      </c>
    </row>
    <row r="537" spans="1:17" ht="12.75">
      <c r="A537" t="s">
        <v>37</v>
      </c>
      <c r="B537" s="93">
        <v>40450</v>
      </c>
      <c r="C537">
        <v>8</v>
      </c>
      <c r="D537">
        <v>0.3750937</v>
      </c>
      <c r="E537">
        <v>0.3750937</v>
      </c>
      <c r="F537">
        <v>70.6047</v>
      </c>
      <c r="G537">
        <v>0.4287025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3.742315</v>
      </c>
      <c r="N537">
        <v>21323.71</v>
      </c>
      <c r="O537">
        <v>193.6485716</v>
      </c>
      <c r="P537">
        <v>2137.284</v>
      </c>
      <c r="Q537">
        <v>2137.284</v>
      </c>
    </row>
    <row r="538" spans="1:17" ht="12.75">
      <c r="A538" t="s">
        <v>37</v>
      </c>
      <c r="B538" s="93">
        <v>40450</v>
      </c>
      <c r="C538">
        <v>9</v>
      </c>
      <c r="D538">
        <v>0.5844737</v>
      </c>
      <c r="E538">
        <v>0.5844737</v>
      </c>
      <c r="F538">
        <v>75.638</v>
      </c>
      <c r="G538">
        <v>0.4287025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3.742315</v>
      </c>
      <c r="N538">
        <v>21323.71</v>
      </c>
      <c r="O538">
        <v>193.6485716</v>
      </c>
      <c r="P538">
        <v>3330.331</v>
      </c>
      <c r="Q538">
        <v>3330.331</v>
      </c>
    </row>
    <row r="539" spans="1:17" ht="12.75">
      <c r="A539" t="s">
        <v>37</v>
      </c>
      <c r="B539" s="93">
        <v>40450</v>
      </c>
      <c r="C539">
        <v>10</v>
      </c>
      <c r="D539">
        <v>0.871841</v>
      </c>
      <c r="E539">
        <v>0.871841</v>
      </c>
      <c r="F539">
        <v>79.3195</v>
      </c>
      <c r="G539">
        <v>0.430317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3.742315</v>
      </c>
      <c r="N539">
        <v>21323.71</v>
      </c>
      <c r="O539">
        <v>194.5749942</v>
      </c>
      <c r="P539">
        <v>4967.75</v>
      </c>
      <c r="Q539">
        <v>4967.75</v>
      </c>
    </row>
    <row r="540" spans="1:17" ht="12.75">
      <c r="A540" t="s">
        <v>37</v>
      </c>
      <c r="B540" s="93">
        <v>40450</v>
      </c>
      <c r="C540">
        <v>11</v>
      </c>
      <c r="D540">
        <v>1.229394</v>
      </c>
      <c r="E540">
        <v>1.229394</v>
      </c>
      <c r="F540">
        <v>84.3528</v>
      </c>
      <c r="G540">
        <v>0.430317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3.742315</v>
      </c>
      <c r="N540">
        <v>21323.71</v>
      </c>
      <c r="O540">
        <v>194.5749942</v>
      </c>
      <c r="P540">
        <v>7005.084</v>
      </c>
      <c r="Q540">
        <v>7005.084</v>
      </c>
    </row>
    <row r="541" spans="1:17" ht="12.75">
      <c r="A541" t="s">
        <v>37</v>
      </c>
      <c r="B541" s="93">
        <v>40450</v>
      </c>
      <c r="C541">
        <v>12</v>
      </c>
      <c r="D541">
        <v>1.461482</v>
      </c>
      <c r="E541">
        <v>1.461482</v>
      </c>
      <c r="F541">
        <v>83.2001</v>
      </c>
      <c r="G541">
        <v>0.430317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3.742315</v>
      </c>
      <c r="N541">
        <v>21323.71</v>
      </c>
      <c r="O541">
        <v>194.5749942</v>
      </c>
      <c r="P541">
        <v>8327.523</v>
      </c>
      <c r="Q541">
        <v>8327.523</v>
      </c>
    </row>
    <row r="542" spans="1:17" ht="12.75">
      <c r="A542" t="s">
        <v>37</v>
      </c>
      <c r="B542" s="93">
        <v>40450</v>
      </c>
      <c r="C542">
        <v>13</v>
      </c>
      <c r="D542">
        <v>1.563342</v>
      </c>
      <c r="E542">
        <v>1.563342</v>
      </c>
      <c r="F542">
        <v>84.957</v>
      </c>
      <c r="G542">
        <v>0.430317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3.742315</v>
      </c>
      <c r="N542">
        <v>21323.71</v>
      </c>
      <c r="O542">
        <v>194.5749942</v>
      </c>
      <c r="P542">
        <v>8907.925</v>
      </c>
      <c r="Q542">
        <v>8907.925</v>
      </c>
    </row>
    <row r="543" spans="1:17" ht="12.75">
      <c r="A543" t="s">
        <v>37</v>
      </c>
      <c r="B543" s="93">
        <v>40450</v>
      </c>
      <c r="C543">
        <v>14</v>
      </c>
      <c r="D543">
        <v>1.584883</v>
      </c>
      <c r="E543">
        <v>1.584883</v>
      </c>
      <c r="F543">
        <v>85.2303</v>
      </c>
      <c r="G543">
        <v>0.430317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3.742315</v>
      </c>
      <c r="N543">
        <v>21323.71</v>
      </c>
      <c r="O543">
        <v>194.5749942</v>
      </c>
      <c r="P543">
        <v>9030.661</v>
      </c>
      <c r="Q543">
        <v>9030.661</v>
      </c>
    </row>
    <row r="544" spans="1:17" ht="12.75">
      <c r="A544" t="s">
        <v>37</v>
      </c>
      <c r="B544" s="93">
        <v>40450</v>
      </c>
      <c r="C544">
        <v>15</v>
      </c>
      <c r="D544">
        <v>1.605897</v>
      </c>
      <c r="E544">
        <v>1.359075</v>
      </c>
      <c r="F544">
        <v>83.0358</v>
      </c>
      <c r="G544">
        <v>0.430317</v>
      </c>
      <c r="H544">
        <v>0.1956693</v>
      </c>
      <c r="I544">
        <v>0.2258905</v>
      </c>
      <c r="J544">
        <v>0.2468215</v>
      </c>
      <c r="K544">
        <v>0.2677526</v>
      </c>
      <c r="L544">
        <v>0.2979737</v>
      </c>
      <c r="M544">
        <v>3.742315</v>
      </c>
      <c r="N544">
        <v>21323.71</v>
      </c>
      <c r="O544">
        <v>194.5749942</v>
      </c>
      <c r="P544">
        <v>9150.4</v>
      </c>
      <c r="Q544">
        <v>7744.012</v>
      </c>
    </row>
    <row r="545" spans="1:17" ht="12.75">
      <c r="A545" t="s">
        <v>37</v>
      </c>
      <c r="B545" s="93">
        <v>40450</v>
      </c>
      <c r="C545">
        <v>16</v>
      </c>
      <c r="D545">
        <v>1.612195</v>
      </c>
      <c r="E545">
        <v>1.356875</v>
      </c>
      <c r="F545">
        <v>82.2648</v>
      </c>
      <c r="G545">
        <v>0.430317</v>
      </c>
      <c r="H545">
        <v>0.204154</v>
      </c>
      <c r="I545">
        <v>0.2343834</v>
      </c>
      <c r="J545">
        <v>0.2553202</v>
      </c>
      <c r="K545">
        <v>0.276257</v>
      </c>
      <c r="L545">
        <v>0.3064864</v>
      </c>
      <c r="M545">
        <v>3.742315</v>
      </c>
      <c r="N545">
        <v>21323.71</v>
      </c>
      <c r="O545">
        <v>194.5749942</v>
      </c>
      <c r="P545">
        <v>9186.286</v>
      </c>
      <c r="Q545">
        <v>7731.472</v>
      </c>
    </row>
    <row r="546" spans="1:17" ht="12.75">
      <c r="A546" t="s">
        <v>37</v>
      </c>
      <c r="B546" s="93">
        <v>40450</v>
      </c>
      <c r="C546">
        <v>17</v>
      </c>
      <c r="D546">
        <v>1.514025</v>
      </c>
      <c r="E546">
        <v>1.253814</v>
      </c>
      <c r="F546">
        <v>80.3409</v>
      </c>
      <c r="G546">
        <v>0.430317</v>
      </c>
      <c r="H546">
        <v>0.209027</v>
      </c>
      <c r="I546">
        <v>0.2392669</v>
      </c>
      <c r="J546">
        <v>0.260211</v>
      </c>
      <c r="K546">
        <v>0.2811551</v>
      </c>
      <c r="L546">
        <v>0.311395</v>
      </c>
      <c r="M546">
        <v>3.742315</v>
      </c>
      <c r="N546">
        <v>21323.71</v>
      </c>
      <c r="O546">
        <v>194.5749942</v>
      </c>
      <c r="P546">
        <v>8626.916</v>
      </c>
      <c r="Q546">
        <v>7144.234</v>
      </c>
    </row>
    <row r="547" spans="1:17" ht="12.75">
      <c r="A547" t="s">
        <v>37</v>
      </c>
      <c r="B547" s="93">
        <v>40450</v>
      </c>
      <c r="C547">
        <v>18</v>
      </c>
      <c r="D547">
        <v>1.230159</v>
      </c>
      <c r="E547">
        <v>0.9660149</v>
      </c>
      <c r="F547">
        <v>79.2519</v>
      </c>
      <c r="G547">
        <v>0.430317</v>
      </c>
      <c r="H547">
        <v>0.2123947</v>
      </c>
      <c r="I547">
        <v>0.2429685</v>
      </c>
      <c r="J547">
        <v>0.2641438</v>
      </c>
      <c r="K547">
        <v>0.2853191</v>
      </c>
      <c r="L547">
        <v>0.3158929</v>
      </c>
      <c r="M547">
        <v>3.742315</v>
      </c>
      <c r="N547">
        <v>21323.71</v>
      </c>
      <c r="O547">
        <v>194.5749942</v>
      </c>
      <c r="P547">
        <v>7009.444</v>
      </c>
      <c r="Q547">
        <v>5504.353</v>
      </c>
    </row>
    <row r="548" spans="1:17" ht="12.75">
      <c r="A548" t="s">
        <v>37</v>
      </c>
      <c r="B548" s="93">
        <v>40450</v>
      </c>
      <c r="C548">
        <v>19</v>
      </c>
      <c r="D548">
        <v>0.848289</v>
      </c>
      <c r="E548">
        <v>0.9114738</v>
      </c>
      <c r="F548">
        <v>74.3954</v>
      </c>
      <c r="G548">
        <v>0.430317</v>
      </c>
      <c r="H548">
        <v>-0.1153984</v>
      </c>
      <c r="I548">
        <v>-0.0845502</v>
      </c>
      <c r="J548">
        <v>-0.0631848</v>
      </c>
      <c r="K548">
        <v>-0.0418194</v>
      </c>
      <c r="L548">
        <v>-0.0109712</v>
      </c>
      <c r="M548">
        <v>3.742315</v>
      </c>
      <c r="N548">
        <v>21323.71</v>
      </c>
      <c r="O548">
        <v>194.5749942</v>
      </c>
      <c r="P548">
        <v>4833.55</v>
      </c>
      <c r="Q548">
        <v>5193.578</v>
      </c>
    </row>
    <row r="549" spans="1:17" ht="12.75">
      <c r="A549" t="s">
        <v>37</v>
      </c>
      <c r="B549" s="93">
        <v>40450</v>
      </c>
      <c r="C549">
        <v>20</v>
      </c>
      <c r="D549">
        <v>0.5979559</v>
      </c>
      <c r="E549">
        <v>0.6393412</v>
      </c>
      <c r="F549">
        <v>72.0339</v>
      </c>
      <c r="G549">
        <v>0.430317</v>
      </c>
      <c r="H549">
        <v>-0.0925407</v>
      </c>
      <c r="I549">
        <v>-0.0623177</v>
      </c>
      <c r="J549">
        <v>-0.0413854</v>
      </c>
      <c r="K549">
        <v>-0.020453</v>
      </c>
      <c r="L549">
        <v>0.0097699</v>
      </c>
      <c r="M549">
        <v>3.742315</v>
      </c>
      <c r="N549">
        <v>21323.71</v>
      </c>
      <c r="O549">
        <v>194.5749942</v>
      </c>
      <c r="P549">
        <v>3407.153</v>
      </c>
      <c r="Q549">
        <v>3642.966</v>
      </c>
    </row>
    <row r="550" spans="1:17" ht="12.75">
      <c r="A550" t="s">
        <v>37</v>
      </c>
      <c r="B550" s="93">
        <v>40450</v>
      </c>
      <c r="C550">
        <v>21</v>
      </c>
      <c r="D550">
        <v>0.4612815</v>
      </c>
      <c r="E550">
        <v>0.4881546</v>
      </c>
      <c r="F550">
        <v>70.7303</v>
      </c>
      <c r="G550">
        <v>0.430317</v>
      </c>
      <c r="H550">
        <v>-0.0775745</v>
      </c>
      <c r="I550">
        <v>-0.0476197</v>
      </c>
      <c r="J550">
        <v>-0.0268731</v>
      </c>
      <c r="K550">
        <v>-0.0061265</v>
      </c>
      <c r="L550">
        <v>0.0238283</v>
      </c>
      <c r="M550">
        <v>3.742315</v>
      </c>
      <c r="N550">
        <v>21323.71</v>
      </c>
      <c r="O550">
        <v>194.5749942</v>
      </c>
      <c r="P550">
        <v>2628.382</v>
      </c>
      <c r="Q550">
        <v>2781.505</v>
      </c>
    </row>
    <row r="551" spans="1:17" ht="12.75">
      <c r="A551" t="s">
        <v>37</v>
      </c>
      <c r="B551" s="93">
        <v>40450</v>
      </c>
      <c r="C551">
        <v>22</v>
      </c>
      <c r="D551">
        <v>0.3418978</v>
      </c>
      <c r="E551">
        <v>0.3591824</v>
      </c>
      <c r="F551">
        <v>69.8491</v>
      </c>
      <c r="G551">
        <v>0.430317</v>
      </c>
      <c r="H551">
        <v>-0.0677936</v>
      </c>
      <c r="I551">
        <v>-0.0379525</v>
      </c>
      <c r="J551">
        <v>-0.0172846</v>
      </c>
      <c r="K551">
        <v>0.0033832</v>
      </c>
      <c r="L551">
        <v>0.0332244</v>
      </c>
      <c r="M551">
        <v>3.742315</v>
      </c>
      <c r="N551">
        <v>21323.71</v>
      </c>
      <c r="O551">
        <v>194.5749942</v>
      </c>
      <c r="P551">
        <v>1948.133</v>
      </c>
      <c r="Q551">
        <v>2046.621</v>
      </c>
    </row>
    <row r="552" spans="1:17" ht="12.75">
      <c r="A552" t="s">
        <v>37</v>
      </c>
      <c r="B552" s="93">
        <v>40450</v>
      </c>
      <c r="C552">
        <v>23</v>
      </c>
      <c r="D552">
        <v>0.2449985</v>
      </c>
      <c r="E552">
        <v>0.2560586</v>
      </c>
      <c r="F552">
        <v>69.1757</v>
      </c>
      <c r="G552">
        <v>0.430317</v>
      </c>
      <c r="H552">
        <v>-0.0615204</v>
      </c>
      <c r="I552">
        <v>-0.031708</v>
      </c>
      <c r="J552">
        <v>-0.0110601</v>
      </c>
      <c r="K552">
        <v>0.0095878</v>
      </c>
      <c r="L552">
        <v>0.0394001</v>
      </c>
      <c r="M552">
        <v>3.742315</v>
      </c>
      <c r="N552">
        <v>21323.71</v>
      </c>
      <c r="O552">
        <v>194.5749942</v>
      </c>
      <c r="P552">
        <v>1396.001</v>
      </c>
      <c r="Q552">
        <v>1459.022</v>
      </c>
    </row>
    <row r="553" spans="1:17" ht="12.75">
      <c r="A553" t="s">
        <v>37</v>
      </c>
      <c r="B553" s="93">
        <v>40450</v>
      </c>
      <c r="C553">
        <v>24</v>
      </c>
      <c r="D553">
        <v>0.1870289</v>
      </c>
      <c r="E553">
        <v>0.1938519</v>
      </c>
      <c r="F553">
        <v>68.6909</v>
      </c>
      <c r="G553">
        <v>0.4274309</v>
      </c>
      <c r="H553">
        <v>-0.0571</v>
      </c>
      <c r="I553">
        <v>-0.027396</v>
      </c>
      <c r="J553">
        <v>-0.0068231</v>
      </c>
      <c r="K553">
        <v>0.0137498</v>
      </c>
      <c r="L553">
        <v>0.0434538</v>
      </c>
      <c r="M553">
        <v>3.742315</v>
      </c>
      <c r="N553">
        <v>21323.71</v>
      </c>
      <c r="O553">
        <v>193.4551595</v>
      </c>
      <c r="P553">
        <v>1065.69</v>
      </c>
      <c r="Q553">
        <v>1104.568</v>
      </c>
    </row>
    <row r="554" spans="1:17" ht="12.75">
      <c r="A554" t="s">
        <v>37</v>
      </c>
      <c r="B554" t="s">
        <v>43</v>
      </c>
      <c r="C554">
        <v>1</v>
      </c>
      <c r="D554">
        <v>0.1688916</v>
      </c>
      <c r="E554">
        <v>0.1688916</v>
      </c>
      <c r="F554">
        <v>68.6958</v>
      </c>
      <c r="G554">
        <v>0.4278026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3.742315</v>
      </c>
      <c r="N554">
        <v>21323.71</v>
      </c>
      <c r="O554">
        <v>198.0113298</v>
      </c>
      <c r="P554">
        <v>962.3444</v>
      </c>
      <c r="Q554">
        <v>962.3444</v>
      </c>
    </row>
    <row r="555" spans="1:17" ht="12.75">
      <c r="A555" t="s">
        <v>37</v>
      </c>
      <c r="B555" t="s">
        <v>43</v>
      </c>
      <c r="C555">
        <v>2</v>
      </c>
      <c r="D555">
        <v>0.1553182</v>
      </c>
      <c r="E555">
        <v>0.1553182</v>
      </c>
      <c r="F555">
        <v>68.0434</v>
      </c>
      <c r="G555">
        <v>0.4280365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3.742315</v>
      </c>
      <c r="N555">
        <v>21323.71</v>
      </c>
      <c r="O555">
        <v>197.9095267</v>
      </c>
      <c r="P555">
        <v>885.0033</v>
      </c>
      <c r="Q555">
        <v>885.0033</v>
      </c>
    </row>
    <row r="556" spans="1:17" ht="12.75">
      <c r="A556" t="s">
        <v>37</v>
      </c>
      <c r="B556" t="s">
        <v>43</v>
      </c>
      <c r="C556">
        <v>3</v>
      </c>
      <c r="D556">
        <v>0.1410524</v>
      </c>
      <c r="E556">
        <v>0.1410524</v>
      </c>
      <c r="F556">
        <v>67.838</v>
      </c>
      <c r="G556">
        <v>0.4280754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3.742315</v>
      </c>
      <c r="N556">
        <v>21323.71</v>
      </c>
      <c r="O556">
        <v>198.0113298</v>
      </c>
      <c r="P556">
        <v>803.7164</v>
      </c>
      <c r="Q556">
        <v>803.7164</v>
      </c>
    </row>
    <row r="557" spans="1:17" ht="12.75">
      <c r="A557" t="s">
        <v>37</v>
      </c>
      <c r="B557" t="s">
        <v>43</v>
      </c>
      <c r="C557">
        <v>4</v>
      </c>
      <c r="D557">
        <v>0.1359734</v>
      </c>
      <c r="E557">
        <v>0.1359734</v>
      </c>
      <c r="F557">
        <v>67.6922</v>
      </c>
      <c r="G557">
        <v>0.4281293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3.742315</v>
      </c>
      <c r="N557">
        <v>21323.71</v>
      </c>
      <c r="O557">
        <v>197.9937469</v>
      </c>
      <c r="P557">
        <v>774.7766</v>
      </c>
      <c r="Q557">
        <v>774.7766</v>
      </c>
    </row>
    <row r="558" spans="1:17" ht="12.75">
      <c r="A558" t="s">
        <v>37</v>
      </c>
      <c r="B558" t="s">
        <v>43</v>
      </c>
      <c r="C558">
        <v>5</v>
      </c>
      <c r="D558">
        <v>0.1369151</v>
      </c>
      <c r="E558">
        <v>0.1369151</v>
      </c>
      <c r="F558">
        <v>67.1798</v>
      </c>
      <c r="G558">
        <v>0.427569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3.742315</v>
      </c>
      <c r="N558">
        <v>21323.71</v>
      </c>
      <c r="O558">
        <v>198.2991564</v>
      </c>
      <c r="P558">
        <v>780.1423</v>
      </c>
      <c r="Q558">
        <v>780.1423</v>
      </c>
    </row>
    <row r="559" spans="1:17" ht="12.75">
      <c r="A559" t="s">
        <v>37</v>
      </c>
      <c r="B559" t="s">
        <v>43</v>
      </c>
      <c r="C559">
        <v>6</v>
      </c>
      <c r="D559">
        <v>0.1567195</v>
      </c>
      <c r="E559">
        <v>0.1567195</v>
      </c>
      <c r="F559">
        <v>66.975</v>
      </c>
      <c r="G559">
        <v>0.4277557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3.742315</v>
      </c>
      <c r="N559">
        <v>21323.71</v>
      </c>
      <c r="O559">
        <v>198.1973532</v>
      </c>
      <c r="P559">
        <v>892.9877</v>
      </c>
      <c r="Q559">
        <v>892.9877</v>
      </c>
    </row>
    <row r="560" spans="1:17" ht="12.75">
      <c r="A560" t="s">
        <v>37</v>
      </c>
      <c r="B560" t="s">
        <v>43</v>
      </c>
      <c r="C560">
        <v>7</v>
      </c>
      <c r="D560">
        <v>0.1900357</v>
      </c>
      <c r="E560">
        <v>0.1900357</v>
      </c>
      <c r="F560">
        <v>68.4646</v>
      </c>
      <c r="G560">
        <v>0.4277557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3.742315</v>
      </c>
      <c r="N560">
        <v>21323.71</v>
      </c>
      <c r="O560">
        <v>198.1973532</v>
      </c>
      <c r="P560">
        <v>1082.824</v>
      </c>
      <c r="Q560">
        <v>1082.824</v>
      </c>
    </row>
    <row r="561" spans="1:17" ht="12.75">
      <c r="A561" t="s">
        <v>37</v>
      </c>
      <c r="B561" t="s">
        <v>43</v>
      </c>
      <c r="C561">
        <v>8</v>
      </c>
      <c r="D561">
        <v>0.3752705</v>
      </c>
      <c r="E561">
        <v>0.3752705</v>
      </c>
      <c r="F561">
        <v>72.8194</v>
      </c>
      <c r="G561">
        <v>0.4278105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3.742315</v>
      </c>
      <c r="N561">
        <v>21323.71</v>
      </c>
      <c r="O561">
        <v>198.1797703</v>
      </c>
      <c r="P561">
        <v>2138.291</v>
      </c>
      <c r="Q561">
        <v>2138.291</v>
      </c>
    </row>
    <row r="562" spans="1:17" ht="12.75">
      <c r="A562" t="s">
        <v>37</v>
      </c>
      <c r="B562" t="s">
        <v>43</v>
      </c>
      <c r="C562">
        <v>9</v>
      </c>
      <c r="D562">
        <v>0.6182884</v>
      </c>
      <c r="E562">
        <v>0.6182884</v>
      </c>
      <c r="F562">
        <v>78.0809</v>
      </c>
      <c r="G562">
        <v>0.4273932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3.742315</v>
      </c>
      <c r="N562">
        <v>21323.71</v>
      </c>
      <c r="O562">
        <v>198.5694</v>
      </c>
      <c r="P562">
        <v>3523.007</v>
      </c>
      <c r="Q562">
        <v>3523.007</v>
      </c>
    </row>
    <row r="563" spans="1:17" ht="12.75">
      <c r="A563" t="s">
        <v>37</v>
      </c>
      <c r="B563" t="s">
        <v>43</v>
      </c>
      <c r="C563">
        <v>10</v>
      </c>
      <c r="D563">
        <v>0.9469549</v>
      </c>
      <c r="E563">
        <v>0.9469549</v>
      </c>
      <c r="F563">
        <v>82.3195</v>
      </c>
      <c r="G563">
        <v>0.4272101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3.742315</v>
      </c>
      <c r="N563">
        <v>21323.71</v>
      </c>
      <c r="O563">
        <v>198.6712031</v>
      </c>
      <c r="P563">
        <v>5395.749</v>
      </c>
      <c r="Q563">
        <v>5395.749</v>
      </c>
    </row>
    <row r="564" spans="1:17" ht="12.75">
      <c r="A564" t="s">
        <v>37</v>
      </c>
      <c r="B564" t="s">
        <v>43</v>
      </c>
      <c r="C564">
        <v>11</v>
      </c>
      <c r="D564">
        <v>1.340804</v>
      </c>
      <c r="E564">
        <v>1.340804</v>
      </c>
      <c r="F564">
        <v>85.3514</v>
      </c>
      <c r="G564">
        <v>0.4275836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3.742315</v>
      </c>
      <c r="N564">
        <v>21323.71</v>
      </c>
      <c r="O564">
        <v>198.4675968</v>
      </c>
      <c r="P564">
        <v>7639.899</v>
      </c>
      <c r="Q564">
        <v>7639.899</v>
      </c>
    </row>
    <row r="565" spans="1:17" ht="12.75">
      <c r="A565" t="s">
        <v>37</v>
      </c>
      <c r="B565" t="s">
        <v>43</v>
      </c>
      <c r="C565">
        <v>12</v>
      </c>
      <c r="D565">
        <v>1.620396</v>
      </c>
      <c r="E565">
        <v>1.620396</v>
      </c>
      <c r="F565">
        <v>86.3723</v>
      </c>
      <c r="G565">
        <v>0.4275836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3.742315</v>
      </c>
      <c r="N565">
        <v>21323.71</v>
      </c>
      <c r="O565">
        <v>198.4675968</v>
      </c>
      <c r="P565">
        <v>9233.018</v>
      </c>
      <c r="Q565">
        <v>9233.018</v>
      </c>
    </row>
    <row r="566" spans="1:17" ht="12.75">
      <c r="A566" t="s">
        <v>37</v>
      </c>
      <c r="B566" t="s">
        <v>43</v>
      </c>
      <c r="C566">
        <v>13</v>
      </c>
      <c r="D566">
        <v>1.730365</v>
      </c>
      <c r="E566">
        <v>1.730365</v>
      </c>
      <c r="F566">
        <v>86.9995</v>
      </c>
      <c r="G566">
        <v>0.4277557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3.742315</v>
      </c>
      <c r="N566">
        <v>21323.71</v>
      </c>
      <c r="O566">
        <v>198.1973532</v>
      </c>
      <c r="P566">
        <v>9859.618</v>
      </c>
      <c r="Q566">
        <v>9859.618</v>
      </c>
    </row>
    <row r="567" spans="1:17" ht="12.75">
      <c r="A567" t="s">
        <v>37</v>
      </c>
      <c r="B567" t="s">
        <v>43</v>
      </c>
      <c r="C567">
        <v>14</v>
      </c>
      <c r="D567">
        <v>1.647208</v>
      </c>
      <c r="E567">
        <v>1.407161</v>
      </c>
      <c r="F567">
        <v>85.9213</v>
      </c>
      <c r="G567">
        <v>0.427757</v>
      </c>
      <c r="H567">
        <v>0.1896008</v>
      </c>
      <c r="I567">
        <v>0.2194047</v>
      </c>
      <c r="J567">
        <v>0.2400468</v>
      </c>
      <c r="K567">
        <v>0.2606889</v>
      </c>
      <c r="L567">
        <v>0.2904928</v>
      </c>
      <c r="M567">
        <v>3.742315</v>
      </c>
      <c r="N567">
        <v>21323.71</v>
      </c>
      <c r="O567">
        <v>199.9031463</v>
      </c>
      <c r="P567">
        <v>9385.792</v>
      </c>
      <c r="Q567">
        <v>8018.005</v>
      </c>
    </row>
    <row r="568" spans="1:17" ht="12.75">
      <c r="A568" t="s">
        <v>37</v>
      </c>
      <c r="B568" t="s">
        <v>43</v>
      </c>
      <c r="C568">
        <v>15</v>
      </c>
      <c r="D568">
        <v>1.787541</v>
      </c>
      <c r="E568">
        <v>1.524305</v>
      </c>
      <c r="F568">
        <v>85.6352</v>
      </c>
      <c r="G568">
        <v>0.4279408</v>
      </c>
      <c r="H568">
        <v>0.2121179</v>
      </c>
      <c r="I568">
        <v>0.2423193</v>
      </c>
      <c r="J568">
        <v>0.2632367</v>
      </c>
      <c r="K568">
        <v>0.2841541</v>
      </c>
      <c r="L568">
        <v>0.3143554</v>
      </c>
      <c r="M568">
        <v>3.742315</v>
      </c>
      <c r="N568">
        <v>21323.71</v>
      </c>
      <c r="O568">
        <v>198.3833766</v>
      </c>
      <c r="P568">
        <v>10185.41</v>
      </c>
      <c r="Q568">
        <v>8685.488</v>
      </c>
    </row>
    <row r="569" spans="1:17" ht="12.75">
      <c r="A569" t="s">
        <v>37</v>
      </c>
      <c r="B569" t="s">
        <v>43</v>
      </c>
      <c r="C569">
        <v>16</v>
      </c>
      <c r="D569">
        <v>1.784346</v>
      </c>
      <c r="E569">
        <v>1.512811</v>
      </c>
      <c r="F569">
        <v>84.6214</v>
      </c>
      <c r="G569">
        <v>0.4281038</v>
      </c>
      <c r="H569">
        <v>0.2203948</v>
      </c>
      <c r="I569">
        <v>0.2506089</v>
      </c>
      <c r="J569">
        <v>0.2715351</v>
      </c>
      <c r="K569">
        <v>0.2924613</v>
      </c>
      <c r="L569">
        <v>0.3226754</v>
      </c>
      <c r="M569">
        <v>3.742315</v>
      </c>
      <c r="N569">
        <v>21323.71</v>
      </c>
      <c r="O569">
        <v>198.6184544</v>
      </c>
      <c r="P569">
        <v>10167.2</v>
      </c>
      <c r="Q569">
        <v>8619.995</v>
      </c>
    </row>
    <row r="570" spans="1:17" ht="12.75">
      <c r="A570" t="s">
        <v>37</v>
      </c>
      <c r="B570" t="s">
        <v>43</v>
      </c>
      <c r="C570">
        <v>17</v>
      </c>
      <c r="D570">
        <v>1.690188</v>
      </c>
      <c r="E570">
        <v>1.411732</v>
      </c>
      <c r="F570">
        <v>82.4905</v>
      </c>
      <c r="G570">
        <v>0.4281996</v>
      </c>
      <c r="H570">
        <v>0.2272552</v>
      </c>
      <c r="I570">
        <v>0.2575048</v>
      </c>
      <c r="J570">
        <v>0.2784556</v>
      </c>
      <c r="K570">
        <v>0.2994064</v>
      </c>
      <c r="L570">
        <v>0.329656</v>
      </c>
      <c r="M570">
        <v>3.742315</v>
      </c>
      <c r="N570">
        <v>21323.71</v>
      </c>
      <c r="O570">
        <v>198.432431</v>
      </c>
      <c r="P570">
        <v>9630.69</v>
      </c>
      <c r="Q570">
        <v>8044.051</v>
      </c>
    </row>
    <row r="571" spans="1:17" ht="12.75">
      <c r="A571" t="s">
        <v>37</v>
      </c>
      <c r="B571" t="s">
        <v>43</v>
      </c>
      <c r="C571">
        <v>18</v>
      </c>
      <c r="D571">
        <v>1.535755</v>
      </c>
      <c r="E571">
        <v>1.231697</v>
      </c>
      <c r="F571">
        <v>81.8084</v>
      </c>
      <c r="G571">
        <v>0.4275422</v>
      </c>
      <c r="H571">
        <v>0.2498113</v>
      </c>
      <c r="I571">
        <v>0.2818609</v>
      </c>
      <c r="J571">
        <v>0.3040584</v>
      </c>
      <c r="K571">
        <v>0.3262559</v>
      </c>
      <c r="L571">
        <v>0.3583055</v>
      </c>
      <c r="M571">
        <v>3.742315</v>
      </c>
      <c r="N571">
        <v>21323.71</v>
      </c>
      <c r="O571">
        <v>195.25708</v>
      </c>
      <c r="P571">
        <v>8750.734</v>
      </c>
      <c r="Q571">
        <v>7018.209</v>
      </c>
    </row>
    <row r="572" spans="1:17" ht="12.75">
      <c r="A572" t="s">
        <v>37</v>
      </c>
      <c r="B572" t="s">
        <v>43</v>
      </c>
      <c r="C572">
        <v>19</v>
      </c>
      <c r="D572">
        <v>0.9424534</v>
      </c>
      <c r="E572">
        <v>0.9925671</v>
      </c>
      <c r="F572">
        <v>76.7184</v>
      </c>
      <c r="G572">
        <v>0.4276642</v>
      </c>
      <c r="H572">
        <v>-0.1014141</v>
      </c>
      <c r="I572">
        <v>-0.0711055</v>
      </c>
      <c r="J572">
        <v>-0.0501137</v>
      </c>
      <c r="K572">
        <v>-0.029122</v>
      </c>
      <c r="L572">
        <v>0.0011866</v>
      </c>
      <c r="M572">
        <v>3.742315</v>
      </c>
      <c r="N572">
        <v>21323.71</v>
      </c>
      <c r="O572">
        <v>198.3833766</v>
      </c>
      <c r="P572">
        <v>5370.099</v>
      </c>
      <c r="Q572">
        <v>5655.647</v>
      </c>
    </row>
    <row r="573" spans="1:17" ht="12.75">
      <c r="A573" t="s">
        <v>37</v>
      </c>
      <c r="B573" t="s">
        <v>43</v>
      </c>
      <c r="C573">
        <v>20</v>
      </c>
      <c r="D573">
        <v>0.6746178</v>
      </c>
      <c r="E573">
        <v>0.7075487</v>
      </c>
      <c r="F573">
        <v>73.7968</v>
      </c>
      <c r="G573">
        <v>0.4282295</v>
      </c>
      <c r="H573">
        <v>-0.0837822</v>
      </c>
      <c r="I573">
        <v>-0.0537389</v>
      </c>
      <c r="J573">
        <v>-0.0329309</v>
      </c>
      <c r="K573">
        <v>-0.012123</v>
      </c>
      <c r="L573">
        <v>0.0179204</v>
      </c>
      <c r="M573">
        <v>3.742315</v>
      </c>
      <c r="N573">
        <v>21323.71</v>
      </c>
      <c r="O573">
        <v>198.0779672</v>
      </c>
      <c r="P573">
        <v>3843.972</v>
      </c>
      <c r="Q573">
        <v>4031.613</v>
      </c>
    </row>
    <row r="574" spans="1:17" ht="12.75">
      <c r="A574" t="s">
        <v>37</v>
      </c>
      <c r="B574" t="s">
        <v>43</v>
      </c>
      <c r="C574">
        <v>21</v>
      </c>
      <c r="D574">
        <v>0.5283722</v>
      </c>
      <c r="E574">
        <v>0.5494115</v>
      </c>
      <c r="F574">
        <v>72.2326</v>
      </c>
      <c r="G574">
        <v>0.4279884</v>
      </c>
      <c r="H574">
        <v>-0.0716604</v>
      </c>
      <c r="I574">
        <v>-0.041753</v>
      </c>
      <c r="J574">
        <v>-0.0210393</v>
      </c>
      <c r="K574">
        <v>-0.0003255</v>
      </c>
      <c r="L574">
        <v>0.0295819</v>
      </c>
      <c r="M574">
        <v>3.742315</v>
      </c>
      <c r="N574">
        <v>21323.71</v>
      </c>
      <c r="O574">
        <v>197.9095267</v>
      </c>
      <c r="P574">
        <v>3010.665</v>
      </c>
      <c r="Q574">
        <v>3130.547</v>
      </c>
    </row>
    <row r="575" spans="1:17" ht="12.75">
      <c r="A575" t="s">
        <v>37</v>
      </c>
      <c r="B575" t="s">
        <v>43</v>
      </c>
      <c r="C575">
        <v>22</v>
      </c>
      <c r="D575">
        <v>0.3872041</v>
      </c>
      <c r="E575">
        <v>0.400987</v>
      </c>
      <c r="F575">
        <v>71.2244</v>
      </c>
      <c r="G575">
        <v>0.4281367</v>
      </c>
      <c r="H575">
        <v>-0.0643074</v>
      </c>
      <c r="I575">
        <v>-0.0344571</v>
      </c>
      <c r="J575">
        <v>-0.0137829</v>
      </c>
      <c r="K575">
        <v>0.0068913</v>
      </c>
      <c r="L575">
        <v>0.0367416</v>
      </c>
      <c r="M575">
        <v>3.742315</v>
      </c>
      <c r="N575">
        <v>21323.71</v>
      </c>
      <c r="O575">
        <v>197.976164</v>
      </c>
      <c r="P575">
        <v>2206.289</v>
      </c>
      <c r="Q575">
        <v>2284.824</v>
      </c>
    </row>
    <row r="576" spans="1:17" ht="12.75">
      <c r="A576" t="s">
        <v>37</v>
      </c>
      <c r="B576" t="s">
        <v>43</v>
      </c>
      <c r="C576">
        <v>23</v>
      </c>
      <c r="D576">
        <v>0.2757222</v>
      </c>
      <c r="E576">
        <v>0.2848767</v>
      </c>
      <c r="F576">
        <v>70.3064</v>
      </c>
      <c r="G576">
        <v>0.4286848</v>
      </c>
      <c r="H576">
        <v>-0.0597126</v>
      </c>
      <c r="I576">
        <v>-0.0298425</v>
      </c>
      <c r="J576">
        <v>-0.0091546</v>
      </c>
      <c r="K576">
        <v>0.0115334</v>
      </c>
      <c r="L576">
        <v>0.0414035</v>
      </c>
      <c r="M576">
        <v>3.742315</v>
      </c>
      <c r="N576">
        <v>21323.71</v>
      </c>
      <c r="O576">
        <v>197.7901406</v>
      </c>
      <c r="P576">
        <v>1571.065</v>
      </c>
      <c r="Q576">
        <v>1623.228</v>
      </c>
    </row>
    <row r="577" spans="1:17" ht="12.75">
      <c r="A577" t="s">
        <v>37</v>
      </c>
      <c r="B577" t="s">
        <v>43</v>
      </c>
      <c r="C577">
        <v>24</v>
      </c>
      <c r="D577">
        <v>0.2108326</v>
      </c>
      <c r="E577">
        <v>0.2132609</v>
      </c>
      <c r="F577">
        <v>69.3436</v>
      </c>
      <c r="G577">
        <v>0.4280442</v>
      </c>
      <c r="H577">
        <v>-0.0347748</v>
      </c>
      <c r="I577">
        <v>-0.0156642</v>
      </c>
      <c r="J577">
        <v>-0.0024283</v>
      </c>
      <c r="K577">
        <v>0.0108076</v>
      </c>
      <c r="L577">
        <v>0.0299182</v>
      </c>
      <c r="M577">
        <v>3.742315</v>
      </c>
      <c r="N577">
        <v>21323.71</v>
      </c>
      <c r="O577">
        <v>197.6217001</v>
      </c>
      <c r="P577">
        <v>1201.324</v>
      </c>
      <c r="Q577">
        <v>1215.161</v>
      </c>
    </row>
    <row r="578" spans="1:17" ht="12.75">
      <c r="A578" t="s">
        <v>36</v>
      </c>
      <c r="B578" s="93">
        <v>40374</v>
      </c>
      <c r="C578">
        <v>1</v>
      </c>
      <c r="D578">
        <v>0.1652128</v>
      </c>
      <c r="E578">
        <v>0.1652128</v>
      </c>
      <c r="F578">
        <v>66.6734</v>
      </c>
      <c r="G578">
        <v>0.4221909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3.795576</v>
      </c>
      <c r="N578">
        <v>33454.21</v>
      </c>
      <c r="O578">
        <v>258.2171674</v>
      </c>
      <c r="P578">
        <v>1456.185</v>
      </c>
      <c r="Q578">
        <v>1456.185</v>
      </c>
    </row>
    <row r="579" spans="1:17" ht="12.75">
      <c r="A579" t="s">
        <v>36</v>
      </c>
      <c r="B579" s="93">
        <v>40374</v>
      </c>
      <c r="C579">
        <v>2</v>
      </c>
      <c r="D579">
        <v>0.156253</v>
      </c>
      <c r="E579">
        <v>0.156253</v>
      </c>
      <c r="F579">
        <v>66.766</v>
      </c>
      <c r="G579">
        <v>0.4221909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3.795576</v>
      </c>
      <c r="N579">
        <v>33454.21</v>
      </c>
      <c r="O579">
        <v>258.2171674</v>
      </c>
      <c r="P579">
        <v>1377.214</v>
      </c>
      <c r="Q579">
        <v>1377.214</v>
      </c>
    </row>
    <row r="580" spans="1:17" ht="12.75">
      <c r="A580" t="s">
        <v>36</v>
      </c>
      <c r="B580" s="93">
        <v>40374</v>
      </c>
      <c r="C580">
        <v>3</v>
      </c>
      <c r="D580">
        <v>0.1489252</v>
      </c>
      <c r="E580">
        <v>0.1489252</v>
      </c>
      <c r="F580">
        <v>66.2399</v>
      </c>
      <c r="G580">
        <v>0.4225596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3.795576</v>
      </c>
      <c r="N580">
        <v>33454.21</v>
      </c>
      <c r="O580">
        <v>257.1893608</v>
      </c>
      <c r="P580">
        <v>1312.627</v>
      </c>
      <c r="Q580">
        <v>1312.627</v>
      </c>
    </row>
    <row r="581" spans="1:17" ht="12.75">
      <c r="A581" t="s">
        <v>36</v>
      </c>
      <c r="B581" s="93">
        <v>40374</v>
      </c>
      <c r="C581">
        <v>4</v>
      </c>
      <c r="D581">
        <v>0.1415646</v>
      </c>
      <c r="E581">
        <v>0.1415646</v>
      </c>
      <c r="F581">
        <v>66.0523</v>
      </c>
      <c r="G581">
        <v>0.4230085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3.795576</v>
      </c>
      <c r="N581">
        <v>33454.21</v>
      </c>
      <c r="O581">
        <v>256.1915672</v>
      </c>
      <c r="P581">
        <v>1247.75</v>
      </c>
      <c r="Q581">
        <v>1247.75</v>
      </c>
    </row>
    <row r="582" spans="1:17" ht="12.75">
      <c r="A582" t="s">
        <v>36</v>
      </c>
      <c r="B582" s="93">
        <v>40374</v>
      </c>
      <c r="C582">
        <v>5</v>
      </c>
      <c r="D582">
        <v>0.138688</v>
      </c>
      <c r="E582">
        <v>0.138688</v>
      </c>
      <c r="F582">
        <v>65.5102</v>
      </c>
      <c r="G582">
        <v>0.4230085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3.795576</v>
      </c>
      <c r="N582">
        <v>33454.21</v>
      </c>
      <c r="O582">
        <v>256.1915672</v>
      </c>
      <c r="P582">
        <v>1222.396</v>
      </c>
      <c r="Q582">
        <v>1222.396</v>
      </c>
    </row>
    <row r="583" spans="1:17" ht="12.75">
      <c r="A583" t="s">
        <v>36</v>
      </c>
      <c r="B583" s="93">
        <v>40374</v>
      </c>
      <c r="C583">
        <v>6</v>
      </c>
      <c r="D583">
        <v>0.1455052</v>
      </c>
      <c r="E583">
        <v>0.1455052</v>
      </c>
      <c r="F583">
        <v>65.537</v>
      </c>
      <c r="G583">
        <v>0.4230085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3.795576</v>
      </c>
      <c r="N583">
        <v>33454.21</v>
      </c>
      <c r="O583">
        <v>256.1915672</v>
      </c>
      <c r="P583">
        <v>1282.483</v>
      </c>
      <c r="Q583">
        <v>1282.483</v>
      </c>
    </row>
    <row r="584" spans="1:17" ht="12.75">
      <c r="A584" t="s">
        <v>36</v>
      </c>
      <c r="B584" s="93">
        <v>40374</v>
      </c>
      <c r="C584">
        <v>7</v>
      </c>
      <c r="D584">
        <v>0.2004853</v>
      </c>
      <c r="E584">
        <v>0.2004853</v>
      </c>
      <c r="F584">
        <v>67.6005</v>
      </c>
      <c r="G584">
        <v>0.4230085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3.795576</v>
      </c>
      <c r="N584">
        <v>33454.21</v>
      </c>
      <c r="O584">
        <v>256.1915672</v>
      </c>
      <c r="P584">
        <v>1767.077</v>
      </c>
      <c r="Q584">
        <v>1767.077</v>
      </c>
    </row>
    <row r="585" spans="1:17" ht="12.75">
      <c r="A585" t="s">
        <v>36</v>
      </c>
      <c r="B585" s="93">
        <v>40374</v>
      </c>
      <c r="C585">
        <v>8</v>
      </c>
      <c r="D585">
        <v>0.3160656</v>
      </c>
      <c r="E585">
        <v>0.3160656</v>
      </c>
      <c r="F585">
        <v>71.6655</v>
      </c>
      <c r="G585">
        <v>0.4221909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3.795576</v>
      </c>
      <c r="N585">
        <v>33454.21</v>
      </c>
      <c r="O585">
        <v>258.2171674</v>
      </c>
      <c r="P585">
        <v>2785.802</v>
      </c>
      <c r="Q585">
        <v>2785.802</v>
      </c>
    </row>
    <row r="586" spans="1:17" ht="12.75">
      <c r="A586" t="s">
        <v>36</v>
      </c>
      <c r="B586" s="93">
        <v>40374</v>
      </c>
      <c r="C586">
        <v>9</v>
      </c>
      <c r="D586">
        <v>0.5304109</v>
      </c>
      <c r="E586">
        <v>0.5304109</v>
      </c>
      <c r="F586">
        <v>76.9488</v>
      </c>
      <c r="G586">
        <v>0.4221909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3.795576</v>
      </c>
      <c r="N586">
        <v>33454.21</v>
      </c>
      <c r="O586">
        <v>258.2171674</v>
      </c>
      <c r="P586">
        <v>4675.042</v>
      </c>
      <c r="Q586">
        <v>4675.042</v>
      </c>
    </row>
    <row r="587" spans="1:17" ht="12.75">
      <c r="A587" t="s">
        <v>36</v>
      </c>
      <c r="B587" s="93">
        <v>40374</v>
      </c>
      <c r="C587">
        <v>10</v>
      </c>
      <c r="D587">
        <v>0.7955675</v>
      </c>
      <c r="E587">
        <v>0.7955675</v>
      </c>
      <c r="F587">
        <v>78.5147</v>
      </c>
      <c r="G587">
        <v>0.4221909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3.795576</v>
      </c>
      <c r="N587">
        <v>33454.21</v>
      </c>
      <c r="O587">
        <v>258.2171674</v>
      </c>
      <c r="P587">
        <v>7012.132</v>
      </c>
      <c r="Q587">
        <v>7012.132</v>
      </c>
    </row>
    <row r="588" spans="1:17" ht="12.75">
      <c r="A588" t="s">
        <v>36</v>
      </c>
      <c r="B588" s="93">
        <v>40374</v>
      </c>
      <c r="C588">
        <v>11</v>
      </c>
      <c r="D588">
        <v>1.032819</v>
      </c>
      <c r="E588">
        <v>1.032819</v>
      </c>
      <c r="F588">
        <v>80.3254</v>
      </c>
      <c r="G588">
        <v>0.4221909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3.795576</v>
      </c>
      <c r="N588">
        <v>33454.21</v>
      </c>
      <c r="O588">
        <v>258.2171674</v>
      </c>
      <c r="P588">
        <v>9103.269</v>
      </c>
      <c r="Q588">
        <v>9103.269</v>
      </c>
    </row>
    <row r="589" spans="1:17" ht="12.75">
      <c r="A589" t="s">
        <v>36</v>
      </c>
      <c r="B589" s="93">
        <v>40374</v>
      </c>
      <c r="C589">
        <v>12</v>
      </c>
      <c r="D589">
        <v>1.243627</v>
      </c>
      <c r="E589">
        <v>1.243627</v>
      </c>
      <c r="F589">
        <v>81.3157</v>
      </c>
      <c r="G589">
        <v>0.4225596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3.795576</v>
      </c>
      <c r="N589">
        <v>33454.21</v>
      </c>
      <c r="O589">
        <v>257.1893608</v>
      </c>
      <c r="P589">
        <v>10961.33</v>
      </c>
      <c r="Q589">
        <v>10961.33</v>
      </c>
    </row>
    <row r="590" spans="1:17" ht="12.75">
      <c r="A590" t="s">
        <v>36</v>
      </c>
      <c r="B590" s="93">
        <v>40374</v>
      </c>
      <c r="C590">
        <v>13</v>
      </c>
      <c r="D590">
        <v>1.443029</v>
      </c>
      <c r="E590">
        <v>1.443029</v>
      </c>
      <c r="F590">
        <v>84.7488</v>
      </c>
      <c r="G590">
        <v>0.4226149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3.795576</v>
      </c>
      <c r="N590">
        <v>33454.21</v>
      </c>
      <c r="O590">
        <v>258.1871544</v>
      </c>
      <c r="P590">
        <v>12718.86</v>
      </c>
      <c r="Q590">
        <v>12718.86</v>
      </c>
    </row>
    <row r="591" spans="1:17" ht="12.75">
      <c r="A591" t="s">
        <v>36</v>
      </c>
      <c r="B591" s="93">
        <v>40374</v>
      </c>
      <c r="C591">
        <v>14</v>
      </c>
      <c r="D591">
        <v>1.49848</v>
      </c>
      <c r="E591">
        <v>1.138733</v>
      </c>
      <c r="F591">
        <v>83.6738</v>
      </c>
      <c r="G591">
        <v>0.4222474</v>
      </c>
      <c r="H591">
        <v>0.3143927</v>
      </c>
      <c r="I591">
        <v>0.3411886</v>
      </c>
      <c r="J591">
        <v>0.3597473</v>
      </c>
      <c r="K591">
        <v>0.378306</v>
      </c>
      <c r="L591">
        <v>0.4051019</v>
      </c>
      <c r="M591">
        <v>3.795576</v>
      </c>
      <c r="N591">
        <v>33454.21</v>
      </c>
      <c r="O591">
        <v>259.214961</v>
      </c>
      <c r="P591">
        <v>13207.61</v>
      </c>
      <c r="Q591">
        <v>10036.79</v>
      </c>
    </row>
    <row r="592" spans="1:17" ht="12.75">
      <c r="A592" t="s">
        <v>36</v>
      </c>
      <c r="B592" s="93">
        <v>40374</v>
      </c>
      <c r="C592">
        <v>15</v>
      </c>
      <c r="D592">
        <v>1.549584</v>
      </c>
      <c r="E592">
        <v>1.170281</v>
      </c>
      <c r="F592">
        <v>83.5594</v>
      </c>
      <c r="G592">
        <v>0.4221909</v>
      </c>
      <c r="H592">
        <v>0.3339286</v>
      </c>
      <c r="I592">
        <v>0.3607359</v>
      </c>
      <c r="J592">
        <v>0.3793025</v>
      </c>
      <c r="K592">
        <v>0.3978691</v>
      </c>
      <c r="L592">
        <v>0.4246764</v>
      </c>
      <c r="M592">
        <v>3.795576</v>
      </c>
      <c r="N592">
        <v>33454.21</v>
      </c>
      <c r="O592">
        <v>258.2171674</v>
      </c>
      <c r="P592">
        <v>13658.03</v>
      </c>
      <c r="Q592">
        <v>10314.86</v>
      </c>
    </row>
    <row r="593" spans="1:17" ht="12.75">
      <c r="A593" t="s">
        <v>36</v>
      </c>
      <c r="B593" s="93">
        <v>40374</v>
      </c>
      <c r="C593">
        <v>16</v>
      </c>
      <c r="D593">
        <v>1.547275</v>
      </c>
      <c r="E593">
        <v>1.150872</v>
      </c>
      <c r="F593">
        <v>83.6815</v>
      </c>
      <c r="G593">
        <v>0.4221909</v>
      </c>
      <c r="H593">
        <v>0.3509371</v>
      </c>
      <c r="I593">
        <v>0.3777985</v>
      </c>
      <c r="J593">
        <v>0.3964026</v>
      </c>
      <c r="K593">
        <v>0.4150067</v>
      </c>
      <c r="L593">
        <v>0.4418681</v>
      </c>
      <c r="M593">
        <v>3.795576</v>
      </c>
      <c r="N593">
        <v>33454.21</v>
      </c>
      <c r="O593">
        <v>258.2171674</v>
      </c>
      <c r="P593">
        <v>13637.68</v>
      </c>
      <c r="Q593">
        <v>10143.79</v>
      </c>
    </row>
    <row r="594" spans="1:17" ht="12.75">
      <c r="A594" t="s">
        <v>36</v>
      </c>
      <c r="B594" s="93">
        <v>40374</v>
      </c>
      <c r="C594">
        <v>17</v>
      </c>
      <c r="D594">
        <v>1.415347</v>
      </c>
      <c r="E594">
        <v>1.013749</v>
      </c>
      <c r="F594">
        <v>78.1059</v>
      </c>
      <c r="G594">
        <v>0.4222474</v>
      </c>
      <c r="H594">
        <v>0.3562716</v>
      </c>
      <c r="I594">
        <v>0.3830509</v>
      </c>
      <c r="J594">
        <v>0.4015982</v>
      </c>
      <c r="K594">
        <v>0.4201455</v>
      </c>
      <c r="L594">
        <v>0.4469249</v>
      </c>
      <c r="M594">
        <v>3.795576</v>
      </c>
      <c r="N594">
        <v>33454.21</v>
      </c>
      <c r="O594">
        <v>259.214961</v>
      </c>
      <c r="P594">
        <v>12474.87</v>
      </c>
      <c r="Q594">
        <v>8935.185</v>
      </c>
    </row>
    <row r="595" spans="1:17" ht="12.75">
      <c r="A595" t="s">
        <v>36</v>
      </c>
      <c r="B595" s="93">
        <v>40374</v>
      </c>
      <c r="C595">
        <v>18</v>
      </c>
      <c r="D595">
        <v>1.110803</v>
      </c>
      <c r="E595">
        <v>1.269153</v>
      </c>
      <c r="F595">
        <v>75.8903</v>
      </c>
      <c r="G595">
        <v>0.4228933</v>
      </c>
      <c r="H595">
        <v>-0.205126</v>
      </c>
      <c r="I595">
        <v>-0.1774899</v>
      </c>
      <c r="J595">
        <v>-0.1583492</v>
      </c>
      <c r="K595">
        <v>-0.1392085</v>
      </c>
      <c r="L595">
        <v>-0.1115723</v>
      </c>
      <c r="M595">
        <v>3.795576</v>
      </c>
      <c r="N595">
        <v>33454.21</v>
      </c>
      <c r="O595">
        <v>257.1893608</v>
      </c>
      <c r="P595">
        <v>9790.622</v>
      </c>
      <c r="Q595">
        <v>11186.31</v>
      </c>
    </row>
    <row r="596" spans="1:17" ht="12.75">
      <c r="A596" t="s">
        <v>36</v>
      </c>
      <c r="B596" s="93">
        <v>40374</v>
      </c>
      <c r="C596">
        <v>19</v>
      </c>
      <c r="D596">
        <v>0.7603279</v>
      </c>
      <c r="E596">
        <v>0.8647885</v>
      </c>
      <c r="F596">
        <v>72.571</v>
      </c>
      <c r="G596">
        <v>0.4228933</v>
      </c>
      <c r="H596">
        <v>-0.149878</v>
      </c>
      <c r="I596">
        <v>-0.123045</v>
      </c>
      <c r="J596">
        <v>-0.1044607</v>
      </c>
      <c r="K596">
        <v>-0.0858763</v>
      </c>
      <c r="L596">
        <v>-0.0590434</v>
      </c>
      <c r="M596">
        <v>3.795576</v>
      </c>
      <c r="N596">
        <v>33454.21</v>
      </c>
      <c r="O596">
        <v>257.1893608</v>
      </c>
      <c r="P596">
        <v>6701.53</v>
      </c>
      <c r="Q596">
        <v>7622.246</v>
      </c>
    </row>
    <row r="597" spans="1:17" ht="12.75">
      <c r="A597" t="s">
        <v>36</v>
      </c>
      <c r="B597" s="93">
        <v>40374</v>
      </c>
      <c r="C597">
        <v>20</v>
      </c>
      <c r="D597">
        <v>0.5314677</v>
      </c>
      <c r="E597">
        <v>0.5996911</v>
      </c>
      <c r="F597">
        <v>70.6198</v>
      </c>
      <c r="G597">
        <v>0.4228933</v>
      </c>
      <c r="H597">
        <v>-0.1132788</v>
      </c>
      <c r="I597">
        <v>-0.0866597</v>
      </c>
      <c r="J597">
        <v>-0.0682234</v>
      </c>
      <c r="K597">
        <v>-0.0497871</v>
      </c>
      <c r="L597">
        <v>-0.023168</v>
      </c>
      <c r="M597">
        <v>3.795576</v>
      </c>
      <c r="N597">
        <v>33454.21</v>
      </c>
      <c r="O597">
        <v>257.1893608</v>
      </c>
      <c r="P597">
        <v>4684.356</v>
      </c>
      <c r="Q597">
        <v>5285.677</v>
      </c>
    </row>
    <row r="598" spans="1:17" ht="12.75">
      <c r="A598" t="s">
        <v>36</v>
      </c>
      <c r="B598" s="93">
        <v>40374</v>
      </c>
      <c r="C598">
        <v>21</v>
      </c>
      <c r="D598">
        <v>0.3816326</v>
      </c>
      <c r="E598">
        <v>0.4259026</v>
      </c>
      <c r="F598">
        <v>70.0512</v>
      </c>
      <c r="G598">
        <v>0.4228933</v>
      </c>
      <c r="H598">
        <v>-0.0891826</v>
      </c>
      <c r="I598">
        <v>-0.0626479</v>
      </c>
      <c r="J598">
        <v>-0.04427</v>
      </c>
      <c r="K598">
        <v>-0.0258922</v>
      </c>
      <c r="L598">
        <v>0.0006425</v>
      </c>
      <c r="M598">
        <v>3.795576</v>
      </c>
      <c r="N598">
        <v>33454.21</v>
      </c>
      <c r="O598">
        <v>257.1893608</v>
      </c>
      <c r="P598">
        <v>3363.709</v>
      </c>
      <c r="Q598">
        <v>3753.906</v>
      </c>
    </row>
    <row r="599" spans="1:17" ht="12.75">
      <c r="A599" t="s">
        <v>36</v>
      </c>
      <c r="B599" s="93">
        <v>40374</v>
      </c>
      <c r="C599">
        <v>22</v>
      </c>
      <c r="D599">
        <v>0.2923196</v>
      </c>
      <c r="E599">
        <v>0.3208926</v>
      </c>
      <c r="F599">
        <v>70.3051</v>
      </c>
      <c r="G599">
        <v>0.4228933</v>
      </c>
      <c r="H599">
        <v>-0.0734418</v>
      </c>
      <c r="I599">
        <v>-0.046933</v>
      </c>
      <c r="J599">
        <v>-0.028573</v>
      </c>
      <c r="K599">
        <v>-0.0102131</v>
      </c>
      <c r="L599">
        <v>0.0162957</v>
      </c>
      <c r="M599">
        <v>3.795576</v>
      </c>
      <c r="N599">
        <v>33454.21</v>
      </c>
      <c r="O599">
        <v>257.1893608</v>
      </c>
      <c r="P599">
        <v>2576.505</v>
      </c>
      <c r="Q599">
        <v>2828.348</v>
      </c>
    </row>
    <row r="600" spans="1:17" ht="12.75">
      <c r="A600" t="s">
        <v>36</v>
      </c>
      <c r="B600" s="93">
        <v>40374</v>
      </c>
      <c r="C600">
        <v>23</v>
      </c>
      <c r="D600">
        <v>0.2266794</v>
      </c>
      <c r="E600">
        <v>0.2451364</v>
      </c>
      <c r="F600">
        <v>70.4607</v>
      </c>
      <c r="G600">
        <v>0.4228933</v>
      </c>
      <c r="H600">
        <v>-0.0633602</v>
      </c>
      <c r="I600">
        <v>-0.036831</v>
      </c>
      <c r="J600">
        <v>-0.018457</v>
      </c>
      <c r="K600">
        <v>-8.29E-05</v>
      </c>
      <c r="L600">
        <v>0.0264463</v>
      </c>
      <c r="M600">
        <v>3.795576</v>
      </c>
      <c r="N600">
        <v>33454.21</v>
      </c>
      <c r="O600">
        <v>257.1893608</v>
      </c>
      <c r="P600">
        <v>1997.952</v>
      </c>
      <c r="Q600">
        <v>2160.632</v>
      </c>
    </row>
    <row r="601" spans="1:17" ht="12.75">
      <c r="A601" t="s">
        <v>36</v>
      </c>
      <c r="B601" s="93">
        <v>40374</v>
      </c>
      <c r="C601">
        <v>24</v>
      </c>
      <c r="D601">
        <v>0.1959653</v>
      </c>
      <c r="E601">
        <v>0.1959653</v>
      </c>
      <c r="F601">
        <v>69.7724</v>
      </c>
      <c r="G601">
        <v>0.4228933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3.795576</v>
      </c>
      <c r="N601">
        <v>33454.21</v>
      </c>
      <c r="O601">
        <v>257.1893608</v>
      </c>
      <c r="P601">
        <v>1727.239</v>
      </c>
      <c r="Q601">
        <v>1727.239</v>
      </c>
    </row>
    <row r="602" spans="1:17" ht="12.75">
      <c r="A602" t="s">
        <v>36</v>
      </c>
      <c r="B602" s="93">
        <v>40375</v>
      </c>
      <c r="C602">
        <v>1</v>
      </c>
      <c r="D602">
        <v>0.1739588</v>
      </c>
      <c r="E602">
        <v>0.1739588</v>
      </c>
      <c r="F602">
        <v>69.5587</v>
      </c>
      <c r="G602">
        <v>0.4212592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3.795576</v>
      </c>
      <c r="N602">
        <v>33454.21</v>
      </c>
      <c r="O602">
        <v>258.1871544</v>
      </c>
      <c r="P602">
        <v>1533.273</v>
      </c>
      <c r="Q602">
        <v>1533.273</v>
      </c>
    </row>
    <row r="603" spans="1:17" ht="12.75">
      <c r="A603" t="s">
        <v>36</v>
      </c>
      <c r="B603" s="93">
        <v>40375</v>
      </c>
      <c r="C603">
        <v>2</v>
      </c>
      <c r="D603">
        <v>0.1654327</v>
      </c>
      <c r="E603">
        <v>0.1654327</v>
      </c>
      <c r="F603">
        <v>68.8942</v>
      </c>
      <c r="G603">
        <v>0.4212592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3.795576</v>
      </c>
      <c r="N603">
        <v>33454.21</v>
      </c>
      <c r="O603">
        <v>258.1871544</v>
      </c>
      <c r="P603">
        <v>1458.124</v>
      </c>
      <c r="Q603">
        <v>1458.124</v>
      </c>
    </row>
    <row r="604" spans="1:17" ht="12.75">
      <c r="A604" t="s">
        <v>36</v>
      </c>
      <c r="B604" s="93">
        <v>40375</v>
      </c>
      <c r="C604">
        <v>3</v>
      </c>
      <c r="D604">
        <v>0.1579866</v>
      </c>
      <c r="E604">
        <v>0.1579866</v>
      </c>
      <c r="F604">
        <v>68.8759</v>
      </c>
      <c r="G604">
        <v>0.4212592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3.795576</v>
      </c>
      <c r="N604">
        <v>33454.21</v>
      </c>
      <c r="O604">
        <v>258.1871544</v>
      </c>
      <c r="P604">
        <v>1392.494</v>
      </c>
      <c r="Q604">
        <v>1392.494</v>
      </c>
    </row>
    <row r="605" spans="1:17" ht="12.75">
      <c r="A605" t="s">
        <v>36</v>
      </c>
      <c r="B605" s="93">
        <v>40375</v>
      </c>
      <c r="C605">
        <v>4</v>
      </c>
      <c r="D605">
        <v>0.1496682</v>
      </c>
      <c r="E605">
        <v>0.1496682</v>
      </c>
      <c r="F605">
        <v>68.1748</v>
      </c>
      <c r="G605">
        <v>0.4212592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3.795576</v>
      </c>
      <c r="N605">
        <v>33454.21</v>
      </c>
      <c r="O605">
        <v>258.1871544</v>
      </c>
      <c r="P605">
        <v>1319.175</v>
      </c>
      <c r="Q605">
        <v>1319.175</v>
      </c>
    </row>
    <row r="606" spans="1:17" ht="12.75">
      <c r="A606" t="s">
        <v>36</v>
      </c>
      <c r="B606" s="93">
        <v>40375</v>
      </c>
      <c r="C606">
        <v>5</v>
      </c>
      <c r="D606">
        <v>0.1470353</v>
      </c>
      <c r="E606">
        <v>0.1470353</v>
      </c>
      <c r="F606">
        <v>67.2468</v>
      </c>
      <c r="G606">
        <v>0.4228933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3.795576</v>
      </c>
      <c r="N606">
        <v>33454.21</v>
      </c>
      <c r="O606">
        <v>257.1893608</v>
      </c>
      <c r="P606">
        <v>1295.969</v>
      </c>
      <c r="Q606">
        <v>1295.969</v>
      </c>
    </row>
    <row r="607" spans="1:17" ht="12.75">
      <c r="A607" t="s">
        <v>36</v>
      </c>
      <c r="B607" s="93">
        <v>40375</v>
      </c>
      <c r="C607">
        <v>6</v>
      </c>
      <c r="D607">
        <v>0.1557201</v>
      </c>
      <c r="E607">
        <v>0.1557201</v>
      </c>
      <c r="F607">
        <v>66.7988</v>
      </c>
      <c r="G607">
        <v>0.4228933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3.795576</v>
      </c>
      <c r="N607">
        <v>33454.21</v>
      </c>
      <c r="O607">
        <v>257.1893608</v>
      </c>
      <c r="P607">
        <v>1372.517</v>
      </c>
      <c r="Q607">
        <v>1372.517</v>
      </c>
    </row>
    <row r="608" spans="1:17" ht="12.75">
      <c r="A608" t="s">
        <v>36</v>
      </c>
      <c r="B608" s="93">
        <v>40375</v>
      </c>
      <c r="C608">
        <v>7</v>
      </c>
      <c r="D608">
        <v>0.2211423</v>
      </c>
      <c r="E608">
        <v>0.2211423</v>
      </c>
      <c r="F608">
        <v>69.4606</v>
      </c>
      <c r="G608">
        <v>0.4228933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3.795576</v>
      </c>
      <c r="N608">
        <v>33454.21</v>
      </c>
      <c r="O608">
        <v>257.1893608</v>
      </c>
      <c r="P608">
        <v>1949.148</v>
      </c>
      <c r="Q608">
        <v>1949.148</v>
      </c>
    </row>
    <row r="609" spans="1:17" ht="12.75">
      <c r="A609" t="s">
        <v>36</v>
      </c>
      <c r="B609" s="93">
        <v>40375</v>
      </c>
      <c r="C609">
        <v>8</v>
      </c>
      <c r="D609">
        <v>0.3709019</v>
      </c>
      <c r="E609">
        <v>0.3709019</v>
      </c>
      <c r="F609">
        <v>73.7157</v>
      </c>
      <c r="G609">
        <v>0.4212592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3.795576</v>
      </c>
      <c r="N609">
        <v>33454.21</v>
      </c>
      <c r="O609">
        <v>258.1871544</v>
      </c>
      <c r="P609">
        <v>3269.129</v>
      </c>
      <c r="Q609">
        <v>3269.129</v>
      </c>
    </row>
    <row r="610" spans="1:17" ht="12.75">
      <c r="A610" t="s">
        <v>36</v>
      </c>
      <c r="B610" s="93">
        <v>40375</v>
      </c>
      <c r="C610">
        <v>9</v>
      </c>
      <c r="D610">
        <v>0.6365052</v>
      </c>
      <c r="E610">
        <v>0.6365052</v>
      </c>
      <c r="F610">
        <v>79.0554</v>
      </c>
      <c r="G610">
        <v>0.4212592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3.795576</v>
      </c>
      <c r="N610">
        <v>33454.21</v>
      </c>
      <c r="O610">
        <v>258.1871544</v>
      </c>
      <c r="P610">
        <v>5610.157</v>
      </c>
      <c r="Q610">
        <v>5610.157</v>
      </c>
    </row>
    <row r="611" spans="1:17" ht="12.75">
      <c r="A611" t="s">
        <v>36</v>
      </c>
      <c r="B611" s="93">
        <v>40375</v>
      </c>
      <c r="C611">
        <v>10</v>
      </c>
      <c r="D611">
        <v>0.9693829</v>
      </c>
      <c r="E611">
        <v>0.9693829</v>
      </c>
      <c r="F611">
        <v>82.4907</v>
      </c>
      <c r="G611">
        <v>0.4212592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3.795576</v>
      </c>
      <c r="N611">
        <v>33454.21</v>
      </c>
      <c r="O611">
        <v>258.1871544</v>
      </c>
      <c r="P611">
        <v>8544.142</v>
      </c>
      <c r="Q611">
        <v>8544.142</v>
      </c>
    </row>
    <row r="612" spans="1:17" ht="12.75">
      <c r="A612" t="s">
        <v>36</v>
      </c>
      <c r="B612" s="93">
        <v>40375</v>
      </c>
      <c r="C612">
        <v>11</v>
      </c>
      <c r="D612">
        <v>1.265998</v>
      </c>
      <c r="E612">
        <v>1.265998</v>
      </c>
      <c r="F612">
        <v>84.5153</v>
      </c>
      <c r="G612">
        <v>0.4228933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3.795576</v>
      </c>
      <c r="N612">
        <v>33454.21</v>
      </c>
      <c r="O612">
        <v>257.1893608</v>
      </c>
      <c r="P612">
        <v>11158.5</v>
      </c>
      <c r="Q612">
        <v>11158.5</v>
      </c>
    </row>
    <row r="613" spans="1:17" ht="12.75">
      <c r="A613" t="s">
        <v>36</v>
      </c>
      <c r="B613" s="93">
        <v>40375</v>
      </c>
      <c r="C613">
        <v>12</v>
      </c>
      <c r="D613">
        <v>1.533757</v>
      </c>
      <c r="E613">
        <v>1.533757</v>
      </c>
      <c r="F613">
        <v>86.8024</v>
      </c>
      <c r="G613">
        <v>0.4228933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3.795576</v>
      </c>
      <c r="N613">
        <v>33454.21</v>
      </c>
      <c r="O613">
        <v>257.1893608</v>
      </c>
      <c r="P613">
        <v>13518.54</v>
      </c>
      <c r="Q613">
        <v>13518.54</v>
      </c>
    </row>
    <row r="614" spans="1:17" ht="12.75">
      <c r="A614" t="s">
        <v>36</v>
      </c>
      <c r="B614" s="93">
        <v>40375</v>
      </c>
      <c r="C614">
        <v>13</v>
      </c>
      <c r="D614">
        <v>1.743252</v>
      </c>
      <c r="E614">
        <v>1.743252</v>
      </c>
      <c r="F614">
        <v>88.0962</v>
      </c>
      <c r="G614">
        <v>0.4228933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3.795576</v>
      </c>
      <c r="N614">
        <v>33454.21</v>
      </c>
      <c r="O614">
        <v>257.1893608</v>
      </c>
      <c r="P614">
        <v>15365.02</v>
      </c>
      <c r="Q614">
        <v>15365.02</v>
      </c>
    </row>
    <row r="615" spans="1:17" ht="12.75">
      <c r="A615" t="s">
        <v>36</v>
      </c>
      <c r="B615" s="93">
        <v>40375</v>
      </c>
      <c r="C615">
        <v>14</v>
      </c>
      <c r="D615">
        <v>1.788934</v>
      </c>
      <c r="E615">
        <v>1.386486</v>
      </c>
      <c r="F615">
        <v>87.8594</v>
      </c>
      <c r="G615">
        <v>0.4212592</v>
      </c>
      <c r="H615">
        <v>0.3561283</v>
      </c>
      <c r="I615">
        <v>0.3834938</v>
      </c>
      <c r="J615">
        <v>0.4024471</v>
      </c>
      <c r="K615">
        <v>0.4214004</v>
      </c>
      <c r="L615">
        <v>0.4487659</v>
      </c>
      <c r="M615">
        <v>3.795576</v>
      </c>
      <c r="N615">
        <v>33454.21</v>
      </c>
      <c r="O615">
        <v>258.1871544</v>
      </c>
      <c r="P615">
        <v>15767.66</v>
      </c>
      <c r="Q615">
        <v>12220.49</v>
      </c>
    </row>
    <row r="616" spans="1:17" ht="12.75">
      <c r="A616" t="s">
        <v>36</v>
      </c>
      <c r="B616" s="93">
        <v>40375</v>
      </c>
      <c r="C616">
        <v>15</v>
      </c>
      <c r="D616">
        <v>1.828068</v>
      </c>
      <c r="E616">
        <v>1.406982</v>
      </c>
      <c r="F616">
        <v>86.3172</v>
      </c>
      <c r="G616">
        <v>0.4212592</v>
      </c>
      <c r="H616">
        <v>0.3749638</v>
      </c>
      <c r="I616">
        <v>0.4022132</v>
      </c>
      <c r="J616">
        <v>0.421086</v>
      </c>
      <c r="K616">
        <v>0.4399588</v>
      </c>
      <c r="L616">
        <v>0.4672081</v>
      </c>
      <c r="M616">
        <v>3.795576</v>
      </c>
      <c r="N616">
        <v>33454.21</v>
      </c>
      <c r="O616">
        <v>258.1871544</v>
      </c>
      <c r="P616">
        <v>16112.59</v>
      </c>
      <c r="Q616">
        <v>12401.14</v>
      </c>
    </row>
    <row r="617" spans="1:17" ht="12.75">
      <c r="A617" t="s">
        <v>36</v>
      </c>
      <c r="B617" s="93">
        <v>40375</v>
      </c>
      <c r="C617">
        <v>16</v>
      </c>
      <c r="D617">
        <v>1.772388</v>
      </c>
      <c r="E617">
        <v>1.339483</v>
      </c>
      <c r="F617">
        <v>83.1249</v>
      </c>
      <c r="G617">
        <v>0.4212592</v>
      </c>
      <c r="H617">
        <v>0.3867881</v>
      </c>
      <c r="I617">
        <v>0.4140346</v>
      </c>
      <c r="J617">
        <v>0.4329054</v>
      </c>
      <c r="K617">
        <v>0.4517763</v>
      </c>
      <c r="L617">
        <v>0.4790228</v>
      </c>
      <c r="M617">
        <v>3.795576</v>
      </c>
      <c r="N617">
        <v>33454.21</v>
      </c>
      <c r="O617">
        <v>258.1871544</v>
      </c>
      <c r="P617">
        <v>15621.83</v>
      </c>
      <c r="Q617">
        <v>11806.2</v>
      </c>
    </row>
    <row r="618" spans="1:17" ht="12.75">
      <c r="A618" t="s">
        <v>36</v>
      </c>
      <c r="B618" s="93">
        <v>40375</v>
      </c>
      <c r="C618">
        <v>17</v>
      </c>
      <c r="D618">
        <v>1.615831</v>
      </c>
      <c r="E618">
        <v>1.178117</v>
      </c>
      <c r="F618">
        <v>79.8595</v>
      </c>
      <c r="G618">
        <v>0.4212592</v>
      </c>
      <c r="H618">
        <v>0.3916725</v>
      </c>
      <c r="I618">
        <v>0.418874</v>
      </c>
      <c r="J618">
        <v>0.4377136</v>
      </c>
      <c r="K618">
        <v>0.4565533</v>
      </c>
      <c r="L618">
        <v>0.4837548</v>
      </c>
      <c r="M618">
        <v>3.795576</v>
      </c>
      <c r="N618">
        <v>33454.21</v>
      </c>
      <c r="O618">
        <v>258.1871544</v>
      </c>
      <c r="P618">
        <v>14241.93</v>
      </c>
      <c r="Q618">
        <v>10383.93</v>
      </c>
    </row>
    <row r="619" spans="1:17" ht="12.75">
      <c r="A619" t="s">
        <v>36</v>
      </c>
      <c r="B619" s="93">
        <v>40375</v>
      </c>
      <c r="C619">
        <v>18</v>
      </c>
      <c r="D619">
        <v>1.277147</v>
      </c>
      <c r="E619">
        <v>1.448507</v>
      </c>
      <c r="F619">
        <v>78.6698</v>
      </c>
      <c r="G619">
        <v>0.4212592</v>
      </c>
      <c r="H619">
        <v>-0.2187171</v>
      </c>
      <c r="I619">
        <v>-0.1907382</v>
      </c>
      <c r="J619">
        <v>-0.17136</v>
      </c>
      <c r="K619">
        <v>-0.1519819</v>
      </c>
      <c r="L619">
        <v>-0.1240029</v>
      </c>
      <c r="M619">
        <v>3.795576</v>
      </c>
      <c r="N619">
        <v>33454.21</v>
      </c>
      <c r="O619">
        <v>258.1871544</v>
      </c>
      <c r="P619">
        <v>11256.77</v>
      </c>
      <c r="Q619">
        <v>12767.14</v>
      </c>
    </row>
    <row r="620" spans="1:17" ht="12.75">
      <c r="A620" t="s">
        <v>36</v>
      </c>
      <c r="B620" s="93">
        <v>40375</v>
      </c>
      <c r="C620">
        <v>19</v>
      </c>
      <c r="D620">
        <v>0.8826519</v>
      </c>
      <c r="E620">
        <v>0.9966227</v>
      </c>
      <c r="F620">
        <v>76.3947</v>
      </c>
      <c r="G620">
        <v>0.4212592</v>
      </c>
      <c r="H620">
        <v>-0.1598275</v>
      </c>
      <c r="I620">
        <v>-0.132735</v>
      </c>
      <c r="J620">
        <v>-0.1139708</v>
      </c>
      <c r="K620">
        <v>-0.0952066</v>
      </c>
      <c r="L620">
        <v>-0.068114</v>
      </c>
      <c r="M620">
        <v>3.795576</v>
      </c>
      <c r="N620">
        <v>33454.21</v>
      </c>
      <c r="O620">
        <v>258.1871544</v>
      </c>
      <c r="P620">
        <v>7779.694</v>
      </c>
      <c r="Q620">
        <v>8784.232</v>
      </c>
    </row>
    <row r="621" spans="1:17" ht="12.75">
      <c r="A621" t="s">
        <v>36</v>
      </c>
      <c r="B621" s="93">
        <v>40375</v>
      </c>
      <c r="C621">
        <v>20</v>
      </c>
      <c r="D621">
        <v>0.6105579</v>
      </c>
      <c r="E621">
        <v>0.6851711</v>
      </c>
      <c r="F621">
        <v>73.2118</v>
      </c>
      <c r="G621">
        <v>0.4212592</v>
      </c>
      <c r="H621">
        <v>-0.1201164</v>
      </c>
      <c r="I621">
        <v>-0.0932328</v>
      </c>
      <c r="J621">
        <v>-0.0746133</v>
      </c>
      <c r="K621">
        <v>-0.0559937</v>
      </c>
      <c r="L621">
        <v>-0.0291101</v>
      </c>
      <c r="M621">
        <v>3.795576</v>
      </c>
      <c r="N621">
        <v>33454.21</v>
      </c>
      <c r="O621">
        <v>258.1871544</v>
      </c>
      <c r="P621">
        <v>5381.457</v>
      </c>
      <c r="Q621">
        <v>6039.099</v>
      </c>
    </row>
    <row r="622" spans="1:17" ht="12.75">
      <c r="A622" t="s">
        <v>36</v>
      </c>
      <c r="B622" s="93">
        <v>40375</v>
      </c>
      <c r="C622">
        <v>21</v>
      </c>
      <c r="D622">
        <v>0.4330692</v>
      </c>
      <c r="E622">
        <v>0.481337</v>
      </c>
      <c r="F622">
        <v>71.3315</v>
      </c>
      <c r="G622">
        <v>0.4212592</v>
      </c>
      <c r="H622">
        <v>-0.0935799</v>
      </c>
      <c r="I622">
        <v>-0.0668091</v>
      </c>
      <c r="J622">
        <v>-0.0482678</v>
      </c>
      <c r="K622">
        <v>-0.0297264</v>
      </c>
      <c r="L622">
        <v>-0.0029557</v>
      </c>
      <c r="M622">
        <v>3.795576</v>
      </c>
      <c r="N622">
        <v>33454.21</v>
      </c>
      <c r="O622">
        <v>258.1871544</v>
      </c>
      <c r="P622">
        <v>3817.072</v>
      </c>
      <c r="Q622">
        <v>4242.504</v>
      </c>
    </row>
    <row r="623" spans="1:17" ht="12.75">
      <c r="A623" t="s">
        <v>36</v>
      </c>
      <c r="B623" s="93">
        <v>40375</v>
      </c>
      <c r="C623">
        <v>22</v>
      </c>
      <c r="D623">
        <v>0.3243334</v>
      </c>
      <c r="E623">
        <v>0.3551733</v>
      </c>
      <c r="F623">
        <v>69.7538</v>
      </c>
      <c r="G623">
        <v>0.4212592</v>
      </c>
      <c r="H623">
        <v>-0.0760239</v>
      </c>
      <c r="I623">
        <v>-0.0493288</v>
      </c>
      <c r="J623">
        <v>-0.0308399</v>
      </c>
      <c r="K623">
        <v>-0.0123511</v>
      </c>
      <c r="L623">
        <v>0.014344</v>
      </c>
      <c r="M623">
        <v>3.795576</v>
      </c>
      <c r="N623">
        <v>33454.21</v>
      </c>
      <c r="O623">
        <v>258.1871544</v>
      </c>
      <c r="P623">
        <v>2858.674</v>
      </c>
      <c r="Q623">
        <v>3130.498</v>
      </c>
    </row>
    <row r="624" spans="1:17" ht="12.75">
      <c r="A624" t="s">
        <v>36</v>
      </c>
      <c r="B624" s="93">
        <v>40375</v>
      </c>
      <c r="C624">
        <v>23</v>
      </c>
      <c r="D624">
        <v>0.2453523</v>
      </c>
      <c r="E624">
        <v>0.264992</v>
      </c>
      <c r="F624">
        <v>69.291</v>
      </c>
      <c r="G624">
        <v>0.4212592</v>
      </c>
      <c r="H624">
        <v>-0.0647688</v>
      </c>
      <c r="I624">
        <v>-0.0381062</v>
      </c>
      <c r="J624">
        <v>-0.0196398</v>
      </c>
      <c r="K624">
        <v>-0.0011733</v>
      </c>
      <c r="L624">
        <v>0.0254893</v>
      </c>
      <c r="M624">
        <v>3.795576</v>
      </c>
      <c r="N624">
        <v>33454.21</v>
      </c>
      <c r="O624">
        <v>258.1871544</v>
      </c>
      <c r="P624">
        <v>2162.535</v>
      </c>
      <c r="Q624">
        <v>2335.64</v>
      </c>
    </row>
    <row r="625" spans="1:17" ht="12.75">
      <c r="A625" t="s">
        <v>36</v>
      </c>
      <c r="B625" s="93">
        <v>40375</v>
      </c>
      <c r="C625">
        <v>24</v>
      </c>
      <c r="D625">
        <v>0.2077423</v>
      </c>
      <c r="E625">
        <v>0.2077423</v>
      </c>
      <c r="F625">
        <v>68.7612</v>
      </c>
      <c r="G625">
        <v>0.4212592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3.795576</v>
      </c>
      <c r="N625">
        <v>33454.21</v>
      </c>
      <c r="O625">
        <v>258.1871544</v>
      </c>
      <c r="P625">
        <v>1831.041</v>
      </c>
      <c r="Q625">
        <v>1831.041</v>
      </c>
    </row>
    <row r="626" spans="1:17" ht="12.75">
      <c r="A626" t="s">
        <v>36</v>
      </c>
      <c r="B626" s="93">
        <v>40407</v>
      </c>
      <c r="C626">
        <v>1</v>
      </c>
      <c r="D626">
        <v>0.1336852</v>
      </c>
      <c r="E626">
        <v>0.1336852</v>
      </c>
      <c r="F626">
        <v>65.164</v>
      </c>
      <c r="G626">
        <v>0.4232945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3.795576</v>
      </c>
      <c r="N626">
        <v>33454.21</v>
      </c>
      <c r="O626">
        <v>256.1915672</v>
      </c>
      <c r="P626">
        <v>1178.302</v>
      </c>
      <c r="Q626">
        <v>1178.302</v>
      </c>
    </row>
    <row r="627" spans="1:17" ht="12.75">
      <c r="A627" t="s">
        <v>36</v>
      </c>
      <c r="B627" s="93">
        <v>40407</v>
      </c>
      <c r="C627">
        <v>2</v>
      </c>
      <c r="D627">
        <v>0.1290614</v>
      </c>
      <c r="E627">
        <v>0.1290614</v>
      </c>
      <c r="F627">
        <v>64.8199</v>
      </c>
      <c r="G627">
        <v>0.4232945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3.795576</v>
      </c>
      <c r="N627">
        <v>33454.21</v>
      </c>
      <c r="O627">
        <v>256.1915672</v>
      </c>
      <c r="P627">
        <v>1137.547</v>
      </c>
      <c r="Q627">
        <v>1137.547</v>
      </c>
    </row>
    <row r="628" spans="1:17" ht="12.75">
      <c r="A628" t="s">
        <v>36</v>
      </c>
      <c r="B628" s="93">
        <v>40407</v>
      </c>
      <c r="C628">
        <v>3</v>
      </c>
      <c r="D628">
        <v>0.125714</v>
      </c>
      <c r="E628">
        <v>0.125714</v>
      </c>
      <c r="F628">
        <v>64.8161</v>
      </c>
      <c r="G628">
        <v>0.4232945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3.795576</v>
      </c>
      <c r="N628">
        <v>33454.21</v>
      </c>
      <c r="O628">
        <v>256.1915672</v>
      </c>
      <c r="P628">
        <v>1108.043</v>
      </c>
      <c r="Q628">
        <v>1108.043</v>
      </c>
    </row>
    <row r="629" spans="1:17" ht="12.75">
      <c r="A629" t="s">
        <v>36</v>
      </c>
      <c r="B629" s="93">
        <v>40407</v>
      </c>
      <c r="C629">
        <v>4</v>
      </c>
      <c r="D629">
        <v>0.1216658</v>
      </c>
      <c r="E629">
        <v>0.1216658</v>
      </c>
      <c r="F629">
        <v>64.6627</v>
      </c>
      <c r="G629">
        <v>0.4232945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3.795576</v>
      </c>
      <c r="N629">
        <v>33454.21</v>
      </c>
      <c r="O629">
        <v>256.1915672</v>
      </c>
      <c r="P629">
        <v>1072.363</v>
      </c>
      <c r="Q629">
        <v>1072.363</v>
      </c>
    </row>
    <row r="630" spans="1:17" ht="12.75">
      <c r="A630" t="s">
        <v>36</v>
      </c>
      <c r="B630" s="93">
        <v>40407</v>
      </c>
      <c r="C630">
        <v>5</v>
      </c>
      <c r="D630">
        <v>0.121954</v>
      </c>
      <c r="E630">
        <v>0.121954</v>
      </c>
      <c r="F630">
        <v>64.385</v>
      </c>
      <c r="G630">
        <v>0.4232945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3.795576</v>
      </c>
      <c r="N630">
        <v>33454.21</v>
      </c>
      <c r="O630">
        <v>256.1915672</v>
      </c>
      <c r="P630">
        <v>1074.903</v>
      </c>
      <c r="Q630">
        <v>1074.903</v>
      </c>
    </row>
    <row r="631" spans="1:17" ht="12.75">
      <c r="A631" t="s">
        <v>36</v>
      </c>
      <c r="B631" s="93">
        <v>40407</v>
      </c>
      <c r="C631">
        <v>6</v>
      </c>
      <c r="D631">
        <v>0.1287804</v>
      </c>
      <c r="E631">
        <v>0.1287804</v>
      </c>
      <c r="F631">
        <v>64.2167</v>
      </c>
      <c r="G631">
        <v>0.4232945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3.795576</v>
      </c>
      <c r="N631">
        <v>33454.21</v>
      </c>
      <c r="O631">
        <v>256.1915672</v>
      </c>
      <c r="P631">
        <v>1135.071</v>
      </c>
      <c r="Q631">
        <v>1135.071</v>
      </c>
    </row>
    <row r="632" spans="1:17" ht="12.75">
      <c r="A632" t="s">
        <v>36</v>
      </c>
      <c r="B632" s="93">
        <v>40407</v>
      </c>
      <c r="C632">
        <v>7</v>
      </c>
      <c r="D632">
        <v>0.178757</v>
      </c>
      <c r="E632">
        <v>0.178757</v>
      </c>
      <c r="F632">
        <v>66.0273</v>
      </c>
      <c r="G632">
        <v>0.4232945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3.795576</v>
      </c>
      <c r="N632">
        <v>33454.21</v>
      </c>
      <c r="O632">
        <v>256.1915672</v>
      </c>
      <c r="P632">
        <v>1575.564</v>
      </c>
      <c r="Q632">
        <v>1575.564</v>
      </c>
    </row>
    <row r="633" spans="1:17" ht="12.75">
      <c r="A633" t="s">
        <v>36</v>
      </c>
      <c r="B633" s="93">
        <v>40407</v>
      </c>
      <c r="C633">
        <v>8</v>
      </c>
      <c r="D633">
        <v>0.2743457</v>
      </c>
      <c r="E633">
        <v>0.2743457</v>
      </c>
      <c r="F633">
        <v>70.1019</v>
      </c>
      <c r="G633">
        <v>0.4232945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3.795576</v>
      </c>
      <c r="N633">
        <v>33454.21</v>
      </c>
      <c r="O633">
        <v>256.1915672</v>
      </c>
      <c r="P633">
        <v>2418.083</v>
      </c>
      <c r="Q633">
        <v>2418.083</v>
      </c>
    </row>
    <row r="634" spans="1:17" ht="12.75">
      <c r="A634" t="s">
        <v>36</v>
      </c>
      <c r="B634" s="93">
        <v>40407</v>
      </c>
      <c r="C634">
        <v>9</v>
      </c>
      <c r="D634">
        <v>0.4580351</v>
      </c>
      <c r="E634">
        <v>0.4580351</v>
      </c>
      <c r="F634">
        <v>74.4438</v>
      </c>
      <c r="G634">
        <v>0.4232945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3.795576</v>
      </c>
      <c r="N634">
        <v>33454.21</v>
      </c>
      <c r="O634">
        <v>256.1915672</v>
      </c>
      <c r="P634">
        <v>4037.122</v>
      </c>
      <c r="Q634">
        <v>4037.122</v>
      </c>
    </row>
    <row r="635" spans="1:17" ht="12.75">
      <c r="A635" t="s">
        <v>36</v>
      </c>
      <c r="B635" s="93">
        <v>40407</v>
      </c>
      <c r="C635">
        <v>10</v>
      </c>
      <c r="D635">
        <v>0.7002062</v>
      </c>
      <c r="E635">
        <v>0.7002062</v>
      </c>
      <c r="F635">
        <v>79.1302</v>
      </c>
      <c r="G635">
        <v>0.4232945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3.795576</v>
      </c>
      <c r="N635">
        <v>33454.21</v>
      </c>
      <c r="O635">
        <v>256.1915672</v>
      </c>
      <c r="P635">
        <v>6171.617</v>
      </c>
      <c r="Q635">
        <v>6171.617</v>
      </c>
    </row>
    <row r="636" spans="1:17" ht="12.75">
      <c r="A636" t="s">
        <v>36</v>
      </c>
      <c r="B636" s="93">
        <v>40407</v>
      </c>
      <c r="C636">
        <v>11</v>
      </c>
      <c r="D636">
        <v>0.9517151</v>
      </c>
      <c r="E636">
        <v>0.9517151</v>
      </c>
      <c r="F636">
        <v>81.8209</v>
      </c>
      <c r="G636">
        <v>0.4232945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3.795576</v>
      </c>
      <c r="N636">
        <v>33454.21</v>
      </c>
      <c r="O636">
        <v>256.1915672</v>
      </c>
      <c r="P636">
        <v>8388.417</v>
      </c>
      <c r="Q636">
        <v>8388.417</v>
      </c>
    </row>
    <row r="637" spans="1:17" ht="12.75">
      <c r="A637" t="s">
        <v>36</v>
      </c>
      <c r="B637" s="93">
        <v>40407</v>
      </c>
      <c r="C637">
        <v>12</v>
      </c>
      <c r="D637">
        <v>1.187163</v>
      </c>
      <c r="E637">
        <v>1.187163</v>
      </c>
      <c r="F637">
        <v>83.0549</v>
      </c>
      <c r="G637">
        <v>0.4232945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3.795576</v>
      </c>
      <c r="N637">
        <v>33454.21</v>
      </c>
      <c r="O637">
        <v>256.1915672</v>
      </c>
      <c r="P637">
        <v>10463.66</v>
      </c>
      <c r="Q637">
        <v>10463.66</v>
      </c>
    </row>
    <row r="638" spans="1:17" ht="12.75">
      <c r="A638" t="s">
        <v>36</v>
      </c>
      <c r="B638" s="93">
        <v>40407</v>
      </c>
      <c r="C638">
        <v>13</v>
      </c>
      <c r="D638">
        <v>1.370019</v>
      </c>
      <c r="E638">
        <v>1.370019</v>
      </c>
      <c r="F638">
        <v>82.2785</v>
      </c>
      <c r="G638">
        <v>0.4232945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3.795576</v>
      </c>
      <c r="N638">
        <v>33454.21</v>
      </c>
      <c r="O638">
        <v>256.1915672</v>
      </c>
      <c r="P638">
        <v>12075.35</v>
      </c>
      <c r="Q638">
        <v>12075.35</v>
      </c>
    </row>
    <row r="639" spans="1:17" ht="12.75">
      <c r="A639" t="s">
        <v>36</v>
      </c>
      <c r="B639" s="93">
        <v>40407</v>
      </c>
      <c r="C639">
        <v>14</v>
      </c>
      <c r="D639">
        <v>1.442172</v>
      </c>
      <c r="E639">
        <v>1.088156</v>
      </c>
      <c r="F639">
        <v>82.7565</v>
      </c>
      <c r="G639">
        <v>0.4232945</v>
      </c>
      <c r="H639">
        <v>0.3083564</v>
      </c>
      <c r="I639">
        <v>0.3353322</v>
      </c>
      <c r="J639">
        <v>0.3540155</v>
      </c>
      <c r="K639">
        <v>0.3726988</v>
      </c>
      <c r="L639">
        <v>0.3996745</v>
      </c>
      <c r="M639">
        <v>3.795576</v>
      </c>
      <c r="N639">
        <v>33454.21</v>
      </c>
      <c r="O639">
        <v>256.1915672</v>
      </c>
      <c r="P639">
        <v>12711.3</v>
      </c>
      <c r="Q639">
        <v>9591.009</v>
      </c>
    </row>
    <row r="640" spans="1:17" ht="12.75">
      <c r="A640" t="s">
        <v>36</v>
      </c>
      <c r="B640" s="93">
        <v>40407</v>
      </c>
      <c r="C640">
        <v>15</v>
      </c>
      <c r="D640">
        <v>1.492063</v>
      </c>
      <c r="E640">
        <v>1.119087</v>
      </c>
      <c r="F640">
        <v>82.3646</v>
      </c>
      <c r="G640">
        <v>0.4232945</v>
      </c>
      <c r="H640">
        <v>0.3274041</v>
      </c>
      <c r="I640">
        <v>0.3543285</v>
      </c>
      <c r="J640">
        <v>0.3729762</v>
      </c>
      <c r="K640">
        <v>0.3916239</v>
      </c>
      <c r="L640">
        <v>0.4185483</v>
      </c>
      <c r="M640">
        <v>3.795576</v>
      </c>
      <c r="N640">
        <v>33454.21</v>
      </c>
      <c r="O640">
        <v>256.1915672</v>
      </c>
      <c r="P640">
        <v>13151.04</v>
      </c>
      <c r="Q640">
        <v>9863.632</v>
      </c>
    </row>
    <row r="641" spans="1:17" ht="12.75">
      <c r="A641" t="s">
        <v>36</v>
      </c>
      <c r="B641" s="93">
        <v>40407</v>
      </c>
      <c r="C641">
        <v>16</v>
      </c>
      <c r="D641">
        <v>1.489002</v>
      </c>
      <c r="E641">
        <v>1.099426</v>
      </c>
      <c r="F641">
        <v>82.2318</v>
      </c>
      <c r="G641">
        <v>0.4232945</v>
      </c>
      <c r="H641">
        <v>0.3439281</v>
      </c>
      <c r="I641">
        <v>0.3708973</v>
      </c>
      <c r="J641">
        <v>0.3895761</v>
      </c>
      <c r="K641">
        <v>0.4082549</v>
      </c>
      <c r="L641">
        <v>0.435224</v>
      </c>
      <c r="M641">
        <v>3.795576</v>
      </c>
      <c r="N641">
        <v>33454.21</v>
      </c>
      <c r="O641">
        <v>256.1915672</v>
      </c>
      <c r="P641">
        <v>13124.07</v>
      </c>
      <c r="Q641">
        <v>9690.344</v>
      </c>
    </row>
    <row r="642" spans="1:17" ht="12.75">
      <c r="A642" t="s">
        <v>36</v>
      </c>
      <c r="B642" s="93">
        <v>40407</v>
      </c>
      <c r="C642">
        <v>17</v>
      </c>
      <c r="D642">
        <v>1.408118</v>
      </c>
      <c r="E642">
        <v>1.002905</v>
      </c>
      <c r="F642">
        <v>81.001</v>
      </c>
      <c r="G642">
        <v>0.4236706</v>
      </c>
      <c r="H642">
        <v>0.3593419</v>
      </c>
      <c r="I642">
        <v>0.3864429</v>
      </c>
      <c r="J642">
        <v>0.405213</v>
      </c>
      <c r="K642">
        <v>0.4239831</v>
      </c>
      <c r="L642">
        <v>0.4510841</v>
      </c>
      <c r="M642">
        <v>3.795576</v>
      </c>
      <c r="N642">
        <v>33454.21</v>
      </c>
      <c r="O642">
        <v>255.1637606</v>
      </c>
      <c r="P642">
        <v>12411.15</v>
      </c>
      <c r="Q642">
        <v>8839.606</v>
      </c>
    </row>
    <row r="643" spans="1:17" ht="12.75">
      <c r="A643" t="s">
        <v>36</v>
      </c>
      <c r="B643" s="93">
        <v>40407</v>
      </c>
      <c r="C643">
        <v>18</v>
      </c>
      <c r="D643">
        <v>1.134521</v>
      </c>
      <c r="E643">
        <v>1.297868</v>
      </c>
      <c r="F643">
        <v>80.1799</v>
      </c>
      <c r="G643">
        <v>0.4232945</v>
      </c>
      <c r="H643">
        <v>-0.2103532</v>
      </c>
      <c r="I643">
        <v>-0.1825812</v>
      </c>
      <c r="J643">
        <v>-0.1633464</v>
      </c>
      <c r="K643">
        <v>-0.1441116</v>
      </c>
      <c r="L643">
        <v>-0.1163396</v>
      </c>
      <c r="M643">
        <v>3.795576</v>
      </c>
      <c r="N643">
        <v>33454.21</v>
      </c>
      <c r="O643">
        <v>256.1915672</v>
      </c>
      <c r="P643">
        <v>9999.669</v>
      </c>
      <c r="Q643">
        <v>11439.4</v>
      </c>
    </row>
    <row r="644" spans="1:17" ht="12.75">
      <c r="A644" t="s">
        <v>36</v>
      </c>
      <c r="B644" s="93">
        <v>40407</v>
      </c>
      <c r="C644">
        <v>19</v>
      </c>
      <c r="D644">
        <v>0.7927343</v>
      </c>
      <c r="E644">
        <v>0.9024385</v>
      </c>
      <c r="F644">
        <v>76.4309</v>
      </c>
      <c r="G644">
        <v>0.4232945</v>
      </c>
      <c r="H644">
        <v>-0.1554018</v>
      </c>
      <c r="I644">
        <v>-0.1284033</v>
      </c>
      <c r="J644">
        <v>-0.1097042</v>
      </c>
      <c r="K644">
        <v>-0.0910051</v>
      </c>
      <c r="L644">
        <v>-0.0640066</v>
      </c>
      <c r="M644">
        <v>3.795576</v>
      </c>
      <c r="N644">
        <v>33454.21</v>
      </c>
      <c r="O644">
        <v>256.1915672</v>
      </c>
      <c r="P644">
        <v>6987.161</v>
      </c>
      <c r="Q644">
        <v>7954.093</v>
      </c>
    </row>
    <row r="645" spans="1:17" ht="12.75">
      <c r="A645" t="s">
        <v>36</v>
      </c>
      <c r="B645" s="93">
        <v>40407</v>
      </c>
      <c r="C645">
        <v>20</v>
      </c>
      <c r="D645">
        <v>0.5571088</v>
      </c>
      <c r="E645">
        <v>0.6294169</v>
      </c>
      <c r="F645">
        <v>72.9342</v>
      </c>
      <c r="G645">
        <v>0.4232945</v>
      </c>
      <c r="H645">
        <v>-0.1177078</v>
      </c>
      <c r="I645">
        <v>-0.0908853</v>
      </c>
      <c r="J645">
        <v>-0.0723081</v>
      </c>
      <c r="K645">
        <v>-0.0537309</v>
      </c>
      <c r="L645">
        <v>-0.0269084</v>
      </c>
      <c r="M645">
        <v>3.795576</v>
      </c>
      <c r="N645">
        <v>33454.21</v>
      </c>
      <c r="O645">
        <v>256.1915672</v>
      </c>
      <c r="P645">
        <v>4910.357</v>
      </c>
      <c r="Q645">
        <v>5547.681</v>
      </c>
    </row>
    <row r="646" spans="1:17" ht="12.75">
      <c r="A646" t="s">
        <v>36</v>
      </c>
      <c r="B646" s="93">
        <v>40407</v>
      </c>
      <c r="C646">
        <v>21</v>
      </c>
      <c r="D646">
        <v>0.4016254</v>
      </c>
      <c r="E646">
        <v>0.4487956</v>
      </c>
      <c r="F646">
        <v>71.2159</v>
      </c>
      <c r="G646">
        <v>0.4232945</v>
      </c>
      <c r="H646">
        <v>-0.0924334</v>
      </c>
      <c r="I646">
        <v>-0.0656915</v>
      </c>
      <c r="J646">
        <v>-0.0471702</v>
      </c>
      <c r="K646">
        <v>-0.0286489</v>
      </c>
      <c r="L646">
        <v>-0.001907</v>
      </c>
      <c r="M646">
        <v>3.795576</v>
      </c>
      <c r="N646">
        <v>33454.21</v>
      </c>
      <c r="O646">
        <v>256.1915672</v>
      </c>
      <c r="P646">
        <v>3539.927</v>
      </c>
      <c r="Q646">
        <v>3955.685</v>
      </c>
    </row>
    <row r="647" spans="1:17" ht="12.75">
      <c r="A647" t="s">
        <v>36</v>
      </c>
      <c r="B647" s="93">
        <v>40407</v>
      </c>
      <c r="C647">
        <v>22</v>
      </c>
      <c r="D647">
        <v>0.3101536</v>
      </c>
      <c r="E647">
        <v>0.340724</v>
      </c>
      <c r="F647">
        <v>70.83</v>
      </c>
      <c r="G647">
        <v>0.4232945</v>
      </c>
      <c r="H647">
        <v>-0.0757974</v>
      </c>
      <c r="I647">
        <v>-0.0490769</v>
      </c>
      <c r="J647">
        <v>-0.0305704</v>
      </c>
      <c r="K647">
        <v>-0.012064</v>
      </c>
      <c r="L647">
        <v>0.0146565</v>
      </c>
      <c r="M647">
        <v>3.795576</v>
      </c>
      <c r="N647">
        <v>33454.21</v>
      </c>
      <c r="O647">
        <v>256.1915672</v>
      </c>
      <c r="P647">
        <v>2733.694</v>
      </c>
      <c r="Q647">
        <v>3003.142</v>
      </c>
    </row>
    <row r="648" spans="1:17" ht="12.75">
      <c r="A648" t="s">
        <v>36</v>
      </c>
      <c r="B648" s="93">
        <v>40407</v>
      </c>
      <c r="C648">
        <v>23</v>
      </c>
      <c r="D648">
        <v>0.2387218</v>
      </c>
      <c r="E648">
        <v>0.2584228</v>
      </c>
      <c r="F648">
        <v>70.555</v>
      </c>
      <c r="G648">
        <v>0.4232945</v>
      </c>
      <c r="H648">
        <v>-0.0649408</v>
      </c>
      <c r="I648">
        <v>-0.0382128</v>
      </c>
      <c r="J648">
        <v>-0.019701</v>
      </c>
      <c r="K648">
        <v>-0.0011893</v>
      </c>
      <c r="L648">
        <v>0.0255387</v>
      </c>
      <c r="M648">
        <v>3.795576</v>
      </c>
      <c r="N648">
        <v>33454.21</v>
      </c>
      <c r="O648">
        <v>256.1915672</v>
      </c>
      <c r="P648">
        <v>2104.094</v>
      </c>
      <c r="Q648">
        <v>2277.739</v>
      </c>
    </row>
    <row r="649" spans="1:17" ht="12.75">
      <c r="A649" t="s">
        <v>36</v>
      </c>
      <c r="B649" s="93">
        <v>40407</v>
      </c>
      <c r="C649">
        <v>24</v>
      </c>
      <c r="D649">
        <v>0.2046335</v>
      </c>
      <c r="E649">
        <v>0.2046335</v>
      </c>
      <c r="F649">
        <v>70.3719</v>
      </c>
      <c r="G649">
        <v>0.4232945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3.795576</v>
      </c>
      <c r="N649">
        <v>33454.21</v>
      </c>
      <c r="O649">
        <v>256.1915672</v>
      </c>
      <c r="P649">
        <v>1803.64</v>
      </c>
      <c r="Q649">
        <v>1803.64</v>
      </c>
    </row>
    <row r="650" spans="1:17" ht="12.75">
      <c r="A650" t="s">
        <v>36</v>
      </c>
      <c r="B650" s="93">
        <v>40408</v>
      </c>
      <c r="C650">
        <v>1</v>
      </c>
      <c r="D650">
        <v>0.1791724</v>
      </c>
      <c r="E650">
        <v>0.1791724</v>
      </c>
      <c r="F650">
        <v>69.5357</v>
      </c>
      <c r="G650">
        <v>0.4228445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3.795576</v>
      </c>
      <c r="N650">
        <v>33454.21</v>
      </c>
      <c r="O650">
        <v>257.1893608</v>
      </c>
      <c r="P650">
        <v>1579.225</v>
      </c>
      <c r="Q650">
        <v>1579.225</v>
      </c>
    </row>
    <row r="651" spans="1:17" ht="12.75">
      <c r="A651" t="s">
        <v>36</v>
      </c>
      <c r="B651" s="93">
        <v>40408</v>
      </c>
      <c r="C651">
        <v>2</v>
      </c>
      <c r="D651">
        <v>0.1700747</v>
      </c>
      <c r="E651">
        <v>0.1700747</v>
      </c>
      <c r="F651">
        <v>68.9843</v>
      </c>
      <c r="G651">
        <v>0.4228445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3.795576</v>
      </c>
      <c r="N651">
        <v>33454.21</v>
      </c>
      <c r="O651">
        <v>257.1893608</v>
      </c>
      <c r="P651">
        <v>1499.038</v>
      </c>
      <c r="Q651">
        <v>1499.038</v>
      </c>
    </row>
    <row r="652" spans="1:17" ht="12.75">
      <c r="A652" t="s">
        <v>36</v>
      </c>
      <c r="B652" s="93">
        <v>40408</v>
      </c>
      <c r="C652">
        <v>3</v>
      </c>
      <c r="D652">
        <v>0.1612099</v>
      </c>
      <c r="E652">
        <v>0.1612099</v>
      </c>
      <c r="F652">
        <v>68.6415</v>
      </c>
      <c r="G652">
        <v>0.4228445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3.795576</v>
      </c>
      <c r="N652">
        <v>33454.21</v>
      </c>
      <c r="O652">
        <v>257.1893608</v>
      </c>
      <c r="P652">
        <v>1420.904</v>
      </c>
      <c r="Q652">
        <v>1420.904</v>
      </c>
    </row>
    <row r="653" spans="1:17" ht="12.75">
      <c r="A653" t="s">
        <v>36</v>
      </c>
      <c r="B653" s="93">
        <v>40408</v>
      </c>
      <c r="C653">
        <v>4</v>
      </c>
      <c r="D653">
        <v>0.1529885</v>
      </c>
      <c r="E653">
        <v>0.1529885</v>
      </c>
      <c r="F653">
        <v>68.9342</v>
      </c>
      <c r="G653">
        <v>0.4228445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3.795576</v>
      </c>
      <c r="N653">
        <v>33454.21</v>
      </c>
      <c r="O653">
        <v>257.1893608</v>
      </c>
      <c r="P653">
        <v>1348.441</v>
      </c>
      <c r="Q653">
        <v>1348.441</v>
      </c>
    </row>
    <row r="654" spans="1:17" ht="12.75">
      <c r="A654" t="s">
        <v>36</v>
      </c>
      <c r="B654" s="93">
        <v>40408</v>
      </c>
      <c r="C654">
        <v>5</v>
      </c>
      <c r="D654">
        <v>0.150052</v>
      </c>
      <c r="E654">
        <v>0.150052</v>
      </c>
      <c r="F654">
        <v>68.6853</v>
      </c>
      <c r="G654">
        <v>0.4228445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3.795576</v>
      </c>
      <c r="N654">
        <v>33454.21</v>
      </c>
      <c r="O654">
        <v>257.1893608</v>
      </c>
      <c r="P654">
        <v>1322.558</v>
      </c>
      <c r="Q654">
        <v>1322.558</v>
      </c>
    </row>
    <row r="655" spans="1:17" ht="12.75">
      <c r="A655" t="s">
        <v>36</v>
      </c>
      <c r="B655" s="93">
        <v>40408</v>
      </c>
      <c r="C655">
        <v>6</v>
      </c>
      <c r="D655">
        <v>0.1595678</v>
      </c>
      <c r="E655">
        <v>0.1595678</v>
      </c>
      <c r="F655">
        <v>67.8578</v>
      </c>
      <c r="G655">
        <v>0.4228445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3.795576</v>
      </c>
      <c r="N655">
        <v>33454.21</v>
      </c>
      <c r="O655">
        <v>257.1893608</v>
      </c>
      <c r="P655">
        <v>1406.431</v>
      </c>
      <c r="Q655">
        <v>1406.431</v>
      </c>
    </row>
    <row r="656" spans="1:17" ht="12.75">
      <c r="A656" t="s">
        <v>36</v>
      </c>
      <c r="B656" s="93">
        <v>40408</v>
      </c>
      <c r="C656">
        <v>7</v>
      </c>
      <c r="D656">
        <v>0.2288045</v>
      </c>
      <c r="E656">
        <v>0.2288045</v>
      </c>
      <c r="F656">
        <v>71.3852</v>
      </c>
      <c r="G656">
        <v>0.4228445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3.795576</v>
      </c>
      <c r="N656">
        <v>33454.21</v>
      </c>
      <c r="O656">
        <v>257.1893608</v>
      </c>
      <c r="P656">
        <v>2016.683</v>
      </c>
      <c r="Q656">
        <v>2016.683</v>
      </c>
    </row>
    <row r="657" spans="1:17" ht="12.75">
      <c r="A657" t="s">
        <v>36</v>
      </c>
      <c r="B657" s="93">
        <v>40408</v>
      </c>
      <c r="C657">
        <v>8</v>
      </c>
      <c r="D657">
        <v>0.3920748</v>
      </c>
      <c r="E657">
        <v>0.3920748</v>
      </c>
      <c r="F657">
        <v>73.4577</v>
      </c>
      <c r="G657">
        <v>0.4228445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3.795576</v>
      </c>
      <c r="N657">
        <v>33454.21</v>
      </c>
      <c r="O657">
        <v>257.1893608</v>
      </c>
      <c r="P657">
        <v>3455.747</v>
      </c>
      <c r="Q657">
        <v>3455.747</v>
      </c>
    </row>
    <row r="658" spans="1:17" ht="12.75">
      <c r="A658" t="s">
        <v>36</v>
      </c>
      <c r="B658" s="93">
        <v>40408</v>
      </c>
      <c r="C658">
        <v>9</v>
      </c>
      <c r="D658">
        <v>0.6656898</v>
      </c>
      <c r="E658">
        <v>0.6656898</v>
      </c>
      <c r="F658">
        <v>77.746</v>
      </c>
      <c r="G658">
        <v>0.4228445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3.795576</v>
      </c>
      <c r="N658">
        <v>33454.21</v>
      </c>
      <c r="O658">
        <v>257.1893608</v>
      </c>
      <c r="P658">
        <v>5867.39</v>
      </c>
      <c r="Q658">
        <v>5867.39</v>
      </c>
    </row>
    <row r="659" spans="1:17" ht="12.75">
      <c r="A659" t="s">
        <v>36</v>
      </c>
      <c r="B659" s="93">
        <v>40408</v>
      </c>
      <c r="C659">
        <v>10</v>
      </c>
      <c r="D659">
        <v>0.9849671</v>
      </c>
      <c r="E659">
        <v>0.9849671</v>
      </c>
      <c r="F659">
        <v>81.8421</v>
      </c>
      <c r="G659">
        <v>0.4228445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3.795576</v>
      </c>
      <c r="N659">
        <v>33454.21</v>
      </c>
      <c r="O659">
        <v>257.1893608</v>
      </c>
      <c r="P659">
        <v>8681.5</v>
      </c>
      <c r="Q659">
        <v>8681.5</v>
      </c>
    </row>
    <row r="660" spans="1:17" ht="12.75">
      <c r="A660" t="s">
        <v>36</v>
      </c>
      <c r="B660" s="93">
        <v>40408</v>
      </c>
      <c r="C660">
        <v>11</v>
      </c>
      <c r="D660">
        <v>1.289179</v>
      </c>
      <c r="E660">
        <v>1.289179</v>
      </c>
      <c r="F660">
        <v>85.7743</v>
      </c>
      <c r="G660">
        <v>0.4228445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3.795576</v>
      </c>
      <c r="N660">
        <v>33454.21</v>
      </c>
      <c r="O660">
        <v>257.1893608</v>
      </c>
      <c r="P660">
        <v>11362.82</v>
      </c>
      <c r="Q660">
        <v>11362.82</v>
      </c>
    </row>
    <row r="661" spans="1:17" ht="12.75">
      <c r="A661" t="s">
        <v>36</v>
      </c>
      <c r="B661" s="93">
        <v>40408</v>
      </c>
      <c r="C661">
        <v>12</v>
      </c>
      <c r="D661">
        <v>1.563263</v>
      </c>
      <c r="E661">
        <v>1.563263</v>
      </c>
      <c r="F661">
        <v>87.3699</v>
      </c>
      <c r="G661">
        <v>0.4215754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3.795576</v>
      </c>
      <c r="N661">
        <v>33454.21</v>
      </c>
      <c r="O661">
        <v>257.1593477</v>
      </c>
      <c r="P661">
        <v>13778.6</v>
      </c>
      <c r="Q661">
        <v>13778.6</v>
      </c>
    </row>
    <row r="662" spans="1:17" ht="12.75">
      <c r="A662" t="s">
        <v>36</v>
      </c>
      <c r="B662" s="93">
        <v>40408</v>
      </c>
      <c r="C662">
        <v>13</v>
      </c>
      <c r="D662">
        <v>1.749419</v>
      </c>
      <c r="E662">
        <v>1.749419</v>
      </c>
      <c r="F662">
        <v>86.5829</v>
      </c>
      <c r="G662">
        <v>0.4215754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3.795576</v>
      </c>
      <c r="N662">
        <v>33454.21</v>
      </c>
      <c r="O662">
        <v>257.1593477</v>
      </c>
      <c r="P662">
        <v>15419.38</v>
      </c>
      <c r="Q662">
        <v>15419.38</v>
      </c>
    </row>
    <row r="663" spans="1:17" ht="12.75">
      <c r="A663" t="s">
        <v>36</v>
      </c>
      <c r="B663" s="93">
        <v>40408</v>
      </c>
      <c r="C663">
        <v>14</v>
      </c>
      <c r="D663">
        <v>1.764228</v>
      </c>
      <c r="E663">
        <v>1.359514</v>
      </c>
      <c r="F663">
        <v>84.6206</v>
      </c>
      <c r="G663">
        <v>0.4220205</v>
      </c>
      <c r="H663">
        <v>0.3581839</v>
      </c>
      <c r="I663">
        <v>0.385674</v>
      </c>
      <c r="J663">
        <v>0.4047136</v>
      </c>
      <c r="K663">
        <v>0.4237532</v>
      </c>
      <c r="L663">
        <v>0.4512434</v>
      </c>
      <c r="M663">
        <v>3.795576</v>
      </c>
      <c r="N663">
        <v>33454.21</v>
      </c>
      <c r="O663">
        <v>256.1615542</v>
      </c>
      <c r="P663">
        <v>15549.9</v>
      </c>
      <c r="Q663">
        <v>11982.76</v>
      </c>
    </row>
    <row r="664" spans="1:17" ht="12.75">
      <c r="A664" t="s">
        <v>36</v>
      </c>
      <c r="B664" s="93">
        <v>40408</v>
      </c>
      <c r="C664">
        <v>15</v>
      </c>
      <c r="D664">
        <v>1.767322</v>
      </c>
      <c r="E664">
        <v>1.349288</v>
      </c>
      <c r="F664">
        <v>82.8879</v>
      </c>
      <c r="G664">
        <v>0.4220205</v>
      </c>
      <c r="H664">
        <v>0.3718065</v>
      </c>
      <c r="I664">
        <v>0.3991181</v>
      </c>
      <c r="J664">
        <v>0.4180341</v>
      </c>
      <c r="K664">
        <v>0.43695</v>
      </c>
      <c r="L664">
        <v>0.4642617</v>
      </c>
      <c r="M664">
        <v>3.795576</v>
      </c>
      <c r="N664">
        <v>33454.21</v>
      </c>
      <c r="O664">
        <v>256.1615542</v>
      </c>
      <c r="P664">
        <v>15577.17</v>
      </c>
      <c r="Q664">
        <v>11892.62</v>
      </c>
    </row>
    <row r="665" spans="1:17" ht="12.75">
      <c r="A665" t="s">
        <v>36</v>
      </c>
      <c r="B665" s="93">
        <v>40408</v>
      </c>
      <c r="C665">
        <v>16</v>
      </c>
      <c r="D665">
        <v>1.71342</v>
      </c>
      <c r="E665">
        <v>1.286082</v>
      </c>
      <c r="F665">
        <v>82.8774</v>
      </c>
      <c r="G665">
        <v>0.4216525</v>
      </c>
      <c r="H665">
        <v>0.3812525</v>
      </c>
      <c r="I665">
        <v>0.4084803</v>
      </c>
      <c r="J665">
        <v>0.4273381</v>
      </c>
      <c r="K665">
        <v>0.446196</v>
      </c>
      <c r="L665">
        <v>0.4734238</v>
      </c>
      <c r="M665">
        <v>3.795576</v>
      </c>
      <c r="N665">
        <v>33454.21</v>
      </c>
      <c r="O665">
        <v>257.1893608</v>
      </c>
      <c r="P665">
        <v>15102.09</v>
      </c>
      <c r="Q665">
        <v>11335.53</v>
      </c>
    </row>
    <row r="666" spans="1:17" ht="12.75">
      <c r="A666" t="s">
        <v>36</v>
      </c>
      <c r="B666" s="93">
        <v>40408</v>
      </c>
      <c r="C666">
        <v>17</v>
      </c>
      <c r="D666">
        <v>1.590311</v>
      </c>
      <c r="E666">
        <v>1.152176</v>
      </c>
      <c r="F666">
        <v>82.5417</v>
      </c>
      <c r="G666">
        <v>0.4215754</v>
      </c>
      <c r="H666">
        <v>0.3920116</v>
      </c>
      <c r="I666">
        <v>0.4192618</v>
      </c>
      <c r="J666">
        <v>0.4381353</v>
      </c>
      <c r="K666">
        <v>0.4570087</v>
      </c>
      <c r="L666">
        <v>0.4842589</v>
      </c>
      <c r="M666">
        <v>3.795576</v>
      </c>
      <c r="N666">
        <v>33454.21</v>
      </c>
      <c r="O666">
        <v>257.1593477</v>
      </c>
      <c r="P666">
        <v>14017</v>
      </c>
      <c r="Q666">
        <v>10155.28</v>
      </c>
    </row>
    <row r="667" spans="1:17" ht="12.75">
      <c r="A667" t="s">
        <v>36</v>
      </c>
      <c r="B667" s="93">
        <v>40408</v>
      </c>
      <c r="C667">
        <v>18</v>
      </c>
      <c r="D667">
        <v>1.26606</v>
      </c>
      <c r="E667">
        <v>1.441846</v>
      </c>
      <c r="F667">
        <v>80.9464</v>
      </c>
      <c r="G667">
        <v>0.4215754</v>
      </c>
      <c r="H667">
        <v>-0.2232943</v>
      </c>
      <c r="I667">
        <v>-0.1952261</v>
      </c>
      <c r="J667">
        <v>-0.1757861</v>
      </c>
      <c r="K667">
        <v>-0.1563462</v>
      </c>
      <c r="L667">
        <v>-0.128278</v>
      </c>
      <c r="M667">
        <v>3.795576</v>
      </c>
      <c r="N667">
        <v>33454.21</v>
      </c>
      <c r="O667">
        <v>257.1593477</v>
      </c>
      <c r="P667">
        <v>11159.05</v>
      </c>
      <c r="Q667">
        <v>12708.43</v>
      </c>
    </row>
    <row r="668" spans="1:17" ht="12.75">
      <c r="A668" t="s">
        <v>36</v>
      </c>
      <c r="B668" s="93">
        <v>40408</v>
      </c>
      <c r="C668">
        <v>19</v>
      </c>
      <c r="D668">
        <v>0.8763616</v>
      </c>
      <c r="E668">
        <v>0.9940331</v>
      </c>
      <c r="F668">
        <v>78.9385</v>
      </c>
      <c r="G668">
        <v>0.4212106</v>
      </c>
      <c r="H668">
        <v>-0.163589</v>
      </c>
      <c r="I668">
        <v>-0.1364605</v>
      </c>
      <c r="J668">
        <v>-0.1176715</v>
      </c>
      <c r="K668">
        <v>-0.0988824</v>
      </c>
      <c r="L668">
        <v>-0.071754</v>
      </c>
      <c r="M668">
        <v>3.795576</v>
      </c>
      <c r="N668">
        <v>33454.21</v>
      </c>
      <c r="O668">
        <v>258.1871544</v>
      </c>
      <c r="P668">
        <v>7724.251</v>
      </c>
      <c r="Q668">
        <v>8761.408</v>
      </c>
    </row>
    <row r="669" spans="1:17" ht="12.75">
      <c r="A669" t="s">
        <v>36</v>
      </c>
      <c r="B669" s="93">
        <v>40408</v>
      </c>
      <c r="C669">
        <v>20</v>
      </c>
      <c r="D669">
        <v>0.6113694</v>
      </c>
      <c r="E669">
        <v>0.6894224</v>
      </c>
      <c r="F669">
        <v>76.0517</v>
      </c>
      <c r="G669">
        <v>0.4228445</v>
      </c>
      <c r="H669">
        <v>-0.1238818</v>
      </c>
      <c r="I669">
        <v>-0.0968058</v>
      </c>
      <c r="J669">
        <v>-0.0780531</v>
      </c>
      <c r="K669">
        <v>-0.0593003</v>
      </c>
      <c r="L669">
        <v>-0.0322243</v>
      </c>
      <c r="M669">
        <v>3.795576</v>
      </c>
      <c r="N669">
        <v>33454.21</v>
      </c>
      <c r="O669">
        <v>257.1893608</v>
      </c>
      <c r="P669">
        <v>5388.61</v>
      </c>
      <c r="Q669">
        <v>6076.569</v>
      </c>
    </row>
    <row r="670" spans="1:17" ht="12.75">
      <c r="A670" t="s">
        <v>36</v>
      </c>
      <c r="B670" s="93">
        <v>40408</v>
      </c>
      <c r="C670">
        <v>21</v>
      </c>
      <c r="D670">
        <v>0.4374906</v>
      </c>
      <c r="E670">
        <v>0.4881521</v>
      </c>
      <c r="F670">
        <v>73.7384</v>
      </c>
      <c r="G670">
        <v>0.4216525</v>
      </c>
      <c r="H670">
        <v>-0.0963529</v>
      </c>
      <c r="I670">
        <v>-0.069358</v>
      </c>
      <c r="J670">
        <v>-0.0506615</v>
      </c>
      <c r="K670">
        <v>-0.0319649</v>
      </c>
      <c r="L670">
        <v>-0.00497</v>
      </c>
      <c r="M670">
        <v>3.795576</v>
      </c>
      <c r="N670">
        <v>33454.21</v>
      </c>
      <c r="O670">
        <v>257.1893608</v>
      </c>
      <c r="P670">
        <v>3856.042</v>
      </c>
      <c r="Q670">
        <v>4302.573</v>
      </c>
    </row>
    <row r="671" spans="1:17" ht="12.75">
      <c r="A671" t="s">
        <v>36</v>
      </c>
      <c r="B671" s="93">
        <v>40408</v>
      </c>
      <c r="C671">
        <v>22</v>
      </c>
      <c r="D671">
        <v>0.335914</v>
      </c>
      <c r="E671">
        <v>0.3688086</v>
      </c>
      <c r="F671">
        <v>72.6311</v>
      </c>
      <c r="G671">
        <v>0.4232945</v>
      </c>
      <c r="H671">
        <v>-0.0787289</v>
      </c>
      <c r="I671">
        <v>-0.0516496</v>
      </c>
      <c r="J671">
        <v>-0.0328946</v>
      </c>
      <c r="K671">
        <v>-0.0141396</v>
      </c>
      <c r="L671">
        <v>0.0129397</v>
      </c>
      <c r="M671">
        <v>3.795576</v>
      </c>
      <c r="N671">
        <v>33454.21</v>
      </c>
      <c r="O671">
        <v>256.1915672</v>
      </c>
      <c r="P671">
        <v>2960.746</v>
      </c>
      <c r="Q671">
        <v>3250.679</v>
      </c>
    </row>
    <row r="672" spans="1:17" ht="12.75">
      <c r="A672" t="s">
        <v>36</v>
      </c>
      <c r="B672" s="93">
        <v>40408</v>
      </c>
      <c r="C672">
        <v>23</v>
      </c>
      <c r="D672">
        <v>0.2575797</v>
      </c>
      <c r="E672">
        <v>0.278907</v>
      </c>
      <c r="F672">
        <v>71.9085</v>
      </c>
      <c r="G672">
        <v>0.4212106</v>
      </c>
      <c r="H672">
        <v>-0.0668562</v>
      </c>
      <c r="I672">
        <v>-0.0399573</v>
      </c>
      <c r="J672">
        <v>-0.0213273</v>
      </c>
      <c r="K672">
        <v>-0.0026972</v>
      </c>
      <c r="L672">
        <v>0.0242017</v>
      </c>
      <c r="M672">
        <v>3.795576</v>
      </c>
      <c r="N672">
        <v>33454.21</v>
      </c>
      <c r="O672">
        <v>258.1871544</v>
      </c>
      <c r="P672">
        <v>2270.308</v>
      </c>
      <c r="Q672">
        <v>2458.286</v>
      </c>
    </row>
    <row r="673" spans="1:17" ht="12.75">
      <c r="A673" t="s">
        <v>36</v>
      </c>
      <c r="B673" s="93">
        <v>40408</v>
      </c>
      <c r="C673">
        <v>24</v>
      </c>
      <c r="D673">
        <v>0.2191575</v>
      </c>
      <c r="E673">
        <v>0.219132</v>
      </c>
      <c r="F673">
        <v>71.4571</v>
      </c>
      <c r="G673">
        <v>0.4216525</v>
      </c>
      <c r="H673">
        <v>-0.0456547</v>
      </c>
      <c r="I673">
        <v>-0.0186665</v>
      </c>
      <c r="J673">
        <v>2.55E-05</v>
      </c>
      <c r="K673">
        <v>0.0187175</v>
      </c>
      <c r="L673">
        <v>0.0457058</v>
      </c>
      <c r="M673">
        <v>3.795576</v>
      </c>
      <c r="N673">
        <v>33454.21</v>
      </c>
      <c r="O673">
        <v>257.1893608</v>
      </c>
      <c r="P673">
        <v>1931.654</v>
      </c>
      <c r="Q673">
        <v>1931.429</v>
      </c>
    </row>
    <row r="674" spans="1:17" ht="12.75">
      <c r="A674" t="s">
        <v>36</v>
      </c>
      <c r="B674" s="93">
        <v>40409</v>
      </c>
      <c r="C674">
        <v>1</v>
      </c>
      <c r="D674">
        <v>0.1895773</v>
      </c>
      <c r="E674">
        <v>0.1895773</v>
      </c>
      <c r="F674">
        <v>71.501</v>
      </c>
      <c r="G674">
        <v>0.4216525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3.795576</v>
      </c>
      <c r="N674">
        <v>33454.21</v>
      </c>
      <c r="O674">
        <v>257.1893608</v>
      </c>
      <c r="P674">
        <v>1670.934</v>
      </c>
      <c r="Q674">
        <v>1670.934</v>
      </c>
    </row>
    <row r="675" spans="1:17" ht="12.75">
      <c r="A675" t="s">
        <v>36</v>
      </c>
      <c r="B675" s="93">
        <v>40409</v>
      </c>
      <c r="C675">
        <v>2</v>
      </c>
      <c r="D675">
        <v>0.178384</v>
      </c>
      <c r="E675">
        <v>0.178384</v>
      </c>
      <c r="F675">
        <v>70.7434</v>
      </c>
      <c r="G675">
        <v>0.4212106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3.795576</v>
      </c>
      <c r="N675">
        <v>33454.21</v>
      </c>
      <c r="O675">
        <v>258.1871544</v>
      </c>
      <c r="P675">
        <v>1572.277</v>
      </c>
      <c r="Q675">
        <v>1572.277</v>
      </c>
    </row>
    <row r="676" spans="1:17" ht="12.75">
      <c r="A676" t="s">
        <v>36</v>
      </c>
      <c r="B676" s="93">
        <v>40409</v>
      </c>
      <c r="C676">
        <v>3</v>
      </c>
      <c r="D676">
        <v>0.1674007</v>
      </c>
      <c r="E676">
        <v>0.1674007</v>
      </c>
      <c r="F676">
        <v>69.791</v>
      </c>
      <c r="G676">
        <v>0.4212106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3.795576</v>
      </c>
      <c r="N676">
        <v>33454.21</v>
      </c>
      <c r="O676">
        <v>258.1871544</v>
      </c>
      <c r="P676">
        <v>1475.47</v>
      </c>
      <c r="Q676">
        <v>1475.47</v>
      </c>
    </row>
    <row r="677" spans="1:17" ht="12.75">
      <c r="A677" t="s">
        <v>36</v>
      </c>
      <c r="B677" s="93">
        <v>40409</v>
      </c>
      <c r="C677">
        <v>4</v>
      </c>
      <c r="D677">
        <v>0.1566333</v>
      </c>
      <c r="E677">
        <v>0.1566333</v>
      </c>
      <c r="F677">
        <v>69.0708</v>
      </c>
      <c r="G677">
        <v>0.4212106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3.795576</v>
      </c>
      <c r="N677">
        <v>33454.21</v>
      </c>
      <c r="O677">
        <v>258.1871544</v>
      </c>
      <c r="P677">
        <v>1380.566</v>
      </c>
      <c r="Q677">
        <v>1380.566</v>
      </c>
    </row>
    <row r="678" spans="1:17" ht="12.75">
      <c r="A678" t="s">
        <v>36</v>
      </c>
      <c r="B678" s="93">
        <v>40409</v>
      </c>
      <c r="C678">
        <v>5</v>
      </c>
      <c r="D678">
        <v>0.1521481</v>
      </c>
      <c r="E678">
        <v>0.1521481</v>
      </c>
      <c r="F678">
        <v>68.6823</v>
      </c>
      <c r="G678">
        <v>0.4212106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3.795576</v>
      </c>
      <c r="N678">
        <v>33454.21</v>
      </c>
      <c r="O678">
        <v>258.1871544</v>
      </c>
      <c r="P678">
        <v>1341.033</v>
      </c>
      <c r="Q678">
        <v>1341.033</v>
      </c>
    </row>
    <row r="679" spans="1:17" ht="12.75">
      <c r="A679" t="s">
        <v>36</v>
      </c>
      <c r="B679" s="93">
        <v>40409</v>
      </c>
      <c r="C679">
        <v>6</v>
      </c>
      <c r="D679">
        <v>0.1624587</v>
      </c>
      <c r="E679">
        <v>0.1624587</v>
      </c>
      <c r="F679">
        <v>67.6415</v>
      </c>
      <c r="G679">
        <v>0.4228445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3.795576</v>
      </c>
      <c r="N679">
        <v>33454.21</v>
      </c>
      <c r="O679">
        <v>257.1893608</v>
      </c>
      <c r="P679">
        <v>1431.911</v>
      </c>
      <c r="Q679">
        <v>1431.911</v>
      </c>
    </row>
    <row r="680" spans="1:17" ht="12.75">
      <c r="A680" t="s">
        <v>36</v>
      </c>
      <c r="B680" s="93">
        <v>40409</v>
      </c>
      <c r="C680">
        <v>7</v>
      </c>
      <c r="D680">
        <v>0.2334953</v>
      </c>
      <c r="E680">
        <v>0.2334953</v>
      </c>
      <c r="F680">
        <v>68.2971</v>
      </c>
      <c r="G680">
        <v>0.4232945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3.795576</v>
      </c>
      <c r="N680">
        <v>33454.21</v>
      </c>
      <c r="O680">
        <v>256.1915672</v>
      </c>
      <c r="P680">
        <v>2058.028</v>
      </c>
      <c r="Q680">
        <v>2058.028</v>
      </c>
    </row>
    <row r="681" spans="1:17" ht="12.75">
      <c r="A681" t="s">
        <v>36</v>
      </c>
      <c r="B681" s="93">
        <v>40409</v>
      </c>
      <c r="C681">
        <v>8</v>
      </c>
      <c r="D681">
        <v>0.3908291</v>
      </c>
      <c r="E681">
        <v>0.3908291</v>
      </c>
      <c r="F681">
        <v>72.2183</v>
      </c>
      <c r="G681">
        <v>0.4212106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3.795576</v>
      </c>
      <c r="N681">
        <v>33454.21</v>
      </c>
      <c r="O681">
        <v>258.1871544</v>
      </c>
      <c r="P681">
        <v>3444.768</v>
      </c>
      <c r="Q681">
        <v>3444.768</v>
      </c>
    </row>
    <row r="682" spans="1:17" ht="12.75">
      <c r="A682" t="s">
        <v>36</v>
      </c>
      <c r="B682" s="93">
        <v>40409</v>
      </c>
      <c r="C682">
        <v>9</v>
      </c>
      <c r="D682">
        <v>0.6631041</v>
      </c>
      <c r="E682">
        <v>0.6631041</v>
      </c>
      <c r="F682">
        <v>77.6463</v>
      </c>
      <c r="G682">
        <v>0.4212106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3.795576</v>
      </c>
      <c r="N682">
        <v>33454.21</v>
      </c>
      <c r="O682">
        <v>258.1871544</v>
      </c>
      <c r="P682">
        <v>5844.599</v>
      </c>
      <c r="Q682">
        <v>5844.599</v>
      </c>
    </row>
    <row r="683" spans="1:17" ht="12.75">
      <c r="A683" t="s">
        <v>36</v>
      </c>
      <c r="B683" s="93">
        <v>40409</v>
      </c>
      <c r="C683">
        <v>10</v>
      </c>
      <c r="D683">
        <v>0.9640627</v>
      </c>
      <c r="E683">
        <v>0.9640627</v>
      </c>
      <c r="F683">
        <v>80.0845</v>
      </c>
      <c r="G683">
        <v>0.4212106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3.795576</v>
      </c>
      <c r="N683">
        <v>33454.21</v>
      </c>
      <c r="O683">
        <v>258.1871544</v>
      </c>
      <c r="P683">
        <v>8497.249</v>
      </c>
      <c r="Q683">
        <v>8497.249</v>
      </c>
    </row>
    <row r="684" spans="1:17" ht="12.75">
      <c r="A684" t="s">
        <v>36</v>
      </c>
      <c r="B684" s="93">
        <v>40409</v>
      </c>
      <c r="C684">
        <v>11</v>
      </c>
      <c r="D684">
        <v>1.223267</v>
      </c>
      <c r="E684">
        <v>1.223267</v>
      </c>
      <c r="F684">
        <v>82.5833</v>
      </c>
      <c r="G684">
        <v>0.4212106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3.795576</v>
      </c>
      <c r="N684">
        <v>33454.21</v>
      </c>
      <c r="O684">
        <v>258.1871544</v>
      </c>
      <c r="P684">
        <v>10781.87</v>
      </c>
      <c r="Q684">
        <v>10781.87</v>
      </c>
    </row>
    <row r="685" spans="1:17" ht="12.75">
      <c r="A685" t="s">
        <v>36</v>
      </c>
      <c r="B685" s="93">
        <v>40409</v>
      </c>
      <c r="C685">
        <v>12</v>
      </c>
      <c r="D685">
        <v>1.447983</v>
      </c>
      <c r="E685">
        <v>1.447983</v>
      </c>
      <c r="F685">
        <v>83.8528</v>
      </c>
      <c r="G685">
        <v>0.4212106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3.795576</v>
      </c>
      <c r="N685">
        <v>33454.21</v>
      </c>
      <c r="O685">
        <v>258.1871544</v>
      </c>
      <c r="P685">
        <v>12762.52</v>
      </c>
      <c r="Q685">
        <v>12762.52</v>
      </c>
    </row>
    <row r="686" spans="1:17" ht="12.75">
      <c r="A686" t="s">
        <v>36</v>
      </c>
      <c r="B686" s="93">
        <v>40409</v>
      </c>
      <c r="C686">
        <v>13</v>
      </c>
      <c r="D686">
        <v>1.611988</v>
      </c>
      <c r="E686">
        <v>1.611988</v>
      </c>
      <c r="F686">
        <v>84.4765</v>
      </c>
      <c r="G686">
        <v>0.4212106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3.795576</v>
      </c>
      <c r="N686">
        <v>33454.21</v>
      </c>
      <c r="O686">
        <v>258.1871544</v>
      </c>
      <c r="P686">
        <v>14208.07</v>
      </c>
      <c r="Q686">
        <v>14208.07</v>
      </c>
    </row>
    <row r="687" spans="1:17" ht="12.75">
      <c r="A687" t="s">
        <v>36</v>
      </c>
      <c r="B687" s="93">
        <v>40409</v>
      </c>
      <c r="C687">
        <v>14</v>
      </c>
      <c r="D687">
        <v>1.620802</v>
      </c>
      <c r="E687">
        <v>1.240794</v>
      </c>
      <c r="F687">
        <v>83.1871</v>
      </c>
      <c r="G687">
        <v>0.4212106</v>
      </c>
      <c r="H687">
        <v>0.334189</v>
      </c>
      <c r="I687">
        <v>0.3612596</v>
      </c>
      <c r="J687">
        <v>0.3800086</v>
      </c>
      <c r="K687">
        <v>0.3987576</v>
      </c>
      <c r="L687">
        <v>0.4258282</v>
      </c>
      <c r="M687">
        <v>3.795576</v>
      </c>
      <c r="N687">
        <v>33454.21</v>
      </c>
      <c r="O687">
        <v>258.1871544</v>
      </c>
      <c r="P687">
        <v>14285.75</v>
      </c>
      <c r="Q687">
        <v>10936.36</v>
      </c>
    </row>
    <row r="688" spans="1:17" ht="12.75">
      <c r="A688" t="s">
        <v>36</v>
      </c>
      <c r="B688" s="93">
        <v>40409</v>
      </c>
      <c r="C688">
        <v>15</v>
      </c>
      <c r="D688">
        <v>1.631518</v>
      </c>
      <c r="E688">
        <v>1.236875</v>
      </c>
      <c r="F688">
        <v>82.2284</v>
      </c>
      <c r="G688">
        <v>0.4216525</v>
      </c>
      <c r="H688">
        <v>0.3489145</v>
      </c>
      <c r="I688">
        <v>0.3759314</v>
      </c>
      <c r="J688">
        <v>0.3946432</v>
      </c>
      <c r="K688">
        <v>0.413355</v>
      </c>
      <c r="L688">
        <v>0.4403718</v>
      </c>
      <c r="M688">
        <v>3.795576</v>
      </c>
      <c r="N688">
        <v>33454.21</v>
      </c>
      <c r="O688">
        <v>257.1893608</v>
      </c>
      <c r="P688">
        <v>14380.2</v>
      </c>
      <c r="Q688">
        <v>10901.82</v>
      </c>
    </row>
    <row r="689" spans="1:17" ht="12.75">
      <c r="A689" t="s">
        <v>36</v>
      </c>
      <c r="B689" s="93">
        <v>40409</v>
      </c>
      <c r="C689">
        <v>16</v>
      </c>
      <c r="D689">
        <v>1.579803</v>
      </c>
      <c r="E689">
        <v>1.174962</v>
      </c>
      <c r="F689">
        <v>81.0434</v>
      </c>
      <c r="G689">
        <v>0.4216525</v>
      </c>
      <c r="H689">
        <v>0.3591264</v>
      </c>
      <c r="I689">
        <v>0.3861351</v>
      </c>
      <c r="J689">
        <v>0.4048413</v>
      </c>
      <c r="K689">
        <v>0.4235475</v>
      </c>
      <c r="L689">
        <v>0.4505562</v>
      </c>
      <c r="M689">
        <v>3.795576</v>
      </c>
      <c r="N689">
        <v>33454.21</v>
      </c>
      <c r="O689">
        <v>257.1893608</v>
      </c>
      <c r="P689">
        <v>13924.38</v>
      </c>
      <c r="Q689">
        <v>10356.11</v>
      </c>
    </row>
    <row r="690" spans="1:17" ht="12.75">
      <c r="A690" t="s">
        <v>36</v>
      </c>
      <c r="B690" s="93">
        <v>40409</v>
      </c>
      <c r="C690">
        <v>17</v>
      </c>
      <c r="D690">
        <v>1.456898</v>
      </c>
      <c r="E690">
        <v>1.043784</v>
      </c>
      <c r="F690">
        <v>79.5876</v>
      </c>
      <c r="G690">
        <v>0.4232945</v>
      </c>
      <c r="H690">
        <v>0.3672251</v>
      </c>
      <c r="I690">
        <v>0.3943368</v>
      </c>
      <c r="J690">
        <v>0.4131143</v>
      </c>
      <c r="K690">
        <v>0.4318918</v>
      </c>
      <c r="L690">
        <v>0.4590035</v>
      </c>
      <c r="M690">
        <v>3.795576</v>
      </c>
      <c r="N690">
        <v>33454.21</v>
      </c>
      <c r="O690">
        <v>256.1915672</v>
      </c>
      <c r="P690">
        <v>12841.1</v>
      </c>
      <c r="Q690">
        <v>9199.914</v>
      </c>
    </row>
    <row r="691" spans="1:17" ht="12.75">
      <c r="A691" t="s">
        <v>36</v>
      </c>
      <c r="B691" s="93">
        <v>40409</v>
      </c>
      <c r="C691">
        <v>18</v>
      </c>
      <c r="D691">
        <v>1.145898</v>
      </c>
      <c r="E691">
        <v>1.309401</v>
      </c>
      <c r="F691">
        <v>77.1338</v>
      </c>
      <c r="G691">
        <v>0.4232945</v>
      </c>
      <c r="H691">
        <v>-0.2105872</v>
      </c>
      <c r="I691">
        <v>-0.1827693</v>
      </c>
      <c r="J691">
        <v>-0.1635028</v>
      </c>
      <c r="K691">
        <v>-0.1442363</v>
      </c>
      <c r="L691">
        <v>-0.1164185</v>
      </c>
      <c r="M691">
        <v>3.795576</v>
      </c>
      <c r="N691">
        <v>33454.21</v>
      </c>
      <c r="O691">
        <v>256.1915672</v>
      </c>
      <c r="P691">
        <v>10099.95</v>
      </c>
      <c r="Q691">
        <v>11541.06</v>
      </c>
    </row>
    <row r="692" spans="1:17" ht="12.75">
      <c r="A692" t="s">
        <v>36</v>
      </c>
      <c r="B692" s="93">
        <v>40409</v>
      </c>
      <c r="C692">
        <v>19</v>
      </c>
      <c r="D692">
        <v>0.7936021</v>
      </c>
      <c r="E692">
        <v>0.9025078</v>
      </c>
      <c r="F692">
        <v>75.474</v>
      </c>
      <c r="G692">
        <v>0.4232945</v>
      </c>
      <c r="H692">
        <v>-0.1546121</v>
      </c>
      <c r="I692">
        <v>-0.1276084</v>
      </c>
      <c r="J692">
        <v>-0.1089057</v>
      </c>
      <c r="K692">
        <v>-0.090203</v>
      </c>
      <c r="L692">
        <v>-0.0631992</v>
      </c>
      <c r="M692">
        <v>3.795576</v>
      </c>
      <c r="N692">
        <v>33454.21</v>
      </c>
      <c r="O692">
        <v>256.1915672</v>
      </c>
      <c r="P692">
        <v>6994.809</v>
      </c>
      <c r="Q692">
        <v>7954.704</v>
      </c>
    </row>
    <row r="693" spans="1:17" ht="12.75">
      <c r="A693" t="s">
        <v>36</v>
      </c>
      <c r="B693" s="93">
        <v>40409</v>
      </c>
      <c r="C693">
        <v>20</v>
      </c>
      <c r="D693">
        <v>0.5551899</v>
      </c>
      <c r="E693">
        <v>0.6268055</v>
      </c>
      <c r="F693">
        <v>73.3982</v>
      </c>
      <c r="G693">
        <v>0.4216525</v>
      </c>
      <c r="H693">
        <v>-0.1168469</v>
      </c>
      <c r="I693">
        <v>-0.0901239</v>
      </c>
      <c r="J693">
        <v>-0.0716156</v>
      </c>
      <c r="K693">
        <v>-0.0531073</v>
      </c>
      <c r="L693">
        <v>-0.0263842</v>
      </c>
      <c r="M693">
        <v>3.795576</v>
      </c>
      <c r="N693">
        <v>33454.21</v>
      </c>
      <c r="O693">
        <v>257.1893608</v>
      </c>
      <c r="P693">
        <v>4893.444</v>
      </c>
      <c r="Q693">
        <v>5524.664</v>
      </c>
    </row>
    <row r="694" spans="1:17" ht="12.75">
      <c r="A694" t="s">
        <v>36</v>
      </c>
      <c r="B694" s="93">
        <v>40409</v>
      </c>
      <c r="C694">
        <v>21</v>
      </c>
      <c r="D694">
        <v>0.3986859</v>
      </c>
      <c r="E694">
        <v>0.4452993</v>
      </c>
      <c r="F694">
        <v>71.3537</v>
      </c>
      <c r="G694">
        <v>0.4216525</v>
      </c>
      <c r="H694">
        <v>-0.0917112</v>
      </c>
      <c r="I694">
        <v>-0.065067</v>
      </c>
      <c r="J694">
        <v>-0.0466134</v>
      </c>
      <c r="K694">
        <v>-0.0281597</v>
      </c>
      <c r="L694">
        <v>-0.0015156</v>
      </c>
      <c r="M694">
        <v>3.795576</v>
      </c>
      <c r="N694">
        <v>33454.21</v>
      </c>
      <c r="O694">
        <v>257.1893608</v>
      </c>
      <c r="P694">
        <v>3514.018</v>
      </c>
      <c r="Q694">
        <v>3924.868</v>
      </c>
    </row>
    <row r="695" spans="1:17" ht="12.75">
      <c r="A695" t="s">
        <v>36</v>
      </c>
      <c r="B695" s="93">
        <v>40409</v>
      </c>
      <c r="C695">
        <v>22</v>
      </c>
      <c r="D695">
        <v>0.3060249</v>
      </c>
      <c r="E695">
        <v>0.3361179</v>
      </c>
      <c r="F695">
        <v>70.1695</v>
      </c>
      <c r="G695">
        <v>0.4232945</v>
      </c>
      <c r="H695">
        <v>-0.0752895</v>
      </c>
      <c r="I695">
        <v>-0.048587</v>
      </c>
      <c r="J695">
        <v>-0.030093</v>
      </c>
      <c r="K695">
        <v>-0.0115989</v>
      </c>
      <c r="L695">
        <v>0.0151036</v>
      </c>
      <c r="M695">
        <v>3.795576</v>
      </c>
      <c r="N695">
        <v>33454.21</v>
      </c>
      <c r="O695">
        <v>256.1915672</v>
      </c>
      <c r="P695">
        <v>2697.304</v>
      </c>
      <c r="Q695">
        <v>2962.543</v>
      </c>
    </row>
    <row r="696" spans="1:17" ht="12.75">
      <c r="A696" t="s">
        <v>36</v>
      </c>
      <c r="B696" s="93">
        <v>40409</v>
      </c>
      <c r="C696">
        <v>23</v>
      </c>
      <c r="D696">
        <v>0.2344981</v>
      </c>
      <c r="E696">
        <v>0.2537134</v>
      </c>
      <c r="F696">
        <v>68.8747</v>
      </c>
      <c r="G696">
        <v>0.4232945</v>
      </c>
      <c r="H696">
        <v>-0.0643759</v>
      </c>
      <c r="I696">
        <v>-0.0376947</v>
      </c>
      <c r="J696">
        <v>-0.0192153</v>
      </c>
      <c r="K696">
        <v>-0.000736</v>
      </c>
      <c r="L696">
        <v>0.0259453</v>
      </c>
      <c r="M696">
        <v>3.795576</v>
      </c>
      <c r="N696">
        <v>33454.21</v>
      </c>
      <c r="O696">
        <v>256.1915672</v>
      </c>
      <c r="P696">
        <v>2066.866</v>
      </c>
      <c r="Q696">
        <v>2236.23</v>
      </c>
    </row>
    <row r="697" spans="1:17" ht="12.75">
      <c r="A697" t="s">
        <v>36</v>
      </c>
      <c r="B697" s="93">
        <v>40409</v>
      </c>
      <c r="C697">
        <v>24</v>
      </c>
      <c r="D697">
        <v>0.1966084</v>
      </c>
      <c r="E697">
        <v>0.1966084</v>
      </c>
      <c r="F697">
        <v>66.9959</v>
      </c>
      <c r="G697">
        <v>0.4216525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3.795576</v>
      </c>
      <c r="N697">
        <v>33454.21</v>
      </c>
      <c r="O697">
        <v>257.1893608</v>
      </c>
      <c r="P697">
        <v>1732.907</v>
      </c>
      <c r="Q697">
        <v>1732.907</v>
      </c>
    </row>
    <row r="698" spans="1:17" ht="12.75">
      <c r="A698" t="s">
        <v>36</v>
      </c>
      <c r="B698" s="93">
        <v>40413</v>
      </c>
      <c r="C698">
        <v>1</v>
      </c>
      <c r="D698">
        <v>0.1591802</v>
      </c>
      <c r="E698">
        <v>0.1591802</v>
      </c>
      <c r="F698">
        <v>65.2913</v>
      </c>
      <c r="G698">
        <v>0.4228445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3.795576</v>
      </c>
      <c r="N698">
        <v>33454.21</v>
      </c>
      <c r="O698">
        <v>257.1893608</v>
      </c>
      <c r="P698">
        <v>1403.014</v>
      </c>
      <c r="Q698">
        <v>1403.014</v>
      </c>
    </row>
    <row r="699" spans="1:17" ht="12.75">
      <c r="A699" t="s">
        <v>36</v>
      </c>
      <c r="B699" s="93">
        <v>40413</v>
      </c>
      <c r="C699">
        <v>2</v>
      </c>
      <c r="D699">
        <v>0.1503562</v>
      </c>
      <c r="E699">
        <v>0.1503562</v>
      </c>
      <c r="F699">
        <v>65.2164</v>
      </c>
      <c r="G699">
        <v>0.4228445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3.795576</v>
      </c>
      <c r="N699">
        <v>33454.21</v>
      </c>
      <c r="O699">
        <v>257.1893608</v>
      </c>
      <c r="P699">
        <v>1325.239</v>
      </c>
      <c r="Q699">
        <v>1325.239</v>
      </c>
    </row>
    <row r="700" spans="1:17" ht="12.75">
      <c r="A700" t="s">
        <v>36</v>
      </c>
      <c r="B700" s="93">
        <v>40413</v>
      </c>
      <c r="C700">
        <v>3</v>
      </c>
      <c r="D700">
        <v>0.142662</v>
      </c>
      <c r="E700">
        <v>0.142662</v>
      </c>
      <c r="F700">
        <v>64.3708</v>
      </c>
      <c r="G700">
        <v>0.4228445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3.795576</v>
      </c>
      <c r="N700">
        <v>33454.21</v>
      </c>
      <c r="O700">
        <v>257.1893608</v>
      </c>
      <c r="P700">
        <v>1257.423</v>
      </c>
      <c r="Q700">
        <v>1257.423</v>
      </c>
    </row>
    <row r="701" spans="1:17" ht="12.75">
      <c r="A701" t="s">
        <v>36</v>
      </c>
      <c r="B701" s="93">
        <v>40413</v>
      </c>
      <c r="C701">
        <v>4</v>
      </c>
      <c r="D701">
        <v>0.1344202</v>
      </c>
      <c r="E701">
        <v>0.1344202</v>
      </c>
      <c r="F701">
        <v>63.9313</v>
      </c>
      <c r="G701">
        <v>0.4228445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3.795576</v>
      </c>
      <c r="N701">
        <v>33454.21</v>
      </c>
      <c r="O701">
        <v>257.1893608</v>
      </c>
      <c r="P701">
        <v>1184.78</v>
      </c>
      <c r="Q701">
        <v>1184.78</v>
      </c>
    </row>
    <row r="702" spans="1:17" ht="12.75">
      <c r="A702" t="s">
        <v>36</v>
      </c>
      <c r="B702" s="93">
        <v>40413</v>
      </c>
      <c r="C702">
        <v>5</v>
      </c>
      <c r="D702">
        <v>0.132091</v>
      </c>
      <c r="E702">
        <v>0.132091</v>
      </c>
      <c r="F702">
        <v>63.7118</v>
      </c>
      <c r="G702">
        <v>0.4228445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3.795576</v>
      </c>
      <c r="N702">
        <v>33454.21</v>
      </c>
      <c r="O702">
        <v>257.1893608</v>
      </c>
      <c r="P702">
        <v>1164.25</v>
      </c>
      <c r="Q702">
        <v>1164.25</v>
      </c>
    </row>
    <row r="703" spans="1:17" ht="12.75">
      <c r="A703" t="s">
        <v>36</v>
      </c>
      <c r="B703" s="93">
        <v>40413</v>
      </c>
      <c r="C703">
        <v>6</v>
      </c>
      <c r="D703">
        <v>0.1370156</v>
      </c>
      <c r="E703">
        <v>0.1370156</v>
      </c>
      <c r="F703">
        <v>63.5595</v>
      </c>
      <c r="G703">
        <v>0.4228445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3.795576</v>
      </c>
      <c r="N703">
        <v>33454.21</v>
      </c>
      <c r="O703">
        <v>257.1893608</v>
      </c>
      <c r="P703">
        <v>1207.656</v>
      </c>
      <c r="Q703">
        <v>1207.656</v>
      </c>
    </row>
    <row r="704" spans="1:17" ht="12.75">
      <c r="A704" t="s">
        <v>36</v>
      </c>
      <c r="B704" s="93">
        <v>40413</v>
      </c>
      <c r="C704">
        <v>7</v>
      </c>
      <c r="D704">
        <v>0.1852289</v>
      </c>
      <c r="E704">
        <v>0.1852289</v>
      </c>
      <c r="F704">
        <v>64.2656</v>
      </c>
      <c r="G704">
        <v>0.4228445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3.795576</v>
      </c>
      <c r="N704">
        <v>33454.21</v>
      </c>
      <c r="O704">
        <v>257.1893608</v>
      </c>
      <c r="P704">
        <v>1632.608</v>
      </c>
      <c r="Q704">
        <v>1632.608</v>
      </c>
    </row>
    <row r="705" spans="1:17" ht="12.75">
      <c r="A705" t="s">
        <v>36</v>
      </c>
      <c r="B705" s="93">
        <v>40413</v>
      </c>
      <c r="C705">
        <v>8</v>
      </c>
      <c r="D705">
        <v>0.2764508</v>
      </c>
      <c r="E705">
        <v>0.2764508</v>
      </c>
      <c r="F705">
        <v>69.735</v>
      </c>
      <c r="G705">
        <v>0.4212106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3.795576</v>
      </c>
      <c r="N705">
        <v>33454.21</v>
      </c>
      <c r="O705">
        <v>258.1871544</v>
      </c>
      <c r="P705">
        <v>2436.638</v>
      </c>
      <c r="Q705">
        <v>2436.638</v>
      </c>
    </row>
    <row r="706" spans="1:17" ht="12.75">
      <c r="A706" t="s">
        <v>36</v>
      </c>
      <c r="B706" s="93">
        <v>40413</v>
      </c>
      <c r="C706">
        <v>9</v>
      </c>
      <c r="D706">
        <v>0.4578205</v>
      </c>
      <c r="E706">
        <v>0.4578205</v>
      </c>
      <c r="F706">
        <v>75.5386</v>
      </c>
      <c r="G706">
        <v>0.4212106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3.795576</v>
      </c>
      <c r="N706">
        <v>33454.21</v>
      </c>
      <c r="O706">
        <v>258.1871544</v>
      </c>
      <c r="P706">
        <v>4035.23</v>
      </c>
      <c r="Q706">
        <v>4035.23</v>
      </c>
    </row>
    <row r="707" spans="1:17" ht="12.75">
      <c r="A707" t="s">
        <v>36</v>
      </c>
      <c r="B707" s="93">
        <v>40413</v>
      </c>
      <c r="C707">
        <v>10</v>
      </c>
      <c r="D707">
        <v>0.7027853</v>
      </c>
      <c r="E707">
        <v>0.7027853</v>
      </c>
      <c r="F707">
        <v>80.7299</v>
      </c>
      <c r="G707">
        <v>0.4212106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3.795576</v>
      </c>
      <c r="N707">
        <v>33454.21</v>
      </c>
      <c r="O707">
        <v>258.1871544</v>
      </c>
      <c r="P707">
        <v>6194.35</v>
      </c>
      <c r="Q707">
        <v>6194.35</v>
      </c>
    </row>
    <row r="708" spans="1:17" ht="12.75">
      <c r="A708" t="s">
        <v>36</v>
      </c>
      <c r="B708" s="93">
        <v>40413</v>
      </c>
      <c r="C708">
        <v>11</v>
      </c>
      <c r="D708">
        <v>0.9410129</v>
      </c>
      <c r="E708">
        <v>0.9410129</v>
      </c>
      <c r="F708">
        <v>81.355</v>
      </c>
      <c r="G708">
        <v>0.4212106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3.795576</v>
      </c>
      <c r="N708">
        <v>33454.21</v>
      </c>
      <c r="O708">
        <v>258.1871544</v>
      </c>
      <c r="P708">
        <v>8294.088</v>
      </c>
      <c r="Q708">
        <v>8294.088</v>
      </c>
    </row>
    <row r="709" spans="1:17" ht="12.75">
      <c r="A709" t="s">
        <v>36</v>
      </c>
      <c r="B709" s="93">
        <v>40413</v>
      </c>
      <c r="C709">
        <v>12</v>
      </c>
      <c r="D709">
        <v>1.164262</v>
      </c>
      <c r="E709">
        <v>1.164262</v>
      </c>
      <c r="F709">
        <v>82.7603</v>
      </c>
      <c r="G709">
        <v>0.4212106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3.795576</v>
      </c>
      <c r="N709">
        <v>33454.21</v>
      </c>
      <c r="O709">
        <v>258.1871544</v>
      </c>
      <c r="P709">
        <v>10261.81</v>
      </c>
      <c r="Q709">
        <v>10261.81</v>
      </c>
    </row>
    <row r="710" spans="1:17" ht="12.75">
      <c r="A710" t="s">
        <v>36</v>
      </c>
      <c r="B710" s="93">
        <v>40413</v>
      </c>
      <c r="C710">
        <v>13</v>
      </c>
      <c r="D710">
        <v>1.365777</v>
      </c>
      <c r="E710">
        <v>1.365777</v>
      </c>
      <c r="F710">
        <v>84.2021</v>
      </c>
      <c r="G710">
        <v>0.4212106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3.795576</v>
      </c>
      <c r="N710">
        <v>33454.21</v>
      </c>
      <c r="O710">
        <v>258.1871544</v>
      </c>
      <c r="P710">
        <v>12037.96</v>
      </c>
      <c r="Q710">
        <v>12037.96</v>
      </c>
    </row>
    <row r="711" spans="1:17" ht="12.75">
      <c r="A711" t="s">
        <v>36</v>
      </c>
      <c r="B711" s="93">
        <v>40413</v>
      </c>
      <c r="C711">
        <v>14</v>
      </c>
      <c r="D711">
        <v>1.467995</v>
      </c>
      <c r="E711">
        <v>1.110332</v>
      </c>
      <c r="F711">
        <v>85.0779</v>
      </c>
      <c r="G711">
        <v>0.4228445</v>
      </c>
      <c r="H711">
        <v>0.3121001</v>
      </c>
      <c r="I711">
        <v>0.3390186</v>
      </c>
      <c r="J711">
        <v>0.3576622</v>
      </c>
      <c r="K711">
        <v>0.3763058</v>
      </c>
      <c r="L711">
        <v>0.4032243</v>
      </c>
      <c r="M711">
        <v>3.795576</v>
      </c>
      <c r="N711">
        <v>33454.21</v>
      </c>
      <c r="O711">
        <v>257.1893608</v>
      </c>
      <c r="P711">
        <v>12938.91</v>
      </c>
      <c r="Q711">
        <v>9786.471</v>
      </c>
    </row>
    <row r="712" spans="1:17" ht="12.75">
      <c r="A712" t="s">
        <v>36</v>
      </c>
      <c r="B712" s="93">
        <v>40413</v>
      </c>
      <c r="C712">
        <v>15</v>
      </c>
      <c r="D712">
        <v>1.528868</v>
      </c>
      <c r="E712">
        <v>1.150649</v>
      </c>
      <c r="F712">
        <v>83.7207</v>
      </c>
      <c r="G712">
        <v>0.4228445</v>
      </c>
      <c r="H712">
        <v>0.3327222</v>
      </c>
      <c r="I712">
        <v>0.359602</v>
      </c>
      <c r="J712">
        <v>0.3782189</v>
      </c>
      <c r="K712">
        <v>0.3968357</v>
      </c>
      <c r="L712">
        <v>0.4237156</v>
      </c>
      <c r="M712">
        <v>3.795576</v>
      </c>
      <c r="N712">
        <v>33454.21</v>
      </c>
      <c r="O712">
        <v>257.1893608</v>
      </c>
      <c r="P712">
        <v>13475.44</v>
      </c>
      <c r="Q712">
        <v>10141.82</v>
      </c>
    </row>
    <row r="713" spans="1:17" ht="12.75">
      <c r="A713" t="s">
        <v>36</v>
      </c>
      <c r="B713" s="93">
        <v>40413</v>
      </c>
      <c r="C713">
        <v>16</v>
      </c>
      <c r="D713">
        <v>1.532064</v>
      </c>
      <c r="E713">
        <v>1.135642</v>
      </c>
      <c r="F713">
        <v>83.24</v>
      </c>
      <c r="G713">
        <v>0.4228445</v>
      </c>
      <c r="H713">
        <v>0.3508193</v>
      </c>
      <c r="I713">
        <v>0.3777617</v>
      </c>
      <c r="J713">
        <v>0.3964219</v>
      </c>
      <c r="K713">
        <v>0.4150821</v>
      </c>
      <c r="L713">
        <v>0.4420246</v>
      </c>
      <c r="M713">
        <v>3.795576</v>
      </c>
      <c r="N713">
        <v>33454.21</v>
      </c>
      <c r="O713">
        <v>257.1893608</v>
      </c>
      <c r="P713">
        <v>13503.61</v>
      </c>
      <c r="Q713">
        <v>10009.55</v>
      </c>
    </row>
    <row r="714" spans="1:17" ht="12.75">
      <c r="A714" t="s">
        <v>36</v>
      </c>
      <c r="B714" s="93">
        <v>40413</v>
      </c>
      <c r="C714">
        <v>17</v>
      </c>
      <c r="D714">
        <v>1.454649</v>
      </c>
      <c r="E714">
        <v>1.043316</v>
      </c>
      <c r="F714">
        <v>82.9637</v>
      </c>
      <c r="G714">
        <v>0.4212106</v>
      </c>
      <c r="H714">
        <v>0.3657759</v>
      </c>
      <c r="I714">
        <v>0.3926918</v>
      </c>
      <c r="J714">
        <v>0.4113337</v>
      </c>
      <c r="K714">
        <v>0.4299756</v>
      </c>
      <c r="L714">
        <v>0.4568915</v>
      </c>
      <c r="M714">
        <v>3.795576</v>
      </c>
      <c r="N714">
        <v>33454.21</v>
      </c>
      <c r="O714">
        <v>258.1871544</v>
      </c>
      <c r="P714">
        <v>12821.28</v>
      </c>
      <c r="Q714">
        <v>9195.785</v>
      </c>
    </row>
    <row r="715" spans="1:17" ht="12.75">
      <c r="A715" t="s">
        <v>36</v>
      </c>
      <c r="B715" s="93">
        <v>40413</v>
      </c>
      <c r="C715">
        <v>18</v>
      </c>
      <c r="D715">
        <v>1.178347</v>
      </c>
      <c r="E715">
        <v>1.345451</v>
      </c>
      <c r="F715">
        <v>81.0081</v>
      </c>
      <c r="G715">
        <v>0.4212106</v>
      </c>
      <c r="H715">
        <v>-0.2140161</v>
      </c>
      <c r="I715">
        <v>-0.1863001</v>
      </c>
      <c r="J715">
        <v>-0.167104</v>
      </c>
      <c r="K715">
        <v>-0.147908</v>
      </c>
      <c r="L715">
        <v>-0.1201919</v>
      </c>
      <c r="M715">
        <v>3.795576</v>
      </c>
      <c r="N715">
        <v>33454.21</v>
      </c>
      <c r="O715">
        <v>258.1871544</v>
      </c>
      <c r="P715">
        <v>10385.95</v>
      </c>
      <c r="Q715">
        <v>11858.81</v>
      </c>
    </row>
    <row r="716" spans="1:17" ht="12.75">
      <c r="A716" t="s">
        <v>36</v>
      </c>
      <c r="B716" s="93">
        <v>40413</v>
      </c>
      <c r="C716">
        <v>19</v>
      </c>
      <c r="D716">
        <v>0.8226857</v>
      </c>
      <c r="E716">
        <v>0.9349095</v>
      </c>
      <c r="F716">
        <v>76.9134</v>
      </c>
      <c r="G716">
        <v>0.4212106</v>
      </c>
      <c r="H716">
        <v>-0.1577989</v>
      </c>
      <c r="I716">
        <v>-0.1308728</v>
      </c>
      <c r="J716">
        <v>-0.1122239</v>
      </c>
      <c r="K716">
        <v>-0.0935749</v>
      </c>
      <c r="L716">
        <v>-0.0666489</v>
      </c>
      <c r="M716">
        <v>3.795576</v>
      </c>
      <c r="N716">
        <v>33454.21</v>
      </c>
      <c r="O716">
        <v>258.1871544</v>
      </c>
      <c r="P716">
        <v>7251.151</v>
      </c>
      <c r="Q716">
        <v>8240.293</v>
      </c>
    </row>
    <row r="717" spans="1:17" ht="12.75">
      <c r="A717" t="s">
        <v>36</v>
      </c>
      <c r="B717" s="93">
        <v>40413</v>
      </c>
      <c r="C717">
        <v>20</v>
      </c>
      <c r="D717">
        <v>0.5764503</v>
      </c>
      <c r="E717">
        <v>0.6504248</v>
      </c>
      <c r="F717">
        <v>73.0044</v>
      </c>
      <c r="G717">
        <v>0.4212106</v>
      </c>
      <c r="H717">
        <v>-0.1192907</v>
      </c>
      <c r="I717">
        <v>-0.0925175</v>
      </c>
      <c r="J717">
        <v>-0.0739745</v>
      </c>
      <c r="K717">
        <v>-0.0554315</v>
      </c>
      <c r="L717">
        <v>-0.0286583</v>
      </c>
      <c r="M717">
        <v>3.795576</v>
      </c>
      <c r="N717">
        <v>33454.21</v>
      </c>
      <c r="O717">
        <v>258.1871544</v>
      </c>
      <c r="P717">
        <v>5080.833</v>
      </c>
      <c r="Q717">
        <v>5732.844</v>
      </c>
    </row>
    <row r="718" spans="1:17" ht="12.75">
      <c r="A718" t="s">
        <v>36</v>
      </c>
      <c r="B718" s="93">
        <v>40413</v>
      </c>
      <c r="C718">
        <v>21</v>
      </c>
      <c r="D718">
        <v>0.4132818</v>
      </c>
      <c r="E718">
        <v>0.4613966</v>
      </c>
      <c r="F718">
        <v>70.8575</v>
      </c>
      <c r="G718">
        <v>0.4212106</v>
      </c>
      <c r="H718">
        <v>-0.0933206</v>
      </c>
      <c r="I718">
        <v>-0.0666127</v>
      </c>
      <c r="J718">
        <v>-0.0481148</v>
      </c>
      <c r="K718">
        <v>-0.029617</v>
      </c>
      <c r="L718">
        <v>-0.002909</v>
      </c>
      <c r="M718">
        <v>3.795576</v>
      </c>
      <c r="N718">
        <v>33454.21</v>
      </c>
      <c r="O718">
        <v>258.1871544</v>
      </c>
      <c r="P718">
        <v>3642.666</v>
      </c>
      <c r="Q718">
        <v>4066.75</v>
      </c>
    </row>
    <row r="719" spans="1:17" ht="12.75">
      <c r="A719" t="s">
        <v>36</v>
      </c>
      <c r="B719" s="93">
        <v>40413</v>
      </c>
      <c r="C719">
        <v>22</v>
      </c>
      <c r="D719">
        <v>0.3150002</v>
      </c>
      <c r="E719">
        <v>0.3459044</v>
      </c>
      <c r="F719">
        <v>69.4652</v>
      </c>
      <c r="G719">
        <v>0.4212106</v>
      </c>
      <c r="H719">
        <v>-0.076065</v>
      </c>
      <c r="I719">
        <v>-0.0493836</v>
      </c>
      <c r="J719">
        <v>-0.0309042</v>
      </c>
      <c r="K719">
        <v>-0.0124248</v>
      </c>
      <c r="L719">
        <v>0.0142566</v>
      </c>
      <c r="M719">
        <v>3.795576</v>
      </c>
      <c r="N719">
        <v>33454.21</v>
      </c>
      <c r="O719">
        <v>258.1871544</v>
      </c>
      <c r="P719">
        <v>2776.412</v>
      </c>
      <c r="Q719">
        <v>3048.802</v>
      </c>
    </row>
    <row r="720" spans="1:17" ht="12.75">
      <c r="A720" t="s">
        <v>36</v>
      </c>
      <c r="B720" s="93">
        <v>40413</v>
      </c>
      <c r="C720">
        <v>23</v>
      </c>
      <c r="D720">
        <v>0.2392787</v>
      </c>
      <c r="E720">
        <v>0.2589753</v>
      </c>
      <c r="F720">
        <v>68.67</v>
      </c>
      <c r="G720">
        <v>0.4212106</v>
      </c>
      <c r="H720">
        <v>-0.0648241</v>
      </c>
      <c r="I720">
        <v>-0.0381623</v>
      </c>
      <c r="J720">
        <v>-0.0196965</v>
      </c>
      <c r="K720">
        <v>-0.0012307</v>
      </c>
      <c r="L720">
        <v>0.025431</v>
      </c>
      <c r="M720">
        <v>3.795576</v>
      </c>
      <c r="N720">
        <v>33454.21</v>
      </c>
      <c r="O720">
        <v>258.1871544</v>
      </c>
      <c r="P720">
        <v>2109.003</v>
      </c>
      <c r="Q720">
        <v>2282.608</v>
      </c>
    </row>
    <row r="721" spans="1:17" ht="12.75">
      <c r="A721" t="s">
        <v>36</v>
      </c>
      <c r="B721" s="93">
        <v>40413</v>
      </c>
      <c r="C721">
        <v>24</v>
      </c>
      <c r="D721">
        <v>0.2023799</v>
      </c>
      <c r="E721">
        <v>0.2023799</v>
      </c>
      <c r="F721">
        <v>67.769</v>
      </c>
      <c r="G721">
        <v>0.4212106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3.795576</v>
      </c>
      <c r="N721">
        <v>33454.21</v>
      </c>
      <c r="O721">
        <v>258.1871544</v>
      </c>
      <c r="P721">
        <v>1783.776</v>
      </c>
      <c r="Q721">
        <v>1783.776</v>
      </c>
    </row>
    <row r="722" spans="1:17" ht="12.75">
      <c r="A722" t="s">
        <v>36</v>
      </c>
      <c r="B722" s="93">
        <v>40414</v>
      </c>
      <c r="C722">
        <v>1</v>
      </c>
      <c r="D722">
        <v>0.1767164</v>
      </c>
      <c r="E722">
        <v>0.1767164</v>
      </c>
      <c r="F722">
        <v>67.2409</v>
      </c>
      <c r="G722">
        <v>0.4228445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3.795576</v>
      </c>
      <c r="N722">
        <v>33454.21</v>
      </c>
      <c r="O722">
        <v>257.1893608</v>
      </c>
      <c r="P722">
        <v>1557.578</v>
      </c>
      <c r="Q722">
        <v>1557.578</v>
      </c>
    </row>
    <row r="723" spans="1:17" ht="12.75">
      <c r="A723" t="s">
        <v>36</v>
      </c>
      <c r="B723" s="93">
        <v>40414</v>
      </c>
      <c r="C723">
        <v>2</v>
      </c>
      <c r="D723">
        <v>0.1667473</v>
      </c>
      <c r="E723">
        <v>0.1667473</v>
      </c>
      <c r="F723">
        <v>67.0257</v>
      </c>
      <c r="G723">
        <v>0.4228445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3.795576</v>
      </c>
      <c r="N723">
        <v>33454.21</v>
      </c>
      <c r="O723">
        <v>257.1893608</v>
      </c>
      <c r="P723">
        <v>1469.711</v>
      </c>
      <c r="Q723">
        <v>1469.711</v>
      </c>
    </row>
    <row r="724" spans="1:17" ht="12.75">
      <c r="A724" t="s">
        <v>36</v>
      </c>
      <c r="B724" s="93">
        <v>40414</v>
      </c>
      <c r="C724">
        <v>3</v>
      </c>
      <c r="D724">
        <v>0.1569684</v>
      </c>
      <c r="E724">
        <v>0.1569684</v>
      </c>
      <c r="F724">
        <v>66.3179</v>
      </c>
      <c r="G724">
        <v>0.4228445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3.795576</v>
      </c>
      <c r="N724">
        <v>33454.21</v>
      </c>
      <c r="O724">
        <v>257.1893608</v>
      </c>
      <c r="P724">
        <v>1383.519</v>
      </c>
      <c r="Q724">
        <v>1383.519</v>
      </c>
    </row>
    <row r="725" spans="1:17" ht="12.75">
      <c r="A725" t="s">
        <v>36</v>
      </c>
      <c r="B725" s="93">
        <v>40414</v>
      </c>
      <c r="C725">
        <v>4</v>
      </c>
      <c r="D725">
        <v>0.1481531</v>
      </c>
      <c r="E725">
        <v>0.1481531</v>
      </c>
      <c r="F725">
        <v>66.3227</v>
      </c>
      <c r="G725">
        <v>0.4228445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3.795576</v>
      </c>
      <c r="N725">
        <v>33454.21</v>
      </c>
      <c r="O725">
        <v>257.1893608</v>
      </c>
      <c r="P725">
        <v>1305.822</v>
      </c>
      <c r="Q725">
        <v>1305.822</v>
      </c>
    </row>
    <row r="726" spans="1:17" ht="12.75">
      <c r="A726" t="s">
        <v>36</v>
      </c>
      <c r="B726" s="93">
        <v>40414</v>
      </c>
      <c r="C726">
        <v>5</v>
      </c>
      <c r="D726">
        <v>0.1462038</v>
      </c>
      <c r="E726">
        <v>0.1462038</v>
      </c>
      <c r="F726">
        <v>66.5333</v>
      </c>
      <c r="G726">
        <v>0.4232173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3.795576</v>
      </c>
      <c r="N726">
        <v>33454.21</v>
      </c>
      <c r="O726">
        <v>256.1615542</v>
      </c>
      <c r="P726">
        <v>1288.64</v>
      </c>
      <c r="Q726">
        <v>1288.64</v>
      </c>
    </row>
    <row r="727" spans="1:17" ht="12.75">
      <c r="A727" t="s">
        <v>36</v>
      </c>
      <c r="B727" s="93">
        <v>40414</v>
      </c>
      <c r="C727">
        <v>6</v>
      </c>
      <c r="D727">
        <v>0.1528357</v>
      </c>
      <c r="E727">
        <v>0.1528357</v>
      </c>
      <c r="F727">
        <v>66.0001</v>
      </c>
      <c r="G727">
        <v>0.4232173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3.795576</v>
      </c>
      <c r="N727">
        <v>33454.21</v>
      </c>
      <c r="O727">
        <v>256.1615542</v>
      </c>
      <c r="P727">
        <v>1347.094</v>
      </c>
      <c r="Q727">
        <v>1347.094</v>
      </c>
    </row>
    <row r="728" spans="1:17" ht="12.75">
      <c r="A728" t="s">
        <v>36</v>
      </c>
      <c r="B728" s="93">
        <v>40414</v>
      </c>
      <c r="C728">
        <v>7</v>
      </c>
      <c r="D728">
        <v>0.2110197</v>
      </c>
      <c r="E728">
        <v>0.2110197</v>
      </c>
      <c r="F728">
        <v>67.0397</v>
      </c>
      <c r="G728">
        <v>0.4228445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3.795576</v>
      </c>
      <c r="N728">
        <v>33454.21</v>
      </c>
      <c r="O728">
        <v>257.1893608</v>
      </c>
      <c r="P728">
        <v>1859.928</v>
      </c>
      <c r="Q728">
        <v>1859.928</v>
      </c>
    </row>
    <row r="729" spans="1:17" ht="12.75">
      <c r="A729" t="s">
        <v>36</v>
      </c>
      <c r="B729" s="93">
        <v>40414</v>
      </c>
      <c r="C729">
        <v>8</v>
      </c>
      <c r="D729">
        <v>0.3344633</v>
      </c>
      <c r="E729">
        <v>0.3344633</v>
      </c>
      <c r="F729">
        <v>71.5288</v>
      </c>
      <c r="G729">
        <v>0.4228445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3.795576</v>
      </c>
      <c r="N729">
        <v>33454.21</v>
      </c>
      <c r="O729">
        <v>257.1893608</v>
      </c>
      <c r="P729">
        <v>2947.959</v>
      </c>
      <c r="Q729">
        <v>2947.959</v>
      </c>
    </row>
    <row r="730" spans="1:17" ht="12.75">
      <c r="A730" t="s">
        <v>36</v>
      </c>
      <c r="B730" s="93">
        <v>40414</v>
      </c>
      <c r="C730">
        <v>9</v>
      </c>
      <c r="D730">
        <v>0.5528085</v>
      </c>
      <c r="E730">
        <v>0.5528085</v>
      </c>
      <c r="F730">
        <v>76.4432</v>
      </c>
      <c r="G730">
        <v>0.4228445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3.795576</v>
      </c>
      <c r="N730">
        <v>33454.21</v>
      </c>
      <c r="O730">
        <v>257.1893608</v>
      </c>
      <c r="P730">
        <v>4872.455</v>
      </c>
      <c r="Q730">
        <v>4872.455</v>
      </c>
    </row>
    <row r="731" spans="1:17" ht="12.75">
      <c r="A731" t="s">
        <v>36</v>
      </c>
      <c r="B731" s="93">
        <v>40414</v>
      </c>
      <c r="C731">
        <v>10</v>
      </c>
      <c r="D731">
        <v>0.8206856</v>
      </c>
      <c r="E731">
        <v>0.8206856</v>
      </c>
      <c r="F731">
        <v>80.1892</v>
      </c>
      <c r="G731">
        <v>0.4228445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3.795576</v>
      </c>
      <c r="N731">
        <v>33454.21</v>
      </c>
      <c r="O731">
        <v>257.1893608</v>
      </c>
      <c r="P731">
        <v>7233.523</v>
      </c>
      <c r="Q731">
        <v>7233.523</v>
      </c>
    </row>
    <row r="732" spans="1:17" ht="12.75">
      <c r="A732" t="s">
        <v>36</v>
      </c>
      <c r="B732" s="93">
        <v>40414</v>
      </c>
      <c r="C732">
        <v>11</v>
      </c>
      <c r="D732">
        <v>1.073397</v>
      </c>
      <c r="E732">
        <v>1.073397</v>
      </c>
      <c r="F732">
        <v>82.1353</v>
      </c>
      <c r="G732">
        <v>0.4228445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3.795576</v>
      </c>
      <c r="N732">
        <v>33454.21</v>
      </c>
      <c r="O732">
        <v>257.1893608</v>
      </c>
      <c r="P732">
        <v>9460.925</v>
      </c>
      <c r="Q732">
        <v>9460.925</v>
      </c>
    </row>
    <row r="733" spans="1:17" ht="12.75">
      <c r="A733" t="s">
        <v>36</v>
      </c>
      <c r="B733" s="93">
        <v>40414</v>
      </c>
      <c r="C733">
        <v>12</v>
      </c>
      <c r="D733">
        <v>1.317135</v>
      </c>
      <c r="E733">
        <v>1.317135</v>
      </c>
      <c r="F733">
        <v>84.2524</v>
      </c>
      <c r="G733">
        <v>0.4228445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3.795576</v>
      </c>
      <c r="N733">
        <v>33454.21</v>
      </c>
      <c r="O733">
        <v>257.1893608</v>
      </c>
      <c r="P733">
        <v>11609.23</v>
      </c>
      <c r="Q733">
        <v>11609.23</v>
      </c>
    </row>
    <row r="734" spans="1:17" ht="12.75">
      <c r="A734" t="s">
        <v>36</v>
      </c>
      <c r="B734" s="93">
        <v>40414</v>
      </c>
      <c r="C734">
        <v>13</v>
      </c>
      <c r="D734">
        <v>1.511603</v>
      </c>
      <c r="E734">
        <v>1.511603</v>
      </c>
      <c r="F734">
        <v>84.8475</v>
      </c>
      <c r="G734">
        <v>0.4228445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3.795576</v>
      </c>
      <c r="N734">
        <v>33454.21</v>
      </c>
      <c r="O734">
        <v>257.1893608</v>
      </c>
      <c r="P734">
        <v>13323.27</v>
      </c>
      <c r="Q734">
        <v>13323.27</v>
      </c>
    </row>
    <row r="735" spans="1:17" ht="12.75">
      <c r="A735" t="s">
        <v>36</v>
      </c>
      <c r="B735" s="93">
        <v>40414</v>
      </c>
      <c r="C735">
        <v>14</v>
      </c>
      <c r="D735">
        <v>1.584325</v>
      </c>
      <c r="E735">
        <v>1.20877</v>
      </c>
      <c r="F735">
        <v>85.7482</v>
      </c>
      <c r="G735">
        <v>0.4228445</v>
      </c>
      <c r="H735">
        <v>0.3296943</v>
      </c>
      <c r="I735">
        <v>0.3567888</v>
      </c>
      <c r="J735">
        <v>0.3755544</v>
      </c>
      <c r="K735">
        <v>0.39432</v>
      </c>
      <c r="L735">
        <v>0.4214146</v>
      </c>
      <c r="M735">
        <v>3.795576</v>
      </c>
      <c r="N735">
        <v>33454.21</v>
      </c>
      <c r="O735">
        <v>257.1893608</v>
      </c>
      <c r="P735">
        <v>13964.24</v>
      </c>
      <c r="Q735">
        <v>10654.1</v>
      </c>
    </row>
    <row r="736" spans="1:17" ht="12.75">
      <c r="A736" t="s">
        <v>36</v>
      </c>
      <c r="B736" s="93">
        <v>40414</v>
      </c>
      <c r="C736">
        <v>15</v>
      </c>
      <c r="D736">
        <v>1.648701</v>
      </c>
      <c r="E736">
        <v>1.251032</v>
      </c>
      <c r="F736">
        <v>85.9379</v>
      </c>
      <c r="G736">
        <v>0.4228445</v>
      </c>
      <c r="H736">
        <v>0.3518789</v>
      </c>
      <c r="I736">
        <v>0.3789318</v>
      </c>
      <c r="J736">
        <v>0.3976686</v>
      </c>
      <c r="K736">
        <v>0.4164054</v>
      </c>
      <c r="L736">
        <v>0.4434583</v>
      </c>
      <c r="M736">
        <v>3.795576</v>
      </c>
      <c r="N736">
        <v>33454.21</v>
      </c>
      <c r="O736">
        <v>257.1893608</v>
      </c>
      <c r="P736">
        <v>14531.65</v>
      </c>
      <c r="Q736">
        <v>11026.6</v>
      </c>
    </row>
    <row r="737" spans="1:17" ht="12.75">
      <c r="A737" t="s">
        <v>36</v>
      </c>
      <c r="B737" s="93">
        <v>40414</v>
      </c>
      <c r="C737">
        <v>16</v>
      </c>
      <c r="D737">
        <v>1.642995</v>
      </c>
      <c r="E737">
        <v>1.227484</v>
      </c>
      <c r="F737">
        <v>84.5348</v>
      </c>
      <c r="G737">
        <v>0.4228445</v>
      </c>
      <c r="H737">
        <v>0.3696073</v>
      </c>
      <c r="I737">
        <v>0.3967273</v>
      </c>
      <c r="J737">
        <v>0.4155105</v>
      </c>
      <c r="K737">
        <v>0.4342938</v>
      </c>
      <c r="L737">
        <v>0.4614138</v>
      </c>
      <c r="M737">
        <v>3.795576</v>
      </c>
      <c r="N737">
        <v>33454.21</v>
      </c>
      <c r="O737">
        <v>257.1893608</v>
      </c>
      <c r="P737">
        <v>14481.36</v>
      </c>
      <c r="Q737">
        <v>10819.05</v>
      </c>
    </row>
    <row r="738" spans="1:17" ht="12.75">
      <c r="A738" t="s">
        <v>36</v>
      </c>
      <c r="B738" s="93">
        <v>40414</v>
      </c>
      <c r="C738">
        <v>17</v>
      </c>
      <c r="D738">
        <v>1.529822</v>
      </c>
      <c r="E738">
        <v>1.103632</v>
      </c>
      <c r="F738">
        <v>81.4356</v>
      </c>
      <c r="G738">
        <v>0.4228445</v>
      </c>
      <c r="H738">
        <v>0.380242</v>
      </c>
      <c r="I738">
        <v>0.4073881</v>
      </c>
      <c r="J738">
        <v>0.4261893</v>
      </c>
      <c r="K738">
        <v>0.4449905</v>
      </c>
      <c r="L738">
        <v>0.4721366</v>
      </c>
      <c r="M738">
        <v>3.795576</v>
      </c>
      <c r="N738">
        <v>33454.21</v>
      </c>
      <c r="O738">
        <v>257.1893608</v>
      </c>
      <c r="P738">
        <v>13483.85</v>
      </c>
      <c r="Q738">
        <v>9727.417</v>
      </c>
    </row>
    <row r="739" spans="1:17" ht="12.75">
      <c r="A739" t="s">
        <v>36</v>
      </c>
      <c r="B739" s="93">
        <v>40414</v>
      </c>
      <c r="C739">
        <v>18</v>
      </c>
      <c r="D739">
        <v>1.223427</v>
      </c>
      <c r="E739">
        <v>1.395157</v>
      </c>
      <c r="F739">
        <v>80.1845</v>
      </c>
      <c r="G739">
        <v>0.4228445</v>
      </c>
      <c r="H739">
        <v>-0.2190302</v>
      </c>
      <c r="I739">
        <v>-0.1910851</v>
      </c>
      <c r="J739">
        <v>-0.1717304</v>
      </c>
      <c r="K739">
        <v>-0.1523757</v>
      </c>
      <c r="L739">
        <v>-0.1244306</v>
      </c>
      <c r="M739">
        <v>3.795576</v>
      </c>
      <c r="N739">
        <v>33454.21</v>
      </c>
      <c r="O739">
        <v>257.1893608</v>
      </c>
      <c r="P739">
        <v>10783.28</v>
      </c>
      <c r="Q739">
        <v>12296.91</v>
      </c>
    </row>
    <row r="740" spans="1:17" ht="12.75">
      <c r="A740" t="s">
        <v>36</v>
      </c>
      <c r="B740" s="93">
        <v>40414</v>
      </c>
      <c r="C740">
        <v>19</v>
      </c>
      <c r="D740">
        <v>0.8471182</v>
      </c>
      <c r="E740">
        <v>0.9618984</v>
      </c>
      <c r="F740">
        <v>77.0271</v>
      </c>
      <c r="G740">
        <v>0.4228445</v>
      </c>
      <c r="H740">
        <v>-0.1606506</v>
      </c>
      <c r="I740">
        <v>-0.13355</v>
      </c>
      <c r="J740">
        <v>-0.1147802</v>
      </c>
      <c r="K740">
        <v>-0.0960105</v>
      </c>
      <c r="L740">
        <v>-0.0689099</v>
      </c>
      <c r="M740">
        <v>3.795576</v>
      </c>
      <c r="N740">
        <v>33454.21</v>
      </c>
      <c r="O740">
        <v>257.1893608</v>
      </c>
      <c r="P740">
        <v>7466.5</v>
      </c>
      <c r="Q740">
        <v>8478.173</v>
      </c>
    </row>
    <row r="741" spans="1:17" ht="12.75">
      <c r="A741" t="s">
        <v>36</v>
      </c>
      <c r="B741" s="93">
        <v>40414</v>
      </c>
      <c r="C741">
        <v>20</v>
      </c>
      <c r="D741">
        <v>0.5870024</v>
      </c>
      <c r="E741">
        <v>0.6623945</v>
      </c>
      <c r="F741">
        <v>73.536</v>
      </c>
      <c r="G741">
        <v>0.4228445</v>
      </c>
      <c r="H741">
        <v>-0.1209498</v>
      </c>
      <c r="I741">
        <v>-0.0940339</v>
      </c>
      <c r="J741">
        <v>-0.0753921</v>
      </c>
      <c r="K741">
        <v>-0.0567503</v>
      </c>
      <c r="L741">
        <v>-0.0298345</v>
      </c>
      <c r="M741">
        <v>3.795576</v>
      </c>
      <c r="N741">
        <v>33454.21</v>
      </c>
      <c r="O741">
        <v>257.1893608</v>
      </c>
      <c r="P741">
        <v>5173.839</v>
      </c>
      <c r="Q741">
        <v>5838.345</v>
      </c>
    </row>
    <row r="742" spans="1:17" ht="12.75">
      <c r="A742" t="s">
        <v>36</v>
      </c>
      <c r="B742" s="93">
        <v>40414</v>
      </c>
      <c r="C742">
        <v>21</v>
      </c>
      <c r="D742">
        <v>0.418197</v>
      </c>
      <c r="E742">
        <v>0.4672645</v>
      </c>
      <c r="F742">
        <v>71.7797</v>
      </c>
      <c r="G742">
        <v>0.4228445</v>
      </c>
      <c r="H742">
        <v>-0.0944679</v>
      </c>
      <c r="I742">
        <v>-0.067645</v>
      </c>
      <c r="J742">
        <v>-0.0490675</v>
      </c>
      <c r="K742">
        <v>-0.0304901</v>
      </c>
      <c r="L742">
        <v>-0.0036672</v>
      </c>
      <c r="M742">
        <v>3.795576</v>
      </c>
      <c r="N742">
        <v>33454.21</v>
      </c>
      <c r="O742">
        <v>257.1893608</v>
      </c>
      <c r="P742">
        <v>3685.988</v>
      </c>
      <c r="Q742">
        <v>4118.469</v>
      </c>
    </row>
    <row r="743" spans="1:17" ht="12.75">
      <c r="A743" t="s">
        <v>36</v>
      </c>
      <c r="B743" s="93">
        <v>40414</v>
      </c>
      <c r="C743">
        <v>22</v>
      </c>
      <c r="D743">
        <v>0.3194406</v>
      </c>
      <c r="E743">
        <v>0.3510093</v>
      </c>
      <c r="F743">
        <v>70.4177</v>
      </c>
      <c r="G743">
        <v>0.4228445</v>
      </c>
      <c r="H743">
        <v>-0.0768856</v>
      </c>
      <c r="I743">
        <v>-0.050112</v>
      </c>
      <c r="J743">
        <v>-0.0315688</v>
      </c>
      <c r="K743">
        <v>-0.0130255</v>
      </c>
      <c r="L743">
        <v>0.013748</v>
      </c>
      <c r="M743">
        <v>3.795576</v>
      </c>
      <c r="N743">
        <v>33454.21</v>
      </c>
      <c r="O743">
        <v>257.1893608</v>
      </c>
      <c r="P743">
        <v>2815.549</v>
      </c>
      <c r="Q743">
        <v>3093.796</v>
      </c>
    </row>
    <row r="744" spans="1:17" ht="12.75">
      <c r="A744" t="s">
        <v>36</v>
      </c>
      <c r="B744" s="93">
        <v>40414</v>
      </c>
      <c r="C744">
        <v>23</v>
      </c>
      <c r="D744">
        <v>0.2455892</v>
      </c>
      <c r="E744">
        <v>0.2658337</v>
      </c>
      <c r="F744">
        <v>70.2523</v>
      </c>
      <c r="G744">
        <v>0.4228445</v>
      </c>
      <c r="H744">
        <v>-0.0655464</v>
      </c>
      <c r="I744">
        <v>-0.0387817</v>
      </c>
      <c r="J744">
        <v>-0.0202445</v>
      </c>
      <c r="K744">
        <v>-0.0017074</v>
      </c>
      <c r="L744">
        <v>0.0250574</v>
      </c>
      <c r="M744">
        <v>3.795576</v>
      </c>
      <c r="N744">
        <v>33454.21</v>
      </c>
      <c r="O744">
        <v>257.1893608</v>
      </c>
      <c r="P744">
        <v>2164.623</v>
      </c>
      <c r="Q744">
        <v>2343.059</v>
      </c>
    </row>
    <row r="745" spans="1:17" ht="12.75">
      <c r="A745" t="s">
        <v>36</v>
      </c>
      <c r="B745" s="93">
        <v>40414</v>
      </c>
      <c r="C745">
        <v>24</v>
      </c>
      <c r="D745">
        <v>0.2092045</v>
      </c>
      <c r="E745">
        <v>0.2092045</v>
      </c>
      <c r="F745">
        <v>69.3252</v>
      </c>
      <c r="G745">
        <v>0.4228445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3.795576</v>
      </c>
      <c r="N745">
        <v>33454.21</v>
      </c>
      <c r="O745">
        <v>257.1893608</v>
      </c>
      <c r="P745">
        <v>1843.929</v>
      </c>
      <c r="Q745">
        <v>1843.929</v>
      </c>
    </row>
    <row r="746" spans="1:17" ht="12.75">
      <c r="A746" t="s">
        <v>36</v>
      </c>
      <c r="B746" s="93">
        <v>40415</v>
      </c>
      <c r="C746">
        <v>1</v>
      </c>
      <c r="D746">
        <v>0.1823508</v>
      </c>
      <c r="E746">
        <v>0.1823508</v>
      </c>
      <c r="F746">
        <v>69.3398</v>
      </c>
      <c r="G746">
        <v>0.4228445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3.795576</v>
      </c>
      <c r="N746">
        <v>33454.21</v>
      </c>
      <c r="O746">
        <v>257.1893608</v>
      </c>
      <c r="P746">
        <v>1607.24</v>
      </c>
      <c r="Q746">
        <v>1607.24</v>
      </c>
    </row>
    <row r="747" spans="1:17" ht="12.75">
      <c r="A747" t="s">
        <v>36</v>
      </c>
      <c r="B747" s="93">
        <v>40415</v>
      </c>
      <c r="C747">
        <v>2</v>
      </c>
      <c r="D747">
        <v>0.1719612</v>
      </c>
      <c r="E747">
        <v>0.1719612</v>
      </c>
      <c r="F747">
        <v>68.8036</v>
      </c>
      <c r="G747">
        <v>0.4228445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3.795576</v>
      </c>
      <c r="N747">
        <v>33454.21</v>
      </c>
      <c r="O747">
        <v>257.1893608</v>
      </c>
      <c r="P747">
        <v>1515.666</v>
      </c>
      <c r="Q747">
        <v>1515.666</v>
      </c>
    </row>
    <row r="748" spans="1:17" ht="12.75">
      <c r="A748" t="s">
        <v>36</v>
      </c>
      <c r="B748" s="93">
        <v>40415</v>
      </c>
      <c r="C748">
        <v>3</v>
      </c>
      <c r="D748">
        <v>0.162151</v>
      </c>
      <c r="E748">
        <v>0.162151</v>
      </c>
      <c r="F748">
        <v>68.409</v>
      </c>
      <c r="G748">
        <v>0.4228445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3.795576</v>
      </c>
      <c r="N748">
        <v>33454.21</v>
      </c>
      <c r="O748">
        <v>257.1893608</v>
      </c>
      <c r="P748">
        <v>1429.199</v>
      </c>
      <c r="Q748">
        <v>1429.199</v>
      </c>
    </row>
    <row r="749" spans="1:17" ht="12.75">
      <c r="A749" t="s">
        <v>36</v>
      </c>
      <c r="B749" s="93">
        <v>40415</v>
      </c>
      <c r="C749">
        <v>4</v>
      </c>
      <c r="D749">
        <v>0.1528804</v>
      </c>
      <c r="E749">
        <v>0.1528804</v>
      </c>
      <c r="F749">
        <v>68.3224</v>
      </c>
      <c r="G749">
        <v>0.4228445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3.795576</v>
      </c>
      <c r="N749">
        <v>33454.21</v>
      </c>
      <c r="O749">
        <v>257.1893608</v>
      </c>
      <c r="P749">
        <v>1347.488</v>
      </c>
      <c r="Q749">
        <v>1347.488</v>
      </c>
    </row>
    <row r="750" spans="1:17" ht="12.75">
      <c r="A750" t="s">
        <v>36</v>
      </c>
      <c r="B750" s="93">
        <v>40415</v>
      </c>
      <c r="C750">
        <v>5</v>
      </c>
      <c r="D750">
        <v>0.1500223</v>
      </c>
      <c r="E750">
        <v>0.1500223</v>
      </c>
      <c r="F750">
        <v>68.1998</v>
      </c>
      <c r="G750">
        <v>0.4228445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3.795576</v>
      </c>
      <c r="N750">
        <v>33454.21</v>
      </c>
      <c r="O750">
        <v>257.1893608</v>
      </c>
      <c r="P750">
        <v>1322.297</v>
      </c>
      <c r="Q750">
        <v>1322.297</v>
      </c>
    </row>
    <row r="751" spans="1:17" ht="12.75">
      <c r="A751" t="s">
        <v>36</v>
      </c>
      <c r="B751" s="93">
        <v>40415</v>
      </c>
      <c r="C751">
        <v>6</v>
      </c>
      <c r="D751">
        <v>0.1591175</v>
      </c>
      <c r="E751">
        <v>0.1591175</v>
      </c>
      <c r="F751">
        <v>67.8095</v>
      </c>
      <c r="G751">
        <v>0.4228445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3.795576</v>
      </c>
      <c r="N751">
        <v>33454.21</v>
      </c>
      <c r="O751">
        <v>257.1893608</v>
      </c>
      <c r="P751">
        <v>1402.462</v>
      </c>
      <c r="Q751">
        <v>1402.462</v>
      </c>
    </row>
    <row r="752" spans="1:17" ht="12.75">
      <c r="A752" t="s">
        <v>36</v>
      </c>
      <c r="B752" s="93">
        <v>40415</v>
      </c>
      <c r="C752">
        <v>7</v>
      </c>
      <c r="D752">
        <v>0.2243397</v>
      </c>
      <c r="E752">
        <v>0.2243397</v>
      </c>
      <c r="F752">
        <v>68.2087</v>
      </c>
      <c r="G752">
        <v>0.4228445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3.795576</v>
      </c>
      <c r="N752">
        <v>33454.21</v>
      </c>
      <c r="O752">
        <v>257.1893608</v>
      </c>
      <c r="P752">
        <v>1977.33</v>
      </c>
      <c r="Q752">
        <v>1977.33</v>
      </c>
    </row>
    <row r="753" spans="1:17" ht="12.75">
      <c r="A753" t="s">
        <v>36</v>
      </c>
      <c r="B753" s="93">
        <v>40415</v>
      </c>
      <c r="C753">
        <v>8</v>
      </c>
      <c r="D753">
        <v>0.3703701</v>
      </c>
      <c r="E753">
        <v>0.3703701</v>
      </c>
      <c r="F753">
        <v>71.348</v>
      </c>
      <c r="G753">
        <v>0.4228445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3.795576</v>
      </c>
      <c r="N753">
        <v>33454.21</v>
      </c>
      <c r="O753">
        <v>257.1893608</v>
      </c>
      <c r="P753">
        <v>3264.443</v>
      </c>
      <c r="Q753">
        <v>3264.443</v>
      </c>
    </row>
    <row r="754" spans="1:17" ht="12.75">
      <c r="A754" t="s">
        <v>36</v>
      </c>
      <c r="B754" s="93">
        <v>40415</v>
      </c>
      <c r="C754">
        <v>9</v>
      </c>
      <c r="D754">
        <v>0.6110801</v>
      </c>
      <c r="E754">
        <v>0.6110801</v>
      </c>
      <c r="F754">
        <v>75.6943</v>
      </c>
      <c r="G754">
        <v>0.4228445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3.795576</v>
      </c>
      <c r="N754">
        <v>33454.21</v>
      </c>
      <c r="O754">
        <v>257.1893608</v>
      </c>
      <c r="P754">
        <v>5386.06</v>
      </c>
      <c r="Q754">
        <v>5386.06</v>
      </c>
    </row>
    <row r="755" spans="1:17" ht="12.75">
      <c r="A755" t="s">
        <v>36</v>
      </c>
      <c r="B755" s="93">
        <v>40415</v>
      </c>
      <c r="C755">
        <v>10</v>
      </c>
      <c r="D755">
        <v>0.8983236</v>
      </c>
      <c r="E755">
        <v>0.8983236</v>
      </c>
      <c r="F755">
        <v>79.6977</v>
      </c>
      <c r="G755">
        <v>0.4228445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3.795576</v>
      </c>
      <c r="N755">
        <v>33454.21</v>
      </c>
      <c r="O755">
        <v>257.1893608</v>
      </c>
      <c r="P755">
        <v>7917.824</v>
      </c>
      <c r="Q755">
        <v>7917.824</v>
      </c>
    </row>
    <row r="756" spans="1:17" ht="12.75">
      <c r="A756" t="s">
        <v>36</v>
      </c>
      <c r="B756" s="93">
        <v>40415</v>
      </c>
      <c r="C756">
        <v>11</v>
      </c>
      <c r="D756">
        <v>1.153471</v>
      </c>
      <c r="E756">
        <v>1.153471</v>
      </c>
      <c r="F756">
        <v>81.8373</v>
      </c>
      <c r="G756">
        <v>0.4228445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3.795576</v>
      </c>
      <c r="N756">
        <v>33454.21</v>
      </c>
      <c r="O756">
        <v>257.1893608</v>
      </c>
      <c r="P756">
        <v>10166.69</v>
      </c>
      <c r="Q756">
        <v>10166.69</v>
      </c>
    </row>
    <row r="757" spans="1:17" ht="12.75">
      <c r="A757" t="s">
        <v>36</v>
      </c>
      <c r="B757" s="93">
        <v>40415</v>
      </c>
      <c r="C757">
        <v>12</v>
      </c>
      <c r="D757">
        <v>1.360681</v>
      </c>
      <c r="E757">
        <v>1.360681</v>
      </c>
      <c r="F757">
        <v>81.7402</v>
      </c>
      <c r="G757">
        <v>0.4228445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3.795576</v>
      </c>
      <c r="N757">
        <v>33454.21</v>
      </c>
      <c r="O757">
        <v>257.1893608</v>
      </c>
      <c r="P757">
        <v>11993.04</v>
      </c>
      <c r="Q757">
        <v>11993.04</v>
      </c>
    </row>
    <row r="758" spans="1:17" ht="12.75">
      <c r="A758" t="s">
        <v>36</v>
      </c>
      <c r="B758" s="93">
        <v>40415</v>
      </c>
      <c r="C758">
        <v>13</v>
      </c>
      <c r="D758">
        <v>1.530726</v>
      </c>
      <c r="E758">
        <v>1.530726</v>
      </c>
      <c r="F758">
        <v>82.996</v>
      </c>
      <c r="G758">
        <v>0.4228445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3.795576</v>
      </c>
      <c r="N758">
        <v>33454.21</v>
      </c>
      <c r="O758">
        <v>257.1893608</v>
      </c>
      <c r="P758">
        <v>13491.82</v>
      </c>
      <c r="Q758">
        <v>13491.82</v>
      </c>
    </row>
    <row r="759" spans="1:17" ht="12.75">
      <c r="A759" t="s">
        <v>36</v>
      </c>
      <c r="B759" s="93">
        <v>40415</v>
      </c>
      <c r="C759">
        <v>14</v>
      </c>
      <c r="D759">
        <v>1.57735</v>
      </c>
      <c r="E759">
        <v>1.20373</v>
      </c>
      <c r="F759">
        <v>83.6392</v>
      </c>
      <c r="G759">
        <v>0.4232945</v>
      </c>
      <c r="H759">
        <v>0.3275377</v>
      </c>
      <c r="I759">
        <v>0.3547636</v>
      </c>
      <c r="J759">
        <v>0.3736202</v>
      </c>
      <c r="K759">
        <v>0.3924767</v>
      </c>
      <c r="L759">
        <v>0.4197026</v>
      </c>
      <c r="M759">
        <v>3.795576</v>
      </c>
      <c r="N759">
        <v>33454.21</v>
      </c>
      <c r="O759">
        <v>256.1915672</v>
      </c>
      <c r="P759">
        <v>13902.77</v>
      </c>
      <c r="Q759">
        <v>10609.68</v>
      </c>
    </row>
    <row r="760" spans="1:17" ht="12.75">
      <c r="A760" t="s">
        <v>36</v>
      </c>
      <c r="B760" s="93">
        <v>40415</v>
      </c>
      <c r="C760">
        <v>15</v>
      </c>
      <c r="D760">
        <v>1.587856</v>
      </c>
      <c r="E760">
        <v>1.201484</v>
      </c>
      <c r="F760">
        <v>81.873</v>
      </c>
      <c r="G760">
        <v>0.4228445</v>
      </c>
      <c r="H760">
        <v>0.3406328</v>
      </c>
      <c r="I760">
        <v>0.3676557</v>
      </c>
      <c r="J760">
        <v>0.3863716</v>
      </c>
      <c r="K760">
        <v>0.4050876</v>
      </c>
      <c r="L760">
        <v>0.4321104</v>
      </c>
      <c r="M760">
        <v>3.795576</v>
      </c>
      <c r="N760">
        <v>33454.21</v>
      </c>
      <c r="O760">
        <v>257.1893608</v>
      </c>
      <c r="P760">
        <v>13995.36</v>
      </c>
      <c r="Q760">
        <v>10589.88</v>
      </c>
    </row>
    <row r="761" spans="1:17" ht="12.75">
      <c r="A761" t="s">
        <v>36</v>
      </c>
      <c r="B761" s="93">
        <v>40415</v>
      </c>
      <c r="C761">
        <v>16</v>
      </c>
      <c r="D761">
        <v>1.554376</v>
      </c>
      <c r="E761">
        <v>1.155006</v>
      </c>
      <c r="F761">
        <v>80.6054</v>
      </c>
      <c r="G761">
        <v>0.4232945</v>
      </c>
      <c r="H761">
        <v>0.3534759</v>
      </c>
      <c r="I761">
        <v>0.3805905</v>
      </c>
      <c r="J761">
        <v>0.39937</v>
      </c>
      <c r="K761">
        <v>0.4181494</v>
      </c>
      <c r="L761">
        <v>0.445264</v>
      </c>
      <c r="M761">
        <v>3.795576</v>
      </c>
      <c r="N761">
        <v>33454.21</v>
      </c>
      <c r="O761">
        <v>256.1915672</v>
      </c>
      <c r="P761">
        <v>13700.27</v>
      </c>
      <c r="Q761">
        <v>10180.22</v>
      </c>
    </row>
    <row r="762" spans="1:17" ht="12.75">
      <c r="A762" t="s">
        <v>36</v>
      </c>
      <c r="B762" s="93">
        <v>40415</v>
      </c>
      <c r="C762">
        <v>17</v>
      </c>
      <c r="D762">
        <v>1.44024</v>
      </c>
      <c r="E762">
        <v>1.032408</v>
      </c>
      <c r="F762">
        <v>80.7047</v>
      </c>
      <c r="G762">
        <v>0.4228445</v>
      </c>
      <c r="H762">
        <v>0.3620526</v>
      </c>
      <c r="I762">
        <v>0.3890995</v>
      </c>
      <c r="J762">
        <v>0.407832</v>
      </c>
      <c r="K762">
        <v>0.4265646</v>
      </c>
      <c r="L762">
        <v>0.4536114</v>
      </c>
      <c r="M762">
        <v>3.795576</v>
      </c>
      <c r="N762">
        <v>33454.21</v>
      </c>
      <c r="O762">
        <v>257.1893608</v>
      </c>
      <c r="P762">
        <v>12694.28</v>
      </c>
      <c r="Q762">
        <v>9099.646</v>
      </c>
    </row>
    <row r="763" spans="1:17" ht="12.75">
      <c r="A763" t="s">
        <v>36</v>
      </c>
      <c r="B763" s="93">
        <v>40415</v>
      </c>
      <c r="C763">
        <v>18</v>
      </c>
      <c r="D763">
        <v>1.146064</v>
      </c>
      <c r="E763">
        <v>1.310266</v>
      </c>
      <c r="F763">
        <v>78.3614</v>
      </c>
      <c r="G763">
        <v>0.4228445</v>
      </c>
      <c r="H763">
        <v>-0.2111965</v>
      </c>
      <c r="I763">
        <v>-0.1834318</v>
      </c>
      <c r="J763">
        <v>-0.1642021</v>
      </c>
      <c r="K763">
        <v>-0.1449724</v>
      </c>
      <c r="L763">
        <v>-0.1172077</v>
      </c>
      <c r="M763">
        <v>3.795576</v>
      </c>
      <c r="N763">
        <v>33454.21</v>
      </c>
      <c r="O763">
        <v>257.1893608</v>
      </c>
      <c r="P763">
        <v>10101.41</v>
      </c>
      <c r="Q763">
        <v>11548.69</v>
      </c>
    </row>
    <row r="764" spans="1:17" ht="12.75">
      <c r="A764" t="s">
        <v>36</v>
      </c>
      <c r="B764" s="93">
        <v>40415</v>
      </c>
      <c r="C764">
        <v>19</v>
      </c>
      <c r="D764">
        <v>0.7955876</v>
      </c>
      <c r="E764">
        <v>0.9045778</v>
      </c>
      <c r="F764">
        <v>75.3117</v>
      </c>
      <c r="G764">
        <v>0.4232945</v>
      </c>
      <c r="H764">
        <v>-0.1547884</v>
      </c>
      <c r="I764">
        <v>-0.1277304</v>
      </c>
      <c r="J764">
        <v>-0.1089902</v>
      </c>
      <c r="K764">
        <v>-0.0902499</v>
      </c>
      <c r="L764">
        <v>-0.063192</v>
      </c>
      <c r="M764">
        <v>3.795576</v>
      </c>
      <c r="N764">
        <v>33454.21</v>
      </c>
      <c r="O764">
        <v>256.1915672</v>
      </c>
      <c r="P764">
        <v>7012.309</v>
      </c>
      <c r="Q764">
        <v>7972.949</v>
      </c>
    </row>
    <row r="765" spans="1:17" ht="12.75">
      <c r="A765" t="s">
        <v>36</v>
      </c>
      <c r="B765" s="93">
        <v>40415</v>
      </c>
      <c r="C765">
        <v>20</v>
      </c>
      <c r="D765">
        <v>0.5474892</v>
      </c>
      <c r="E765">
        <v>0.6192695</v>
      </c>
      <c r="F765">
        <v>71.8485</v>
      </c>
      <c r="G765">
        <v>0.4228445</v>
      </c>
      <c r="H765">
        <v>-0.1170785</v>
      </c>
      <c r="I765">
        <v>-0.090316</v>
      </c>
      <c r="J765">
        <v>-0.0717804</v>
      </c>
      <c r="K765">
        <v>-0.0532448</v>
      </c>
      <c r="L765">
        <v>-0.0264823</v>
      </c>
      <c r="M765">
        <v>3.795576</v>
      </c>
      <c r="N765">
        <v>33454.21</v>
      </c>
      <c r="O765">
        <v>257.1893608</v>
      </c>
      <c r="P765">
        <v>4825.57</v>
      </c>
      <c r="Q765">
        <v>5458.242</v>
      </c>
    </row>
    <row r="766" spans="1:17" ht="12.75">
      <c r="A766" t="s">
        <v>36</v>
      </c>
      <c r="B766" s="93">
        <v>40415</v>
      </c>
      <c r="C766">
        <v>21</v>
      </c>
      <c r="D766">
        <v>0.3930014</v>
      </c>
      <c r="E766">
        <v>0.439499</v>
      </c>
      <c r="F766">
        <v>71.1625</v>
      </c>
      <c r="G766">
        <v>0.4232945</v>
      </c>
      <c r="H766">
        <v>-0.0918183</v>
      </c>
      <c r="I766">
        <v>-0.0650424</v>
      </c>
      <c r="J766">
        <v>-0.0464975</v>
      </c>
      <c r="K766">
        <v>-0.0279526</v>
      </c>
      <c r="L766">
        <v>-0.0011768</v>
      </c>
      <c r="M766">
        <v>3.795576</v>
      </c>
      <c r="N766">
        <v>33454.21</v>
      </c>
      <c r="O766">
        <v>256.1915672</v>
      </c>
      <c r="P766">
        <v>3463.915</v>
      </c>
      <c r="Q766">
        <v>3873.744</v>
      </c>
    </row>
    <row r="767" spans="1:17" ht="12.75">
      <c r="A767" t="s">
        <v>36</v>
      </c>
      <c r="B767" s="93">
        <v>40415</v>
      </c>
      <c r="C767">
        <v>22</v>
      </c>
      <c r="D767">
        <v>0.3010733</v>
      </c>
      <c r="E767">
        <v>0.3310247</v>
      </c>
      <c r="F767">
        <v>69.707</v>
      </c>
      <c r="G767">
        <v>0.4232945</v>
      </c>
      <c r="H767">
        <v>-0.075199</v>
      </c>
      <c r="I767">
        <v>-0.0484663</v>
      </c>
      <c r="J767">
        <v>-0.0299514</v>
      </c>
      <c r="K767">
        <v>-0.0114365</v>
      </c>
      <c r="L767">
        <v>0.0152962</v>
      </c>
      <c r="M767">
        <v>3.795576</v>
      </c>
      <c r="N767">
        <v>33454.21</v>
      </c>
      <c r="O767">
        <v>256.1915672</v>
      </c>
      <c r="P767">
        <v>2653.66</v>
      </c>
      <c r="Q767">
        <v>2917.652</v>
      </c>
    </row>
    <row r="768" spans="1:17" ht="12.75">
      <c r="A768" t="s">
        <v>36</v>
      </c>
      <c r="B768" s="93">
        <v>40415</v>
      </c>
      <c r="C768">
        <v>23</v>
      </c>
      <c r="D768">
        <v>0.2315738</v>
      </c>
      <c r="E768">
        <v>0.2508119</v>
      </c>
      <c r="F768">
        <v>69.593</v>
      </c>
      <c r="G768">
        <v>0.4232945</v>
      </c>
      <c r="H768">
        <v>-0.0644711</v>
      </c>
      <c r="I768">
        <v>-0.0377471</v>
      </c>
      <c r="J768">
        <v>-0.0192381</v>
      </c>
      <c r="K768">
        <v>-0.0007291</v>
      </c>
      <c r="L768">
        <v>0.0259949</v>
      </c>
      <c r="M768">
        <v>3.795576</v>
      </c>
      <c r="N768">
        <v>33454.21</v>
      </c>
      <c r="O768">
        <v>256.1915672</v>
      </c>
      <c r="P768">
        <v>2041.092</v>
      </c>
      <c r="Q768">
        <v>2210.656</v>
      </c>
    </row>
    <row r="769" spans="1:17" ht="12.75">
      <c r="A769" t="s">
        <v>36</v>
      </c>
      <c r="B769" s="93">
        <v>40415</v>
      </c>
      <c r="C769">
        <v>24</v>
      </c>
      <c r="D769">
        <v>0.1971218</v>
      </c>
      <c r="E769">
        <v>0.1971218</v>
      </c>
      <c r="F769">
        <v>68.9946</v>
      </c>
      <c r="G769">
        <v>0.4232945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3.795576</v>
      </c>
      <c r="N769">
        <v>33454.21</v>
      </c>
      <c r="O769">
        <v>256.1915672</v>
      </c>
      <c r="P769">
        <v>1737.431</v>
      </c>
      <c r="Q769">
        <v>1737.431</v>
      </c>
    </row>
    <row r="770" spans="1:17" ht="12.75">
      <c r="A770" t="s">
        <v>36</v>
      </c>
      <c r="B770" s="93">
        <v>40448</v>
      </c>
      <c r="C770">
        <v>1</v>
      </c>
      <c r="D770">
        <v>0.1939904</v>
      </c>
      <c r="E770">
        <v>0.1939904</v>
      </c>
      <c r="F770">
        <v>70.0541</v>
      </c>
      <c r="G770">
        <v>0.4222196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3.795576</v>
      </c>
      <c r="N770">
        <v>33454.21</v>
      </c>
      <c r="O770">
        <v>254.165967</v>
      </c>
      <c r="P770">
        <v>1709.831</v>
      </c>
      <c r="Q770">
        <v>1709.831</v>
      </c>
    </row>
    <row r="771" spans="1:17" ht="12.75">
      <c r="A771" t="s">
        <v>36</v>
      </c>
      <c r="B771" s="93">
        <v>40448</v>
      </c>
      <c r="C771">
        <v>2</v>
      </c>
      <c r="D771">
        <v>0.1796345</v>
      </c>
      <c r="E771">
        <v>0.1796345</v>
      </c>
      <c r="F771">
        <v>69.4377</v>
      </c>
      <c r="G771">
        <v>0.4222196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3.795576</v>
      </c>
      <c r="N771">
        <v>33454.21</v>
      </c>
      <c r="O771">
        <v>254.165967</v>
      </c>
      <c r="P771">
        <v>1583.298</v>
      </c>
      <c r="Q771">
        <v>1583.298</v>
      </c>
    </row>
    <row r="772" spans="1:17" ht="12.75">
      <c r="A772" t="s">
        <v>36</v>
      </c>
      <c r="B772" s="93">
        <v>40448</v>
      </c>
      <c r="C772">
        <v>3</v>
      </c>
      <c r="D772">
        <v>0.1678808</v>
      </c>
      <c r="E772">
        <v>0.1678808</v>
      </c>
      <c r="F772">
        <v>70.2148</v>
      </c>
      <c r="G772">
        <v>0.4222196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3.795576</v>
      </c>
      <c r="N772">
        <v>33454.21</v>
      </c>
      <c r="O772">
        <v>254.165967</v>
      </c>
      <c r="P772">
        <v>1479.701</v>
      </c>
      <c r="Q772">
        <v>1479.701</v>
      </c>
    </row>
    <row r="773" spans="1:17" ht="12.75">
      <c r="A773" t="s">
        <v>36</v>
      </c>
      <c r="B773" s="93">
        <v>40448</v>
      </c>
      <c r="C773">
        <v>4</v>
      </c>
      <c r="D773">
        <v>0.1550985</v>
      </c>
      <c r="E773">
        <v>0.1550985</v>
      </c>
      <c r="F773">
        <v>70.406</v>
      </c>
      <c r="G773">
        <v>0.4222196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3.795576</v>
      </c>
      <c r="N773">
        <v>33454.21</v>
      </c>
      <c r="O773">
        <v>254.165967</v>
      </c>
      <c r="P773">
        <v>1367.038</v>
      </c>
      <c r="Q773">
        <v>1367.038</v>
      </c>
    </row>
    <row r="774" spans="1:17" ht="12.75">
      <c r="A774" t="s">
        <v>36</v>
      </c>
      <c r="B774" s="93">
        <v>40448</v>
      </c>
      <c r="C774">
        <v>5</v>
      </c>
      <c r="D774">
        <v>0.1497599</v>
      </c>
      <c r="E774">
        <v>0.1497599</v>
      </c>
      <c r="F774">
        <v>69.2266</v>
      </c>
      <c r="G774">
        <v>0.4222196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3.795576</v>
      </c>
      <c r="N774">
        <v>33454.21</v>
      </c>
      <c r="O774">
        <v>254.165967</v>
      </c>
      <c r="P774">
        <v>1319.984</v>
      </c>
      <c r="Q774">
        <v>1319.984</v>
      </c>
    </row>
    <row r="775" spans="1:17" ht="12.75">
      <c r="A775" t="s">
        <v>36</v>
      </c>
      <c r="B775" s="93">
        <v>40448</v>
      </c>
      <c r="C775">
        <v>6</v>
      </c>
      <c r="D775">
        <v>0.1594441</v>
      </c>
      <c r="E775">
        <v>0.1594441</v>
      </c>
      <c r="F775">
        <v>72.3817</v>
      </c>
      <c r="G775">
        <v>0.4222196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3.795576</v>
      </c>
      <c r="N775">
        <v>33454.21</v>
      </c>
      <c r="O775">
        <v>254.165967</v>
      </c>
      <c r="P775">
        <v>1405.34</v>
      </c>
      <c r="Q775">
        <v>1405.34</v>
      </c>
    </row>
    <row r="776" spans="1:17" ht="12.75">
      <c r="A776" t="s">
        <v>36</v>
      </c>
      <c r="B776" s="93">
        <v>40448</v>
      </c>
      <c r="C776">
        <v>7</v>
      </c>
      <c r="D776">
        <v>0.2356823</v>
      </c>
      <c r="E776">
        <v>0.2356823</v>
      </c>
      <c r="F776">
        <v>72.9367</v>
      </c>
      <c r="G776">
        <v>0.4222196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3.795576</v>
      </c>
      <c r="N776">
        <v>33454.21</v>
      </c>
      <c r="O776">
        <v>254.165967</v>
      </c>
      <c r="P776">
        <v>2077.304</v>
      </c>
      <c r="Q776">
        <v>2077.304</v>
      </c>
    </row>
    <row r="777" spans="1:17" ht="12.75">
      <c r="A777" t="s">
        <v>36</v>
      </c>
      <c r="B777" s="93">
        <v>40448</v>
      </c>
      <c r="C777">
        <v>8</v>
      </c>
      <c r="D777">
        <v>0.4463927</v>
      </c>
      <c r="E777">
        <v>0.4463927</v>
      </c>
      <c r="F777">
        <v>82.4739</v>
      </c>
      <c r="G777">
        <v>0.4222196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3.795576</v>
      </c>
      <c r="N777">
        <v>33454.21</v>
      </c>
      <c r="O777">
        <v>254.165967</v>
      </c>
      <c r="P777">
        <v>3934.505</v>
      </c>
      <c r="Q777">
        <v>3934.505</v>
      </c>
    </row>
    <row r="778" spans="1:17" ht="12.75">
      <c r="A778" t="s">
        <v>36</v>
      </c>
      <c r="B778" s="93">
        <v>40448</v>
      </c>
      <c r="C778">
        <v>9</v>
      </c>
      <c r="D778">
        <v>0.8662305</v>
      </c>
      <c r="E778">
        <v>0.8662305</v>
      </c>
      <c r="F778">
        <v>90.6068</v>
      </c>
      <c r="G778">
        <v>0.4222196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3.795576</v>
      </c>
      <c r="N778">
        <v>33454.21</v>
      </c>
      <c r="O778">
        <v>254.165967</v>
      </c>
      <c r="P778">
        <v>7634.956</v>
      </c>
      <c r="Q778">
        <v>7634.956</v>
      </c>
    </row>
    <row r="779" spans="1:17" ht="12.75">
      <c r="A779" t="s">
        <v>36</v>
      </c>
      <c r="B779" s="93">
        <v>40448</v>
      </c>
      <c r="C779">
        <v>10</v>
      </c>
      <c r="D779">
        <v>1.393004</v>
      </c>
      <c r="E779">
        <v>1.393004</v>
      </c>
      <c r="F779">
        <v>95.5142</v>
      </c>
      <c r="G779">
        <v>0.4222196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3.795576</v>
      </c>
      <c r="N779">
        <v>33454.21</v>
      </c>
      <c r="O779">
        <v>254.165967</v>
      </c>
      <c r="P779">
        <v>12277.93</v>
      </c>
      <c r="Q779">
        <v>12277.93</v>
      </c>
    </row>
    <row r="780" spans="1:17" ht="12.75">
      <c r="A780" t="s">
        <v>36</v>
      </c>
      <c r="B780" s="93">
        <v>40448</v>
      </c>
      <c r="C780">
        <v>11</v>
      </c>
      <c r="D780">
        <v>1.907022</v>
      </c>
      <c r="E780">
        <v>1.907022</v>
      </c>
      <c r="F780">
        <v>99.9778</v>
      </c>
      <c r="G780">
        <v>0.4222196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3.795576</v>
      </c>
      <c r="N780">
        <v>33454.21</v>
      </c>
      <c r="O780">
        <v>254.165967</v>
      </c>
      <c r="P780">
        <v>16808.49</v>
      </c>
      <c r="Q780">
        <v>16808.49</v>
      </c>
    </row>
    <row r="781" spans="1:17" ht="12.75">
      <c r="A781" t="s">
        <v>36</v>
      </c>
      <c r="B781" s="93">
        <v>40448</v>
      </c>
      <c r="C781">
        <v>12</v>
      </c>
      <c r="D781">
        <v>2.319558</v>
      </c>
      <c r="E781">
        <v>2.319558</v>
      </c>
      <c r="F781">
        <v>96.2955</v>
      </c>
      <c r="G781">
        <v>0.4222196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3.795576</v>
      </c>
      <c r="N781">
        <v>33454.21</v>
      </c>
      <c r="O781">
        <v>254.165967</v>
      </c>
      <c r="P781">
        <v>20444.58</v>
      </c>
      <c r="Q781">
        <v>20444.58</v>
      </c>
    </row>
    <row r="782" spans="1:17" ht="12.75">
      <c r="A782" t="s">
        <v>36</v>
      </c>
      <c r="B782" s="93">
        <v>40448</v>
      </c>
      <c r="C782">
        <v>13</v>
      </c>
      <c r="D782">
        <v>2.563067</v>
      </c>
      <c r="E782">
        <v>2.563067</v>
      </c>
      <c r="F782">
        <v>96.5474</v>
      </c>
      <c r="G782">
        <v>0.4222196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3.795576</v>
      </c>
      <c r="N782">
        <v>33454.21</v>
      </c>
      <c r="O782">
        <v>254.165967</v>
      </c>
      <c r="P782">
        <v>22590.88</v>
      </c>
      <c r="Q782">
        <v>22590.88</v>
      </c>
    </row>
    <row r="783" spans="1:17" ht="12.75">
      <c r="A783" t="s">
        <v>36</v>
      </c>
      <c r="B783" s="93">
        <v>40448</v>
      </c>
      <c r="C783">
        <v>14</v>
      </c>
      <c r="D783">
        <v>2.545573</v>
      </c>
      <c r="E783">
        <v>2.545573</v>
      </c>
      <c r="F783">
        <v>94.5115</v>
      </c>
      <c r="G783">
        <v>0.4222196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3.795576</v>
      </c>
      <c r="N783">
        <v>33454.21</v>
      </c>
      <c r="O783">
        <v>254.165967</v>
      </c>
      <c r="P783">
        <v>22436.69</v>
      </c>
      <c r="Q783">
        <v>22436.69</v>
      </c>
    </row>
    <row r="784" spans="1:17" ht="12.75">
      <c r="A784" t="s">
        <v>36</v>
      </c>
      <c r="B784" s="93">
        <v>40448</v>
      </c>
      <c r="C784">
        <v>15</v>
      </c>
      <c r="D784">
        <v>2.588378</v>
      </c>
      <c r="E784">
        <v>2.053198</v>
      </c>
      <c r="F784">
        <v>94.2587</v>
      </c>
      <c r="G784">
        <v>0.4222196</v>
      </c>
      <c r="H784">
        <v>0.4840568</v>
      </c>
      <c r="I784">
        <v>0.5142607</v>
      </c>
      <c r="J784">
        <v>0.5351799</v>
      </c>
      <c r="K784">
        <v>0.556099</v>
      </c>
      <c r="L784">
        <v>0.5863029</v>
      </c>
      <c r="M784">
        <v>3.795576</v>
      </c>
      <c r="N784">
        <v>33454.21</v>
      </c>
      <c r="O784">
        <v>254.165967</v>
      </c>
      <c r="P784">
        <v>22813.96</v>
      </c>
      <c r="Q784">
        <v>18096.89</v>
      </c>
    </row>
    <row r="785" spans="1:17" ht="12.75">
      <c r="A785" t="s">
        <v>36</v>
      </c>
      <c r="B785" s="93">
        <v>40448</v>
      </c>
      <c r="C785">
        <v>16</v>
      </c>
      <c r="D785">
        <v>2.500858</v>
      </c>
      <c r="E785">
        <v>1.948338</v>
      </c>
      <c r="F785">
        <v>92.8195</v>
      </c>
      <c r="G785">
        <v>0.4222196</v>
      </c>
      <c r="H785">
        <v>0.5013639</v>
      </c>
      <c r="I785">
        <v>0.5315872</v>
      </c>
      <c r="J785">
        <v>0.5525197</v>
      </c>
      <c r="K785">
        <v>0.5734522</v>
      </c>
      <c r="L785">
        <v>0.6036754</v>
      </c>
      <c r="M785">
        <v>3.795576</v>
      </c>
      <c r="N785">
        <v>33454.21</v>
      </c>
      <c r="O785">
        <v>254.165967</v>
      </c>
      <c r="P785">
        <v>22042.56</v>
      </c>
      <c r="Q785">
        <v>17172.65</v>
      </c>
    </row>
    <row r="786" spans="1:17" ht="12.75">
      <c r="A786" t="s">
        <v>36</v>
      </c>
      <c r="B786" s="93">
        <v>40448</v>
      </c>
      <c r="C786">
        <v>17</v>
      </c>
      <c r="D786">
        <v>2.321878</v>
      </c>
      <c r="E786">
        <v>1.756574</v>
      </c>
      <c r="F786">
        <v>91.245</v>
      </c>
      <c r="G786">
        <v>0.4222196</v>
      </c>
      <c r="H786">
        <v>0.5140529</v>
      </c>
      <c r="I786">
        <v>0.5443326</v>
      </c>
      <c r="J786">
        <v>0.5653043</v>
      </c>
      <c r="K786">
        <v>0.5862759</v>
      </c>
      <c r="L786">
        <v>0.6165556</v>
      </c>
      <c r="M786">
        <v>3.795576</v>
      </c>
      <c r="N786">
        <v>33454.21</v>
      </c>
      <c r="O786">
        <v>254.165967</v>
      </c>
      <c r="P786">
        <v>20465.04</v>
      </c>
      <c r="Q786">
        <v>15482.44</v>
      </c>
    </row>
    <row r="787" spans="1:17" ht="12.75">
      <c r="A787" t="s">
        <v>36</v>
      </c>
      <c r="B787" s="93">
        <v>40448</v>
      </c>
      <c r="C787">
        <v>18</v>
      </c>
      <c r="D787">
        <v>1.796923</v>
      </c>
      <c r="E787">
        <v>1.226243</v>
      </c>
      <c r="F787">
        <v>87.5453</v>
      </c>
      <c r="G787">
        <v>0.4222196</v>
      </c>
      <c r="H787">
        <v>0.517898</v>
      </c>
      <c r="I787">
        <v>0.549082</v>
      </c>
      <c r="J787">
        <v>0.57068</v>
      </c>
      <c r="K787">
        <v>0.592278</v>
      </c>
      <c r="L787">
        <v>0.6234621</v>
      </c>
      <c r="M787">
        <v>3.795576</v>
      </c>
      <c r="N787">
        <v>33454.21</v>
      </c>
      <c r="O787">
        <v>254.165967</v>
      </c>
      <c r="P787">
        <v>15838.08</v>
      </c>
      <c r="Q787">
        <v>10808.11</v>
      </c>
    </row>
    <row r="788" spans="1:17" ht="12.75">
      <c r="A788" t="s">
        <v>36</v>
      </c>
      <c r="B788" s="93">
        <v>40448</v>
      </c>
      <c r="C788">
        <v>19</v>
      </c>
      <c r="D788">
        <v>1.184792</v>
      </c>
      <c r="E788">
        <v>1.406569</v>
      </c>
      <c r="F788">
        <v>82.8273</v>
      </c>
      <c r="G788">
        <v>0.4222196</v>
      </c>
      <c r="H788">
        <v>-0.2739586</v>
      </c>
      <c r="I788">
        <v>-0.2431291</v>
      </c>
      <c r="J788">
        <v>-0.2217766</v>
      </c>
      <c r="K788">
        <v>-0.2004241</v>
      </c>
      <c r="L788">
        <v>-0.1695946</v>
      </c>
      <c r="M788">
        <v>3.795576</v>
      </c>
      <c r="N788">
        <v>33454.21</v>
      </c>
      <c r="O788">
        <v>254.165967</v>
      </c>
      <c r="P788">
        <v>10442.76</v>
      </c>
      <c r="Q788">
        <v>12397.5</v>
      </c>
    </row>
    <row r="789" spans="1:17" ht="12.75">
      <c r="A789" t="s">
        <v>36</v>
      </c>
      <c r="B789" s="93">
        <v>40448</v>
      </c>
      <c r="C789">
        <v>20</v>
      </c>
      <c r="D789">
        <v>0.8066161</v>
      </c>
      <c r="E789">
        <v>0.9524063</v>
      </c>
      <c r="F789">
        <v>81.0952</v>
      </c>
      <c r="G789">
        <v>0.4222196</v>
      </c>
      <c r="H789">
        <v>-0.1971048</v>
      </c>
      <c r="I789">
        <v>-0.1667878</v>
      </c>
      <c r="J789">
        <v>-0.1457903</v>
      </c>
      <c r="K789">
        <v>-0.1247928</v>
      </c>
      <c r="L789">
        <v>-0.0944757</v>
      </c>
      <c r="M789">
        <v>3.795576</v>
      </c>
      <c r="N789">
        <v>33454.21</v>
      </c>
      <c r="O789">
        <v>254.165967</v>
      </c>
      <c r="P789">
        <v>7109.514</v>
      </c>
      <c r="Q789">
        <v>8394.51</v>
      </c>
    </row>
    <row r="790" spans="1:17" ht="12.75">
      <c r="A790" t="s">
        <v>36</v>
      </c>
      <c r="B790" s="93">
        <v>40448</v>
      </c>
      <c r="C790">
        <v>21</v>
      </c>
      <c r="D790">
        <v>0.5697222</v>
      </c>
      <c r="E790">
        <v>0.665305</v>
      </c>
      <c r="F790">
        <v>80.1274</v>
      </c>
      <c r="G790">
        <v>0.4225943</v>
      </c>
      <c r="H790">
        <v>-0.1467121</v>
      </c>
      <c r="I790">
        <v>-0.1165045</v>
      </c>
      <c r="J790">
        <v>-0.0955828</v>
      </c>
      <c r="K790">
        <v>-0.0746612</v>
      </c>
      <c r="L790">
        <v>-0.0444536</v>
      </c>
      <c r="M790">
        <v>3.795576</v>
      </c>
      <c r="N790">
        <v>33454.21</v>
      </c>
      <c r="O790">
        <v>253.1381604</v>
      </c>
      <c r="P790">
        <v>5021.531</v>
      </c>
      <c r="Q790">
        <v>5863.999</v>
      </c>
    </row>
    <row r="791" spans="1:17" ht="12.75">
      <c r="A791" t="s">
        <v>36</v>
      </c>
      <c r="B791" s="93">
        <v>40448</v>
      </c>
      <c r="C791">
        <v>22</v>
      </c>
      <c r="D791">
        <v>0.4222381</v>
      </c>
      <c r="E791">
        <v>0.484063</v>
      </c>
      <c r="F791">
        <v>78.6393</v>
      </c>
      <c r="G791">
        <v>0.4233126</v>
      </c>
      <c r="H791">
        <v>-0.1129764</v>
      </c>
      <c r="I791">
        <v>-0.0827557</v>
      </c>
      <c r="J791">
        <v>-0.0618249</v>
      </c>
      <c r="K791">
        <v>-0.0408941</v>
      </c>
      <c r="L791">
        <v>-0.0106734</v>
      </c>
      <c r="M791">
        <v>3.795576</v>
      </c>
      <c r="N791">
        <v>33454.21</v>
      </c>
      <c r="O791">
        <v>252.1103538</v>
      </c>
      <c r="P791">
        <v>3721.606</v>
      </c>
      <c r="Q791">
        <v>4266.531</v>
      </c>
    </row>
    <row r="792" spans="1:17" ht="12.75">
      <c r="A792" t="s">
        <v>36</v>
      </c>
      <c r="B792" s="93">
        <v>40448</v>
      </c>
      <c r="C792">
        <v>23</v>
      </c>
      <c r="D792">
        <v>0.3142368</v>
      </c>
      <c r="E792">
        <v>0.3536674</v>
      </c>
      <c r="F792">
        <v>76.3116</v>
      </c>
      <c r="G792">
        <v>0.4233126</v>
      </c>
      <c r="H792">
        <v>-0.0904385</v>
      </c>
      <c r="I792">
        <v>-0.0603026</v>
      </c>
      <c r="J792">
        <v>-0.0394306</v>
      </c>
      <c r="K792">
        <v>-0.0185585</v>
      </c>
      <c r="L792">
        <v>0.0115774</v>
      </c>
      <c r="M792">
        <v>3.795576</v>
      </c>
      <c r="N792">
        <v>33454.21</v>
      </c>
      <c r="O792">
        <v>252.1103538</v>
      </c>
      <c r="P792">
        <v>2769.683</v>
      </c>
      <c r="Q792">
        <v>3117.224</v>
      </c>
    </row>
    <row r="793" spans="1:17" ht="12.75">
      <c r="A793" t="s">
        <v>36</v>
      </c>
      <c r="B793" s="93">
        <v>40448</v>
      </c>
      <c r="C793">
        <v>24</v>
      </c>
      <c r="D793">
        <v>0.2572441</v>
      </c>
      <c r="E793">
        <v>0.2822575</v>
      </c>
      <c r="F793">
        <v>75.272</v>
      </c>
      <c r="G793">
        <v>0.4233126</v>
      </c>
      <c r="H793">
        <v>-0.0758204</v>
      </c>
      <c r="I793">
        <v>-0.0458032</v>
      </c>
      <c r="J793">
        <v>-0.0250134</v>
      </c>
      <c r="K793">
        <v>-0.0042236</v>
      </c>
      <c r="L793">
        <v>0.0257935</v>
      </c>
      <c r="M793">
        <v>3.795576</v>
      </c>
      <c r="N793">
        <v>33454.21</v>
      </c>
      <c r="O793">
        <v>252.1103538</v>
      </c>
      <c r="P793">
        <v>2267.349</v>
      </c>
      <c r="Q793">
        <v>2487.818</v>
      </c>
    </row>
    <row r="794" spans="1:17" ht="12.75">
      <c r="A794" t="s">
        <v>36</v>
      </c>
      <c r="B794" s="93">
        <v>40449</v>
      </c>
      <c r="C794">
        <v>1</v>
      </c>
      <c r="D794">
        <v>0.2053712</v>
      </c>
      <c r="E794">
        <v>0.2053712</v>
      </c>
      <c r="F794">
        <v>75.9754</v>
      </c>
      <c r="G794">
        <v>0.4233126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3.795576</v>
      </c>
      <c r="N794">
        <v>33454.21</v>
      </c>
      <c r="O794">
        <v>252.1103538</v>
      </c>
      <c r="P794">
        <v>1810.142</v>
      </c>
      <c r="Q794">
        <v>1810.142</v>
      </c>
    </row>
    <row r="795" spans="1:17" ht="12.75">
      <c r="A795" t="s">
        <v>36</v>
      </c>
      <c r="B795" s="93">
        <v>40449</v>
      </c>
      <c r="C795">
        <v>2</v>
      </c>
      <c r="D795">
        <v>0.1846472</v>
      </c>
      <c r="E795">
        <v>0.1846472</v>
      </c>
      <c r="F795">
        <v>74.378</v>
      </c>
      <c r="G795">
        <v>0.4225943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3.795576</v>
      </c>
      <c r="N795">
        <v>33454.21</v>
      </c>
      <c r="O795">
        <v>253.1381604</v>
      </c>
      <c r="P795">
        <v>1627.481</v>
      </c>
      <c r="Q795">
        <v>1627.481</v>
      </c>
    </row>
    <row r="796" spans="1:17" ht="12.75">
      <c r="A796" t="s">
        <v>36</v>
      </c>
      <c r="B796" s="93">
        <v>40449</v>
      </c>
      <c r="C796">
        <v>3</v>
      </c>
      <c r="D796">
        <v>0.1666457</v>
      </c>
      <c r="E796">
        <v>0.1666457</v>
      </c>
      <c r="F796">
        <v>74.8335</v>
      </c>
      <c r="G796">
        <v>0.4225943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3.795576</v>
      </c>
      <c r="N796">
        <v>33454.21</v>
      </c>
      <c r="O796">
        <v>253.1381604</v>
      </c>
      <c r="P796">
        <v>1468.815</v>
      </c>
      <c r="Q796">
        <v>1468.815</v>
      </c>
    </row>
    <row r="797" spans="1:17" ht="12.75">
      <c r="A797" t="s">
        <v>36</v>
      </c>
      <c r="B797" s="93">
        <v>40449</v>
      </c>
      <c r="C797">
        <v>4</v>
      </c>
      <c r="D797">
        <v>0.1478747</v>
      </c>
      <c r="E797">
        <v>0.1478747</v>
      </c>
      <c r="F797">
        <v>76.1576</v>
      </c>
      <c r="G797">
        <v>0.4225943</v>
      </c>
      <c r="H797">
        <v>0</v>
      </c>
      <c r="I797">
        <v>0</v>
      </c>
      <c r="J797">
        <v>0</v>
      </c>
      <c r="K797">
        <v>0</v>
      </c>
      <c r="L797">
        <v>0</v>
      </c>
      <c r="M797">
        <v>3.795576</v>
      </c>
      <c r="N797">
        <v>33454.21</v>
      </c>
      <c r="O797">
        <v>253.1381604</v>
      </c>
      <c r="P797">
        <v>1303.367</v>
      </c>
      <c r="Q797">
        <v>1303.367</v>
      </c>
    </row>
    <row r="798" spans="1:17" ht="12.75">
      <c r="A798" t="s">
        <v>36</v>
      </c>
      <c r="B798" s="93">
        <v>40449</v>
      </c>
      <c r="C798">
        <v>5</v>
      </c>
      <c r="D798">
        <v>0.1386998</v>
      </c>
      <c r="E798">
        <v>0.1386998</v>
      </c>
      <c r="F798">
        <v>75.0675</v>
      </c>
      <c r="G798">
        <v>0.4225943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3.795576</v>
      </c>
      <c r="N798">
        <v>33454.21</v>
      </c>
      <c r="O798">
        <v>253.1381604</v>
      </c>
      <c r="P798">
        <v>1222.5</v>
      </c>
      <c r="Q798">
        <v>1222.5</v>
      </c>
    </row>
    <row r="799" spans="1:17" ht="12.75">
      <c r="A799" t="s">
        <v>36</v>
      </c>
      <c r="B799" s="93">
        <v>40449</v>
      </c>
      <c r="C799">
        <v>6</v>
      </c>
      <c r="D799">
        <v>0.1552744</v>
      </c>
      <c r="E799">
        <v>0.1552744</v>
      </c>
      <c r="F799">
        <v>74.7546</v>
      </c>
      <c r="G799">
        <v>0.4225943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3.795576</v>
      </c>
      <c r="N799">
        <v>33454.21</v>
      </c>
      <c r="O799">
        <v>253.1381604</v>
      </c>
      <c r="P799">
        <v>1368.589</v>
      </c>
      <c r="Q799">
        <v>1368.589</v>
      </c>
    </row>
    <row r="800" spans="1:17" ht="12.75">
      <c r="A800" t="s">
        <v>36</v>
      </c>
      <c r="B800" s="93">
        <v>40449</v>
      </c>
      <c r="C800">
        <v>7</v>
      </c>
      <c r="D800">
        <v>0.2537273</v>
      </c>
      <c r="E800">
        <v>0.2537273</v>
      </c>
      <c r="F800">
        <v>74.5382</v>
      </c>
      <c r="G800">
        <v>0.4233126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3.795576</v>
      </c>
      <c r="N800">
        <v>33454.21</v>
      </c>
      <c r="O800">
        <v>252.1103538</v>
      </c>
      <c r="P800">
        <v>2236.353</v>
      </c>
      <c r="Q800">
        <v>2236.353</v>
      </c>
    </row>
    <row r="801" spans="1:17" ht="12.75">
      <c r="A801" t="s">
        <v>36</v>
      </c>
      <c r="B801" s="93">
        <v>40449</v>
      </c>
      <c r="C801">
        <v>8</v>
      </c>
      <c r="D801">
        <v>0.5330352</v>
      </c>
      <c r="E801">
        <v>0.5330352</v>
      </c>
      <c r="F801">
        <v>75.2362</v>
      </c>
      <c r="G801">
        <v>0.4225943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3.795576</v>
      </c>
      <c r="N801">
        <v>33454.21</v>
      </c>
      <c r="O801">
        <v>253.1381604</v>
      </c>
      <c r="P801">
        <v>4698.172</v>
      </c>
      <c r="Q801">
        <v>4698.172</v>
      </c>
    </row>
    <row r="802" spans="1:17" ht="12.75">
      <c r="A802" t="s">
        <v>36</v>
      </c>
      <c r="B802" s="93">
        <v>40449</v>
      </c>
      <c r="C802">
        <v>9</v>
      </c>
      <c r="D802">
        <v>0.911114</v>
      </c>
      <c r="E802">
        <v>0.911114</v>
      </c>
      <c r="F802">
        <v>76.6004</v>
      </c>
      <c r="G802">
        <v>0.4225943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3.795576</v>
      </c>
      <c r="N802">
        <v>33454.21</v>
      </c>
      <c r="O802">
        <v>253.1381604</v>
      </c>
      <c r="P802">
        <v>8030.559</v>
      </c>
      <c r="Q802">
        <v>8030.559</v>
      </c>
    </row>
    <row r="803" spans="1:17" ht="12.75">
      <c r="A803" t="s">
        <v>36</v>
      </c>
      <c r="B803" s="93">
        <v>40449</v>
      </c>
      <c r="C803">
        <v>10</v>
      </c>
      <c r="D803">
        <v>1.262913</v>
      </c>
      <c r="E803">
        <v>1.262913</v>
      </c>
      <c r="F803">
        <v>79.9231</v>
      </c>
      <c r="G803">
        <v>0.4225943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3.795576</v>
      </c>
      <c r="N803">
        <v>33454.21</v>
      </c>
      <c r="O803">
        <v>253.1381604</v>
      </c>
      <c r="P803">
        <v>11131.32</v>
      </c>
      <c r="Q803">
        <v>11131.32</v>
      </c>
    </row>
    <row r="804" spans="1:17" ht="12.75">
      <c r="A804" t="s">
        <v>36</v>
      </c>
      <c r="B804" s="93">
        <v>40449</v>
      </c>
      <c r="C804">
        <v>11</v>
      </c>
      <c r="D804">
        <v>1.526067</v>
      </c>
      <c r="E804">
        <v>1.526067</v>
      </c>
      <c r="F804">
        <v>83.4818</v>
      </c>
      <c r="G804">
        <v>0.4225943</v>
      </c>
      <c r="H804">
        <v>0</v>
      </c>
      <c r="I804">
        <v>0</v>
      </c>
      <c r="J804">
        <v>0</v>
      </c>
      <c r="K804">
        <v>0</v>
      </c>
      <c r="L804">
        <v>0</v>
      </c>
      <c r="M804">
        <v>3.795576</v>
      </c>
      <c r="N804">
        <v>33454.21</v>
      </c>
      <c r="O804">
        <v>253.1381604</v>
      </c>
      <c r="P804">
        <v>13450.75</v>
      </c>
      <c r="Q804">
        <v>13450.75</v>
      </c>
    </row>
    <row r="805" spans="1:17" ht="12.75">
      <c r="A805" t="s">
        <v>36</v>
      </c>
      <c r="B805" s="93">
        <v>40449</v>
      </c>
      <c r="C805">
        <v>12</v>
      </c>
      <c r="D805">
        <v>1.74755</v>
      </c>
      <c r="E805">
        <v>1.74755</v>
      </c>
      <c r="F805">
        <v>84.3592</v>
      </c>
      <c r="G805">
        <v>0.4225943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3.795576</v>
      </c>
      <c r="N805">
        <v>33454.21</v>
      </c>
      <c r="O805">
        <v>253.1381604</v>
      </c>
      <c r="P805">
        <v>15402.91</v>
      </c>
      <c r="Q805">
        <v>15402.91</v>
      </c>
    </row>
    <row r="806" spans="1:17" ht="12.75">
      <c r="A806" t="s">
        <v>36</v>
      </c>
      <c r="B806" s="93">
        <v>40449</v>
      </c>
      <c r="C806">
        <v>13</v>
      </c>
      <c r="D806">
        <v>1.847004</v>
      </c>
      <c r="E806">
        <v>1.847004</v>
      </c>
      <c r="F806">
        <v>83.4708</v>
      </c>
      <c r="G806">
        <v>0.4225943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3.795576</v>
      </c>
      <c r="N806">
        <v>33454.21</v>
      </c>
      <c r="O806">
        <v>253.1381604</v>
      </c>
      <c r="P806">
        <v>16279.49</v>
      </c>
      <c r="Q806">
        <v>16279.49</v>
      </c>
    </row>
    <row r="807" spans="1:17" ht="12.75">
      <c r="A807" t="s">
        <v>36</v>
      </c>
      <c r="B807" s="93">
        <v>40449</v>
      </c>
      <c r="C807">
        <v>14</v>
      </c>
      <c r="D807">
        <v>1.781599</v>
      </c>
      <c r="E807">
        <v>1.781599</v>
      </c>
      <c r="F807">
        <v>83.0443</v>
      </c>
      <c r="G807">
        <v>0.4225943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3.795576</v>
      </c>
      <c r="N807">
        <v>33454.21</v>
      </c>
      <c r="O807">
        <v>253.1381604</v>
      </c>
      <c r="P807">
        <v>15703.01</v>
      </c>
      <c r="Q807">
        <v>15703.01</v>
      </c>
    </row>
    <row r="808" spans="1:17" ht="12.75">
      <c r="A808" t="s">
        <v>36</v>
      </c>
      <c r="B808" s="93">
        <v>40449</v>
      </c>
      <c r="C808">
        <v>15</v>
      </c>
      <c r="D808">
        <v>1.768917</v>
      </c>
      <c r="E808">
        <v>1.351449</v>
      </c>
      <c r="F808">
        <v>84.1644</v>
      </c>
      <c r="G808">
        <v>0.4233126</v>
      </c>
      <c r="H808">
        <v>0.3704231</v>
      </c>
      <c r="I808">
        <v>0.3982175</v>
      </c>
      <c r="J808">
        <v>0.4174678</v>
      </c>
      <c r="K808">
        <v>0.4367181</v>
      </c>
      <c r="L808">
        <v>0.4645125</v>
      </c>
      <c r="M808">
        <v>3.795576</v>
      </c>
      <c r="N808">
        <v>33454.21</v>
      </c>
      <c r="O808">
        <v>252.1103538</v>
      </c>
      <c r="P808">
        <v>15591.23</v>
      </c>
      <c r="Q808">
        <v>11911.67</v>
      </c>
    </row>
    <row r="809" spans="1:17" ht="12.75">
      <c r="A809" t="s">
        <v>36</v>
      </c>
      <c r="B809" s="93">
        <v>40449</v>
      </c>
      <c r="C809">
        <v>16</v>
      </c>
      <c r="D809">
        <v>1.713119</v>
      </c>
      <c r="E809">
        <v>1.284195</v>
      </c>
      <c r="F809">
        <v>84.8128</v>
      </c>
      <c r="G809">
        <v>0.4233126</v>
      </c>
      <c r="H809">
        <v>0.3818931</v>
      </c>
      <c r="I809">
        <v>0.4096794</v>
      </c>
      <c r="J809">
        <v>0.4289241</v>
      </c>
      <c r="K809">
        <v>0.4481688</v>
      </c>
      <c r="L809">
        <v>0.475955</v>
      </c>
      <c r="M809">
        <v>3.795576</v>
      </c>
      <c r="N809">
        <v>33454.21</v>
      </c>
      <c r="O809">
        <v>252.1103538</v>
      </c>
      <c r="P809">
        <v>15099.43</v>
      </c>
      <c r="Q809">
        <v>11318.89</v>
      </c>
    </row>
    <row r="810" spans="1:17" ht="12.75">
      <c r="A810" t="s">
        <v>36</v>
      </c>
      <c r="B810" s="93">
        <v>40449</v>
      </c>
      <c r="C810">
        <v>17</v>
      </c>
      <c r="D810">
        <v>1.572517</v>
      </c>
      <c r="E810">
        <v>1.135315</v>
      </c>
      <c r="F810">
        <v>83.336</v>
      </c>
      <c r="G810">
        <v>0.4225943</v>
      </c>
      <c r="H810">
        <v>0.3903607</v>
      </c>
      <c r="I810">
        <v>0.4180353</v>
      </c>
      <c r="J810">
        <v>0.4372026</v>
      </c>
      <c r="K810">
        <v>0.4563699</v>
      </c>
      <c r="L810">
        <v>0.4840444</v>
      </c>
      <c r="M810">
        <v>3.795576</v>
      </c>
      <c r="N810">
        <v>33454.21</v>
      </c>
      <c r="O810">
        <v>253.1381604</v>
      </c>
      <c r="P810">
        <v>13860.17</v>
      </c>
      <c r="Q810">
        <v>10006.67</v>
      </c>
    </row>
    <row r="811" spans="1:17" ht="12.75">
      <c r="A811" t="s">
        <v>36</v>
      </c>
      <c r="B811" s="93">
        <v>40449</v>
      </c>
      <c r="C811">
        <v>18</v>
      </c>
      <c r="D811">
        <v>1.215746</v>
      </c>
      <c r="E811">
        <v>0.7805199</v>
      </c>
      <c r="F811">
        <v>79.0126</v>
      </c>
      <c r="G811">
        <v>0.4233126</v>
      </c>
      <c r="H811">
        <v>0.3876875</v>
      </c>
      <c r="I811">
        <v>0.4157738</v>
      </c>
      <c r="J811">
        <v>0.4352263</v>
      </c>
      <c r="K811">
        <v>0.4546787</v>
      </c>
      <c r="L811">
        <v>0.482765</v>
      </c>
      <c r="M811">
        <v>3.795576</v>
      </c>
      <c r="N811">
        <v>33454.21</v>
      </c>
      <c r="O811">
        <v>252.1103538</v>
      </c>
      <c r="P811">
        <v>10715.59</v>
      </c>
      <c r="Q811">
        <v>6879.502</v>
      </c>
    </row>
    <row r="812" spans="1:17" ht="12.75">
      <c r="A812" t="s">
        <v>36</v>
      </c>
      <c r="B812" s="93">
        <v>40449</v>
      </c>
      <c r="C812">
        <v>19</v>
      </c>
      <c r="D812">
        <v>0.8187518</v>
      </c>
      <c r="E812">
        <v>0.9907631</v>
      </c>
      <c r="F812">
        <v>76.1982</v>
      </c>
      <c r="G812">
        <v>0.4225943</v>
      </c>
      <c r="H812">
        <v>-0.2196861</v>
      </c>
      <c r="I812">
        <v>-0.1915194</v>
      </c>
      <c r="J812">
        <v>-0.1720113</v>
      </c>
      <c r="K812">
        <v>-0.1525032</v>
      </c>
      <c r="L812">
        <v>-0.1243366</v>
      </c>
      <c r="M812">
        <v>3.795576</v>
      </c>
      <c r="N812">
        <v>33454.21</v>
      </c>
      <c r="O812">
        <v>253.1381604</v>
      </c>
      <c r="P812">
        <v>7216.478</v>
      </c>
      <c r="Q812">
        <v>8732.586</v>
      </c>
    </row>
    <row r="813" spans="1:17" ht="12.75">
      <c r="A813" t="s">
        <v>36</v>
      </c>
      <c r="B813" s="93">
        <v>40449</v>
      </c>
      <c r="C813">
        <v>20</v>
      </c>
      <c r="D813">
        <v>0.5770596</v>
      </c>
      <c r="E813">
        <v>0.689683</v>
      </c>
      <c r="F813">
        <v>74.611</v>
      </c>
      <c r="G813">
        <v>0.4225943</v>
      </c>
      <c r="H813">
        <v>-0.159282</v>
      </c>
      <c r="I813">
        <v>-0.1317158</v>
      </c>
      <c r="J813">
        <v>-0.1126235</v>
      </c>
      <c r="K813">
        <v>-0.0935311</v>
      </c>
      <c r="L813">
        <v>-0.0659649</v>
      </c>
      <c r="M813">
        <v>3.795576</v>
      </c>
      <c r="N813">
        <v>33454.21</v>
      </c>
      <c r="O813">
        <v>253.1381604</v>
      </c>
      <c r="P813">
        <v>5086.203</v>
      </c>
      <c r="Q813">
        <v>6078.866</v>
      </c>
    </row>
    <row r="814" spans="1:17" ht="12.75">
      <c r="A814" t="s">
        <v>36</v>
      </c>
      <c r="B814" s="93">
        <v>40449</v>
      </c>
      <c r="C814">
        <v>21</v>
      </c>
      <c r="D814">
        <v>0.4176242</v>
      </c>
      <c r="E814">
        <v>0.4910569</v>
      </c>
      <c r="F814">
        <v>73.474</v>
      </c>
      <c r="G814">
        <v>0.4225943</v>
      </c>
      <c r="H814">
        <v>-0.1196613</v>
      </c>
      <c r="I814">
        <v>-0.0923491</v>
      </c>
      <c r="J814">
        <v>-0.0734327</v>
      </c>
      <c r="K814">
        <v>-0.0545163</v>
      </c>
      <c r="L814">
        <v>-0.0272041</v>
      </c>
      <c r="M814">
        <v>3.795576</v>
      </c>
      <c r="N814">
        <v>33454.21</v>
      </c>
      <c r="O814">
        <v>253.1381604</v>
      </c>
      <c r="P814">
        <v>3680.939</v>
      </c>
      <c r="Q814">
        <v>4328.175</v>
      </c>
    </row>
    <row r="815" spans="1:17" ht="12.75">
      <c r="A815" t="s">
        <v>36</v>
      </c>
      <c r="B815" s="93">
        <v>40449</v>
      </c>
      <c r="C815">
        <v>22</v>
      </c>
      <c r="D815">
        <v>0.3233768</v>
      </c>
      <c r="E815">
        <v>0.3713184</v>
      </c>
      <c r="F815">
        <v>72.4448</v>
      </c>
      <c r="G815">
        <v>0.4233126</v>
      </c>
      <c r="H815">
        <v>-0.094207</v>
      </c>
      <c r="I815">
        <v>-0.066873</v>
      </c>
      <c r="J815">
        <v>-0.0479416</v>
      </c>
      <c r="K815">
        <v>-0.0290102</v>
      </c>
      <c r="L815">
        <v>-0.0016762</v>
      </c>
      <c r="M815">
        <v>3.795576</v>
      </c>
      <c r="N815">
        <v>33454.21</v>
      </c>
      <c r="O815">
        <v>252.1103538</v>
      </c>
      <c r="P815">
        <v>2850.243</v>
      </c>
      <c r="Q815">
        <v>3272.8</v>
      </c>
    </row>
    <row r="816" spans="1:17" ht="12.75">
      <c r="A816" t="s">
        <v>36</v>
      </c>
      <c r="B816" s="93">
        <v>40449</v>
      </c>
      <c r="C816">
        <v>23</v>
      </c>
      <c r="D816">
        <v>0.2508161</v>
      </c>
      <c r="E816">
        <v>0.2816689</v>
      </c>
      <c r="F816">
        <v>71.8188</v>
      </c>
      <c r="G816">
        <v>0.4225943</v>
      </c>
      <c r="H816">
        <v>-0.0769637</v>
      </c>
      <c r="I816">
        <v>-0.049721</v>
      </c>
      <c r="J816">
        <v>-0.0308528</v>
      </c>
      <c r="K816">
        <v>-0.0119846</v>
      </c>
      <c r="L816">
        <v>0.0152581</v>
      </c>
      <c r="M816">
        <v>3.795576</v>
      </c>
      <c r="N816">
        <v>33454.21</v>
      </c>
      <c r="O816">
        <v>253.1381604</v>
      </c>
      <c r="P816">
        <v>2210.693</v>
      </c>
      <c r="Q816">
        <v>2482.63</v>
      </c>
    </row>
    <row r="817" spans="1:17" ht="12.75">
      <c r="A817" t="s">
        <v>36</v>
      </c>
      <c r="B817" s="93">
        <v>40449</v>
      </c>
      <c r="C817">
        <v>24</v>
      </c>
      <c r="D817">
        <v>0.2153411</v>
      </c>
      <c r="E817">
        <v>0.2351857</v>
      </c>
      <c r="F817">
        <v>71.1196</v>
      </c>
      <c r="G817">
        <v>0.4225943</v>
      </c>
      <c r="H817">
        <v>-0.0659894</v>
      </c>
      <c r="I817">
        <v>-0.0387266</v>
      </c>
      <c r="J817">
        <v>-0.0198445</v>
      </c>
      <c r="K817">
        <v>-0.0009624</v>
      </c>
      <c r="L817">
        <v>0.0263004</v>
      </c>
      <c r="M817">
        <v>3.795576</v>
      </c>
      <c r="N817">
        <v>33454.21</v>
      </c>
      <c r="O817">
        <v>253.1381604</v>
      </c>
      <c r="P817">
        <v>1898.017</v>
      </c>
      <c r="Q817">
        <v>2072.926</v>
      </c>
    </row>
    <row r="818" spans="1:17" ht="12.75">
      <c r="A818" t="s">
        <v>36</v>
      </c>
      <c r="B818" s="93">
        <v>40450</v>
      </c>
      <c r="C818">
        <v>1</v>
      </c>
      <c r="D818">
        <v>0.1861555</v>
      </c>
      <c r="E818">
        <v>0.1861555</v>
      </c>
      <c r="F818">
        <v>70.6893</v>
      </c>
      <c r="G818">
        <v>0.4225943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3.795576</v>
      </c>
      <c r="N818">
        <v>33454.21</v>
      </c>
      <c r="O818">
        <v>253.1381604</v>
      </c>
      <c r="P818">
        <v>1640.775</v>
      </c>
      <c r="Q818">
        <v>1640.775</v>
      </c>
    </row>
    <row r="819" spans="1:17" ht="12.75">
      <c r="A819" t="s">
        <v>36</v>
      </c>
      <c r="B819" s="93">
        <v>40450</v>
      </c>
      <c r="C819">
        <v>2</v>
      </c>
      <c r="D819">
        <v>0.1735498</v>
      </c>
      <c r="E819">
        <v>0.1735498</v>
      </c>
      <c r="F819">
        <v>70.1523</v>
      </c>
      <c r="G819">
        <v>0.4225943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3.795576</v>
      </c>
      <c r="N819">
        <v>33454.21</v>
      </c>
      <c r="O819">
        <v>253.1381604</v>
      </c>
      <c r="P819">
        <v>1529.668</v>
      </c>
      <c r="Q819">
        <v>1529.668</v>
      </c>
    </row>
    <row r="820" spans="1:17" ht="12.75">
      <c r="A820" t="s">
        <v>36</v>
      </c>
      <c r="B820" s="93">
        <v>40450</v>
      </c>
      <c r="C820">
        <v>3</v>
      </c>
      <c r="D820">
        <v>0.1627233</v>
      </c>
      <c r="E820">
        <v>0.1627233</v>
      </c>
      <c r="F820">
        <v>69.2196</v>
      </c>
      <c r="G820">
        <v>0.4225943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3.795576</v>
      </c>
      <c r="N820">
        <v>33454.21</v>
      </c>
      <c r="O820">
        <v>253.1381604</v>
      </c>
      <c r="P820">
        <v>1434.243</v>
      </c>
      <c r="Q820">
        <v>1434.243</v>
      </c>
    </row>
    <row r="821" spans="1:17" ht="12.75">
      <c r="A821" t="s">
        <v>36</v>
      </c>
      <c r="B821" s="93">
        <v>40450</v>
      </c>
      <c r="C821">
        <v>4</v>
      </c>
      <c r="D821">
        <v>0.1521738</v>
      </c>
      <c r="E821">
        <v>0.1521738</v>
      </c>
      <c r="F821">
        <v>69.2206</v>
      </c>
      <c r="G821">
        <v>0.4225943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3.795576</v>
      </c>
      <c r="N821">
        <v>33454.21</v>
      </c>
      <c r="O821">
        <v>253.1381604</v>
      </c>
      <c r="P821">
        <v>1341.26</v>
      </c>
      <c r="Q821">
        <v>1341.26</v>
      </c>
    </row>
    <row r="822" spans="1:17" ht="12.75">
      <c r="A822" t="s">
        <v>36</v>
      </c>
      <c r="B822" s="93">
        <v>40450</v>
      </c>
      <c r="C822">
        <v>5</v>
      </c>
      <c r="D822">
        <v>0.1494449</v>
      </c>
      <c r="E822">
        <v>0.1494449</v>
      </c>
      <c r="F822">
        <v>68.3455</v>
      </c>
      <c r="G822">
        <v>0.4225943</v>
      </c>
      <c r="H822">
        <v>0</v>
      </c>
      <c r="I822">
        <v>0</v>
      </c>
      <c r="J822">
        <v>0</v>
      </c>
      <c r="K822">
        <v>0</v>
      </c>
      <c r="L822">
        <v>0</v>
      </c>
      <c r="M822">
        <v>3.795576</v>
      </c>
      <c r="N822">
        <v>33454.21</v>
      </c>
      <c r="O822">
        <v>253.1381604</v>
      </c>
      <c r="P822">
        <v>1317.207</v>
      </c>
      <c r="Q822">
        <v>1317.207</v>
      </c>
    </row>
    <row r="823" spans="1:17" ht="12.75">
      <c r="A823" t="s">
        <v>36</v>
      </c>
      <c r="B823" s="93">
        <v>40450</v>
      </c>
      <c r="C823">
        <v>6</v>
      </c>
      <c r="D823">
        <v>0.1597231</v>
      </c>
      <c r="E823">
        <v>0.1597231</v>
      </c>
      <c r="F823">
        <v>68.215</v>
      </c>
      <c r="G823">
        <v>0.4233126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3.795576</v>
      </c>
      <c r="N823">
        <v>33454.21</v>
      </c>
      <c r="O823">
        <v>252.1103538</v>
      </c>
      <c r="P823">
        <v>1407.799</v>
      </c>
      <c r="Q823">
        <v>1407.799</v>
      </c>
    </row>
    <row r="824" spans="1:17" ht="12.75">
      <c r="A824" t="s">
        <v>36</v>
      </c>
      <c r="B824" s="93">
        <v>40450</v>
      </c>
      <c r="C824">
        <v>7</v>
      </c>
      <c r="D824">
        <v>0.2303</v>
      </c>
      <c r="E824">
        <v>0.2303</v>
      </c>
      <c r="F824">
        <v>68.7862</v>
      </c>
      <c r="G824">
        <v>0.4233126</v>
      </c>
      <c r="H824">
        <v>0</v>
      </c>
      <c r="I824">
        <v>0</v>
      </c>
      <c r="J824">
        <v>0</v>
      </c>
      <c r="K824">
        <v>0</v>
      </c>
      <c r="L824">
        <v>0</v>
      </c>
      <c r="M824">
        <v>3.795576</v>
      </c>
      <c r="N824">
        <v>33454.21</v>
      </c>
      <c r="O824">
        <v>252.1103538</v>
      </c>
      <c r="P824">
        <v>2029.864</v>
      </c>
      <c r="Q824">
        <v>2029.864</v>
      </c>
    </row>
    <row r="825" spans="1:17" ht="12.75">
      <c r="A825" t="s">
        <v>36</v>
      </c>
      <c r="B825" s="93">
        <v>40450</v>
      </c>
      <c r="C825">
        <v>8</v>
      </c>
      <c r="D825">
        <v>0.3933931</v>
      </c>
      <c r="E825">
        <v>0.3933931</v>
      </c>
      <c r="F825">
        <v>71.5142</v>
      </c>
      <c r="G825">
        <v>0.4233126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3.795576</v>
      </c>
      <c r="N825">
        <v>33454.21</v>
      </c>
      <c r="O825">
        <v>252.1103538</v>
      </c>
      <c r="P825">
        <v>3467.367</v>
      </c>
      <c r="Q825">
        <v>3467.367</v>
      </c>
    </row>
    <row r="826" spans="1:17" ht="12.75">
      <c r="A826" t="s">
        <v>36</v>
      </c>
      <c r="B826" s="93">
        <v>40450</v>
      </c>
      <c r="C826">
        <v>9</v>
      </c>
      <c r="D826">
        <v>0.6600522</v>
      </c>
      <c r="E826">
        <v>0.6600522</v>
      </c>
      <c r="F826">
        <v>76.3579</v>
      </c>
      <c r="G826">
        <v>0.4233126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3.795576</v>
      </c>
      <c r="N826">
        <v>33454.21</v>
      </c>
      <c r="O826">
        <v>252.1103538</v>
      </c>
      <c r="P826">
        <v>5817.701</v>
      </c>
      <c r="Q826">
        <v>5817.701</v>
      </c>
    </row>
    <row r="827" spans="1:17" ht="12.75">
      <c r="A827" t="s">
        <v>36</v>
      </c>
      <c r="B827" s="93">
        <v>40450</v>
      </c>
      <c r="C827">
        <v>10</v>
      </c>
      <c r="D827">
        <v>0.9430506</v>
      </c>
      <c r="E827">
        <v>0.9430506</v>
      </c>
      <c r="F827">
        <v>79.6404</v>
      </c>
      <c r="G827">
        <v>0.4233126</v>
      </c>
      <c r="H827">
        <v>0</v>
      </c>
      <c r="I827">
        <v>0</v>
      </c>
      <c r="J827">
        <v>0</v>
      </c>
      <c r="K827">
        <v>0</v>
      </c>
      <c r="L827">
        <v>0</v>
      </c>
      <c r="M827">
        <v>3.795576</v>
      </c>
      <c r="N827">
        <v>33454.21</v>
      </c>
      <c r="O827">
        <v>252.1103538</v>
      </c>
      <c r="P827">
        <v>8312.049</v>
      </c>
      <c r="Q827">
        <v>8312.049</v>
      </c>
    </row>
    <row r="828" spans="1:17" ht="12.75">
      <c r="A828" t="s">
        <v>36</v>
      </c>
      <c r="B828" s="93">
        <v>40450</v>
      </c>
      <c r="C828">
        <v>11</v>
      </c>
      <c r="D828">
        <v>1.208763</v>
      </c>
      <c r="E828">
        <v>1.208763</v>
      </c>
      <c r="F828">
        <v>83.9247</v>
      </c>
      <c r="G828">
        <v>0.4222196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3.795576</v>
      </c>
      <c r="N828">
        <v>33454.21</v>
      </c>
      <c r="O828">
        <v>254.165967</v>
      </c>
      <c r="P828">
        <v>10654.04</v>
      </c>
      <c r="Q828">
        <v>10654.04</v>
      </c>
    </row>
    <row r="829" spans="1:17" ht="12.75">
      <c r="A829" t="s">
        <v>36</v>
      </c>
      <c r="B829" s="93">
        <v>40450</v>
      </c>
      <c r="C829">
        <v>12</v>
      </c>
      <c r="D829">
        <v>1.429126</v>
      </c>
      <c r="E829">
        <v>1.429126</v>
      </c>
      <c r="F829">
        <v>83.0405</v>
      </c>
      <c r="G829">
        <v>0.4222196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3.795576</v>
      </c>
      <c r="N829">
        <v>33454.21</v>
      </c>
      <c r="O829">
        <v>254.165967</v>
      </c>
      <c r="P829">
        <v>12596.31</v>
      </c>
      <c r="Q829">
        <v>12596.31</v>
      </c>
    </row>
    <row r="830" spans="1:17" ht="12.75">
      <c r="A830" t="s">
        <v>36</v>
      </c>
      <c r="B830" s="93">
        <v>40450</v>
      </c>
      <c r="C830">
        <v>13</v>
      </c>
      <c r="D830">
        <v>1.603153</v>
      </c>
      <c r="E830">
        <v>1.603153</v>
      </c>
      <c r="F830">
        <v>85.1795</v>
      </c>
      <c r="G830">
        <v>0.4222196</v>
      </c>
      <c r="H830">
        <v>0</v>
      </c>
      <c r="I830">
        <v>0</v>
      </c>
      <c r="J830">
        <v>0</v>
      </c>
      <c r="K830">
        <v>0</v>
      </c>
      <c r="L830">
        <v>0</v>
      </c>
      <c r="M830">
        <v>3.795576</v>
      </c>
      <c r="N830">
        <v>33454.21</v>
      </c>
      <c r="O830">
        <v>254.165967</v>
      </c>
      <c r="P830">
        <v>14130.19</v>
      </c>
      <c r="Q830">
        <v>14130.19</v>
      </c>
    </row>
    <row r="831" spans="1:17" ht="12.75">
      <c r="A831" t="s">
        <v>36</v>
      </c>
      <c r="B831" s="93">
        <v>40450</v>
      </c>
      <c r="C831">
        <v>14</v>
      </c>
      <c r="D831">
        <v>1.619906</v>
      </c>
      <c r="E831">
        <v>1.619906</v>
      </c>
      <c r="F831">
        <v>84.842</v>
      </c>
      <c r="G831">
        <v>0.4222196</v>
      </c>
      <c r="H831">
        <v>0</v>
      </c>
      <c r="I831">
        <v>0</v>
      </c>
      <c r="J831">
        <v>0</v>
      </c>
      <c r="K831">
        <v>0</v>
      </c>
      <c r="L831">
        <v>0</v>
      </c>
      <c r="M831">
        <v>3.795576</v>
      </c>
      <c r="N831">
        <v>33454.21</v>
      </c>
      <c r="O831">
        <v>254.165967</v>
      </c>
      <c r="P831">
        <v>14277.85</v>
      </c>
      <c r="Q831">
        <v>14277.85</v>
      </c>
    </row>
    <row r="832" spans="1:17" ht="12.75">
      <c r="A832" t="s">
        <v>36</v>
      </c>
      <c r="B832" s="93">
        <v>40450</v>
      </c>
      <c r="C832">
        <v>15</v>
      </c>
      <c r="D832">
        <v>1.633493</v>
      </c>
      <c r="E832">
        <v>1.241721</v>
      </c>
      <c r="F832">
        <v>83.2505</v>
      </c>
      <c r="G832">
        <v>0.4222196</v>
      </c>
      <c r="H832">
        <v>0.3451858</v>
      </c>
      <c r="I832">
        <v>0.3727098</v>
      </c>
      <c r="J832">
        <v>0.3917727</v>
      </c>
      <c r="K832">
        <v>0.4108357</v>
      </c>
      <c r="L832">
        <v>0.4383597</v>
      </c>
      <c r="M832">
        <v>3.795576</v>
      </c>
      <c r="N832">
        <v>33454.21</v>
      </c>
      <c r="O832">
        <v>254.165967</v>
      </c>
      <c r="P832">
        <v>14397.61</v>
      </c>
      <c r="Q832">
        <v>10944.53</v>
      </c>
    </row>
    <row r="833" spans="1:17" ht="12.75">
      <c r="A833" t="s">
        <v>36</v>
      </c>
      <c r="B833" s="93">
        <v>40450</v>
      </c>
      <c r="C833">
        <v>16</v>
      </c>
      <c r="D833">
        <v>1.597889</v>
      </c>
      <c r="E833">
        <v>1.194487</v>
      </c>
      <c r="F833">
        <v>82.1896</v>
      </c>
      <c r="G833">
        <v>0.4222196</v>
      </c>
      <c r="H833">
        <v>0.3568287</v>
      </c>
      <c r="I833">
        <v>0.3843449</v>
      </c>
      <c r="J833">
        <v>0.4034026</v>
      </c>
      <c r="K833">
        <v>0.4224602</v>
      </c>
      <c r="L833">
        <v>0.4499764</v>
      </c>
      <c r="M833">
        <v>3.795576</v>
      </c>
      <c r="N833">
        <v>33454.21</v>
      </c>
      <c r="O833">
        <v>254.165967</v>
      </c>
      <c r="P833">
        <v>14083.8</v>
      </c>
      <c r="Q833">
        <v>10528.21</v>
      </c>
    </row>
    <row r="834" spans="1:17" ht="12.75">
      <c r="A834" t="s">
        <v>36</v>
      </c>
      <c r="B834" s="93">
        <v>40450</v>
      </c>
      <c r="C834">
        <v>17</v>
      </c>
      <c r="D834">
        <v>1.462804</v>
      </c>
      <c r="E834">
        <v>1.052605</v>
      </c>
      <c r="F834">
        <v>81.149</v>
      </c>
      <c r="G834">
        <v>0.4229334</v>
      </c>
      <c r="H834">
        <v>0.3634488</v>
      </c>
      <c r="I834">
        <v>0.3910694</v>
      </c>
      <c r="J834">
        <v>0.4101993</v>
      </c>
      <c r="K834">
        <v>0.4293292</v>
      </c>
      <c r="L834">
        <v>0.4569498</v>
      </c>
      <c r="M834">
        <v>3.795576</v>
      </c>
      <c r="N834">
        <v>33454.21</v>
      </c>
      <c r="O834">
        <v>253.1381604</v>
      </c>
      <c r="P834">
        <v>12893.15</v>
      </c>
      <c r="Q834">
        <v>9277.656</v>
      </c>
    </row>
    <row r="835" spans="1:17" ht="12.75">
      <c r="A835" t="s">
        <v>36</v>
      </c>
      <c r="B835" s="93">
        <v>40450</v>
      </c>
      <c r="C835">
        <v>18</v>
      </c>
      <c r="D835">
        <v>1.151366</v>
      </c>
      <c r="E835">
        <v>0.736001</v>
      </c>
      <c r="F835">
        <v>79.3593</v>
      </c>
      <c r="G835">
        <v>0.4229334</v>
      </c>
      <c r="H835">
        <v>0.3680182</v>
      </c>
      <c r="I835">
        <v>0.3959909</v>
      </c>
      <c r="J835">
        <v>0.4153647</v>
      </c>
      <c r="K835">
        <v>0.4347385</v>
      </c>
      <c r="L835">
        <v>0.4627113</v>
      </c>
      <c r="M835">
        <v>3.795576</v>
      </c>
      <c r="N835">
        <v>33454.21</v>
      </c>
      <c r="O835">
        <v>253.1381604</v>
      </c>
      <c r="P835">
        <v>10148.14</v>
      </c>
      <c r="Q835">
        <v>6487.113</v>
      </c>
    </row>
    <row r="836" spans="1:17" ht="12.75">
      <c r="A836" t="s">
        <v>36</v>
      </c>
      <c r="B836" s="93">
        <v>40450</v>
      </c>
      <c r="C836">
        <v>19</v>
      </c>
      <c r="D836">
        <v>0.777903</v>
      </c>
      <c r="E836">
        <v>0.949138</v>
      </c>
      <c r="F836">
        <v>75.0722</v>
      </c>
      <c r="G836">
        <v>0.4229334</v>
      </c>
      <c r="H836">
        <v>-0.2189538</v>
      </c>
      <c r="I836">
        <v>-0.1907612</v>
      </c>
      <c r="J836">
        <v>-0.171235</v>
      </c>
      <c r="K836">
        <v>-0.1517089</v>
      </c>
      <c r="L836">
        <v>-0.1235162</v>
      </c>
      <c r="M836">
        <v>3.795576</v>
      </c>
      <c r="N836">
        <v>33454.21</v>
      </c>
      <c r="O836">
        <v>253.1381604</v>
      </c>
      <c r="P836">
        <v>6856.437</v>
      </c>
      <c r="Q836">
        <v>8365.702</v>
      </c>
    </row>
    <row r="837" spans="1:17" ht="12.75">
      <c r="A837" t="s">
        <v>36</v>
      </c>
      <c r="B837" s="93">
        <v>40450</v>
      </c>
      <c r="C837">
        <v>20</v>
      </c>
      <c r="D837">
        <v>0.546528</v>
      </c>
      <c r="E837">
        <v>0.6587024</v>
      </c>
      <c r="F837">
        <v>72.6488</v>
      </c>
      <c r="G837">
        <v>0.4229334</v>
      </c>
      <c r="H837">
        <v>-0.1588912</v>
      </c>
      <c r="I837">
        <v>-0.1312905</v>
      </c>
      <c r="J837">
        <v>-0.1121744</v>
      </c>
      <c r="K837">
        <v>-0.0930583</v>
      </c>
      <c r="L837">
        <v>-0.0654576</v>
      </c>
      <c r="M837">
        <v>3.795576</v>
      </c>
      <c r="N837">
        <v>33454.21</v>
      </c>
      <c r="O837">
        <v>253.1381604</v>
      </c>
      <c r="P837">
        <v>4817.098</v>
      </c>
      <c r="Q837">
        <v>5805.803</v>
      </c>
    </row>
    <row r="838" spans="1:17" ht="12.75">
      <c r="A838" t="s">
        <v>36</v>
      </c>
      <c r="B838" s="93">
        <v>40450</v>
      </c>
      <c r="C838">
        <v>21</v>
      </c>
      <c r="D838">
        <v>0.3921544</v>
      </c>
      <c r="E838">
        <v>0.465014</v>
      </c>
      <c r="F838">
        <v>71.267</v>
      </c>
      <c r="G838">
        <v>0.4229334</v>
      </c>
      <c r="H838">
        <v>-0.1191257</v>
      </c>
      <c r="I838">
        <v>-0.0917913</v>
      </c>
      <c r="J838">
        <v>-0.0728596</v>
      </c>
      <c r="K838">
        <v>-0.0539278</v>
      </c>
      <c r="L838">
        <v>-0.0265934</v>
      </c>
      <c r="M838">
        <v>3.795576</v>
      </c>
      <c r="N838">
        <v>33454.21</v>
      </c>
      <c r="O838">
        <v>253.1381604</v>
      </c>
      <c r="P838">
        <v>3456.449</v>
      </c>
      <c r="Q838">
        <v>4098.633</v>
      </c>
    </row>
    <row r="839" spans="1:17" ht="12.75">
      <c r="A839" t="s">
        <v>36</v>
      </c>
      <c r="B839" s="93">
        <v>40450</v>
      </c>
      <c r="C839">
        <v>22</v>
      </c>
      <c r="D839">
        <v>0.3012543</v>
      </c>
      <c r="E839">
        <v>0.3483342</v>
      </c>
      <c r="F839">
        <v>70.6813</v>
      </c>
      <c r="G839">
        <v>0.4229334</v>
      </c>
      <c r="H839">
        <v>-0.0931665</v>
      </c>
      <c r="I839">
        <v>-0.0659381</v>
      </c>
      <c r="J839">
        <v>-0.0470799</v>
      </c>
      <c r="K839">
        <v>-0.0282216</v>
      </c>
      <c r="L839">
        <v>-0.0009933</v>
      </c>
      <c r="M839">
        <v>3.795576</v>
      </c>
      <c r="N839">
        <v>33454.21</v>
      </c>
      <c r="O839">
        <v>253.1381604</v>
      </c>
      <c r="P839">
        <v>2655.256</v>
      </c>
      <c r="Q839">
        <v>3070.218</v>
      </c>
    </row>
    <row r="840" spans="1:17" ht="12.75">
      <c r="A840" t="s">
        <v>36</v>
      </c>
      <c r="B840" s="93">
        <v>40450</v>
      </c>
      <c r="C840">
        <v>23</v>
      </c>
      <c r="D840">
        <v>0.2363013</v>
      </c>
      <c r="E840">
        <v>0.2666347</v>
      </c>
      <c r="F840">
        <v>70.2999</v>
      </c>
      <c r="G840">
        <v>0.4229334</v>
      </c>
      <c r="H840">
        <v>-0.0763787</v>
      </c>
      <c r="I840">
        <v>-0.0491748</v>
      </c>
      <c r="J840">
        <v>-0.0303334</v>
      </c>
      <c r="K840">
        <v>-0.0114921</v>
      </c>
      <c r="L840">
        <v>0.0157118</v>
      </c>
      <c r="M840">
        <v>3.795576</v>
      </c>
      <c r="N840">
        <v>33454.21</v>
      </c>
      <c r="O840">
        <v>253.1381604</v>
      </c>
      <c r="P840">
        <v>2082.76</v>
      </c>
      <c r="Q840">
        <v>2350.119</v>
      </c>
    </row>
    <row r="841" spans="1:17" ht="12.75">
      <c r="A841" t="s">
        <v>36</v>
      </c>
      <c r="B841" s="93">
        <v>40450</v>
      </c>
      <c r="C841">
        <v>24</v>
      </c>
      <c r="D841">
        <v>0.2003079</v>
      </c>
      <c r="E841">
        <v>0.2195079</v>
      </c>
      <c r="F841">
        <v>69.6744</v>
      </c>
      <c r="G841">
        <v>0.4222196</v>
      </c>
      <c r="H841">
        <v>-0.0650394</v>
      </c>
      <c r="I841">
        <v>-0.0379571</v>
      </c>
      <c r="J841">
        <v>-0.0192</v>
      </c>
      <c r="K841">
        <v>-0.0004428</v>
      </c>
      <c r="L841">
        <v>0.0266395</v>
      </c>
      <c r="M841">
        <v>3.795576</v>
      </c>
      <c r="N841">
        <v>33454.21</v>
      </c>
      <c r="O841">
        <v>254.165967</v>
      </c>
      <c r="P841">
        <v>1765.514</v>
      </c>
      <c r="Q841">
        <v>1934.742</v>
      </c>
    </row>
    <row r="842" spans="1:17" ht="12.75">
      <c r="A842" t="s">
        <v>36</v>
      </c>
      <c r="B842" t="s">
        <v>43</v>
      </c>
      <c r="C842">
        <v>1</v>
      </c>
      <c r="D842">
        <v>0.1768519</v>
      </c>
      <c r="E842">
        <v>0.1768519</v>
      </c>
      <c r="F842">
        <v>69.184</v>
      </c>
      <c r="G842">
        <v>0.4225365</v>
      </c>
      <c r="H842">
        <v>0</v>
      </c>
      <c r="I842">
        <v>0</v>
      </c>
      <c r="J842">
        <v>0</v>
      </c>
      <c r="K842">
        <v>0</v>
      </c>
      <c r="L842">
        <v>0</v>
      </c>
      <c r="M842">
        <v>3.795576</v>
      </c>
      <c r="N842">
        <v>33454.21</v>
      </c>
      <c r="O842">
        <v>256.1779249</v>
      </c>
      <c r="P842">
        <v>1558.773</v>
      </c>
      <c r="Q842">
        <v>1558.773</v>
      </c>
    </row>
    <row r="843" spans="1:17" ht="12.75">
      <c r="A843" t="s">
        <v>36</v>
      </c>
      <c r="B843" t="s">
        <v>43</v>
      </c>
      <c r="C843">
        <v>2</v>
      </c>
      <c r="D843">
        <v>0.1660093</v>
      </c>
      <c r="E843">
        <v>0.1660093</v>
      </c>
      <c r="F843">
        <v>68.6565</v>
      </c>
      <c r="G843">
        <v>0.422431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3.795576</v>
      </c>
      <c r="N843">
        <v>33454.21</v>
      </c>
      <c r="O843">
        <v>256.3620704</v>
      </c>
      <c r="P843">
        <v>1463.206</v>
      </c>
      <c r="Q843">
        <v>1463.206</v>
      </c>
    </row>
    <row r="844" spans="1:17" ht="12.75">
      <c r="A844" t="s">
        <v>36</v>
      </c>
      <c r="B844" t="s">
        <v>43</v>
      </c>
      <c r="C844">
        <v>3</v>
      </c>
      <c r="D844">
        <v>0.156388</v>
      </c>
      <c r="E844">
        <v>0.156388</v>
      </c>
      <c r="F844">
        <v>68.3391</v>
      </c>
      <c r="G844">
        <v>0.4224645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3.795576</v>
      </c>
      <c r="N844">
        <v>33454.21</v>
      </c>
      <c r="O844">
        <v>256.2686334</v>
      </c>
      <c r="P844">
        <v>1378.404</v>
      </c>
      <c r="Q844">
        <v>1378.404</v>
      </c>
    </row>
    <row r="845" spans="1:17" ht="12.75">
      <c r="A845" t="s">
        <v>36</v>
      </c>
      <c r="B845" t="s">
        <v>43</v>
      </c>
      <c r="C845">
        <v>4</v>
      </c>
      <c r="D845">
        <v>0.1466474</v>
      </c>
      <c r="E845">
        <v>0.1466474</v>
      </c>
      <c r="F845">
        <v>68.296</v>
      </c>
      <c r="G845">
        <v>0.4225053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3.795576</v>
      </c>
      <c r="N845">
        <v>33454.21</v>
      </c>
      <c r="O845">
        <v>256.1779249</v>
      </c>
      <c r="P845">
        <v>1292.55</v>
      </c>
      <c r="Q845">
        <v>1292.55</v>
      </c>
    </row>
    <row r="846" spans="1:17" ht="12.75">
      <c r="A846" t="s">
        <v>36</v>
      </c>
      <c r="B846" t="s">
        <v>43</v>
      </c>
      <c r="C846">
        <v>5</v>
      </c>
      <c r="D846">
        <v>0.1432817</v>
      </c>
      <c r="E846">
        <v>0.1432817</v>
      </c>
      <c r="F846">
        <v>67.7813</v>
      </c>
      <c r="G846">
        <v>0.4226878</v>
      </c>
      <c r="H846">
        <v>0</v>
      </c>
      <c r="I846">
        <v>0</v>
      </c>
      <c r="J846">
        <v>0</v>
      </c>
      <c r="K846">
        <v>0</v>
      </c>
      <c r="L846">
        <v>0</v>
      </c>
      <c r="M846">
        <v>3.795576</v>
      </c>
      <c r="N846">
        <v>33454.21</v>
      </c>
      <c r="O846">
        <v>255.9937795</v>
      </c>
      <c r="P846">
        <v>1262.885</v>
      </c>
      <c r="Q846">
        <v>1262.885</v>
      </c>
    </row>
    <row r="847" spans="1:17" ht="12.75">
      <c r="A847" t="s">
        <v>36</v>
      </c>
      <c r="B847" t="s">
        <v>43</v>
      </c>
      <c r="C847">
        <v>6</v>
      </c>
      <c r="D847">
        <v>0.152313</v>
      </c>
      <c r="E847">
        <v>0.152313</v>
      </c>
      <c r="F847">
        <v>67.7066</v>
      </c>
      <c r="G847">
        <v>0.4229016</v>
      </c>
      <c r="H847">
        <v>0</v>
      </c>
      <c r="I847">
        <v>0</v>
      </c>
      <c r="J847">
        <v>0</v>
      </c>
      <c r="K847">
        <v>0</v>
      </c>
      <c r="L847">
        <v>0</v>
      </c>
      <c r="M847">
        <v>3.795576</v>
      </c>
      <c r="N847">
        <v>33454.21</v>
      </c>
      <c r="O847">
        <v>255.809634</v>
      </c>
      <c r="P847">
        <v>1342.487</v>
      </c>
      <c r="Q847">
        <v>1342.487</v>
      </c>
    </row>
    <row r="848" spans="1:17" ht="12.75">
      <c r="A848" t="s">
        <v>36</v>
      </c>
      <c r="B848" t="s">
        <v>43</v>
      </c>
      <c r="C848">
        <v>7</v>
      </c>
      <c r="D848">
        <v>0.2184529</v>
      </c>
      <c r="E848">
        <v>0.2184529</v>
      </c>
      <c r="F848">
        <v>68.9587</v>
      </c>
      <c r="G848">
        <v>0.4229739</v>
      </c>
      <c r="H848">
        <v>0</v>
      </c>
      <c r="I848">
        <v>0</v>
      </c>
      <c r="J848">
        <v>0</v>
      </c>
      <c r="K848">
        <v>0</v>
      </c>
      <c r="L848">
        <v>0</v>
      </c>
      <c r="M848">
        <v>3.795576</v>
      </c>
      <c r="N848">
        <v>33454.21</v>
      </c>
      <c r="O848">
        <v>255.7189255</v>
      </c>
      <c r="P848">
        <v>1925.444</v>
      </c>
      <c r="Q848">
        <v>1925.444</v>
      </c>
    </row>
    <row r="849" spans="1:17" ht="12.75">
      <c r="A849" t="s">
        <v>36</v>
      </c>
      <c r="B849" t="s">
        <v>43</v>
      </c>
      <c r="C849">
        <v>8</v>
      </c>
      <c r="D849">
        <v>0.3725747</v>
      </c>
      <c r="E849">
        <v>0.3725747</v>
      </c>
      <c r="F849">
        <v>72.9996</v>
      </c>
      <c r="G849">
        <v>0.4223478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3.795576</v>
      </c>
      <c r="N849">
        <v>33454.21</v>
      </c>
      <c r="O849">
        <v>256.3593419</v>
      </c>
      <c r="P849">
        <v>3283.874</v>
      </c>
      <c r="Q849">
        <v>3283.874</v>
      </c>
    </row>
    <row r="850" spans="1:17" ht="12.75">
      <c r="A850" t="s">
        <v>36</v>
      </c>
      <c r="B850" t="s">
        <v>43</v>
      </c>
      <c r="C850">
        <v>9</v>
      </c>
      <c r="D850">
        <v>0.6375319</v>
      </c>
      <c r="E850">
        <v>0.6375319</v>
      </c>
      <c r="F850">
        <v>77.9165</v>
      </c>
      <c r="G850">
        <v>0.4223478</v>
      </c>
      <c r="H850">
        <v>0</v>
      </c>
      <c r="I850">
        <v>0</v>
      </c>
      <c r="J850">
        <v>0</v>
      </c>
      <c r="K850">
        <v>0</v>
      </c>
      <c r="L850">
        <v>0</v>
      </c>
      <c r="M850">
        <v>3.795576</v>
      </c>
      <c r="N850">
        <v>33454.21</v>
      </c>
      <c r="O850">
        <v>256.3593419</v>
      </c>
      <c r="P850">
        <v>5619.206</v>
      </c>
      <c r="Q850">
        <v>5619.206</v>
      </c>
    </row>
    <row r="851" spans="1:17" ht="12.75">
      <c r="A851" t="s">
        <v>36</v>
      </c>
      <c r="B851" t="s">
        <v>43</v>
      </c>
      <c r="C851">
        <v>10</v>
      </c>
      <c r="D851">
        <v>0.9486317</v>
      </c>
      <c r="E851">
        <v>0.9486317</v>
      </c>
      <c r="F851">
        <v>81.6142</v>
      </c>
      <c r="G851">
        <v>0.4223478</v>
      </c>
      <c r="H851">
        <v>0</v>
      </c>
      <c r="I851">
        <v>0</v>
      </c>
      <c r="J851">
        <v>0</v>
      </c>
      <c r="K851">
        <v>0</v>
      </c>
      <c r="L851">
        <v>0</v>
      </c>
      <c r="M851">
        <v>3.795576</v>
      </c>
      <c r="N851">
        <v>33454.21</v>
      </c>
      <c r="O851">
        <v>256.3593419</v>
      </c>
      <c r="P851">
        <v>8361.24</v>
      </c>
      <c r="Q851">
        <v>8361.24</v>
      </c>
    </row>
    <row r="852" spans="1:17" ht="12.75">
      <c r="A852" t="s">
        <v>36</v>
      </c>
      <c r="B852" t="s">
        <v>43</v>
      </c>
      <c r="C852">
        <v>11</v>
      </c>
      <c r="D852">
        <v>1.233883</v>
      </c>
      <c r="E852">
        <v>1.233883</v>
      </c>
      <c r="F852">
        <v>84.3392</v>
      </c>
      <c r="G852">
        <v>0.422397</v>
      </c>
      <c r="H852">
        <v>0</v>
      </c>
      <c r="I852">
        <v>0</v>
      </c>
      <c r="J852">
        <v>0</v>
      </c>
      <c r="K852">
        <v>0</v>
      </c>
      <c r="L852">
        <v>0</v>
      </c>
      <c r="M852">
        <v>3.795576</v>
      </c>
      <c r="N852">
        <v>33454.21</v>
      </c>
      <c r="O852">
        <v>256.4555074</v>
      </c>
      <c r="P852">
        <v>10875.44</v>
      </c>
      <c r="Q852">
        <v>10875.44</v>
      </c>
    </row>
    <row r="853" spans="1:17" ht="12.75">
      <c r="A853" t="s">
        <v>36</v>
      </c>
      <c r="B853" t="s">
        <v>43</v>
      </c>
      <c r="C853">
        <v>12</v>
      </c>
      <c r="D853">
        <v>1.483101</v>
      </c>
      <c r="E853">
        <v>1.483101</v>
      </c>
      <c r="F853">
        <v>84.9858</v>
      </c>
      <c r="G853">
        <v>0.4223151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3.795576</v>
      </c>
      <c r="N853">
        <v>33454.21</v>
      </c>
      <c r="O853">
        <v>256.3593419</v>
      </c>
      <c r="P853">
        <v>13072.05</v>
      </c>
      <c r="Q853">
        <v>13072.05</v>
      </c>
    </row>
    <row r="854" spans="1:17" ht="12.75">
      <c r="A854" t="s">
        <v>36</v>
      </c>
      <c r="B854" t="s">
        <v>43</v>
      </c>
      <c r="C854">
        <v>13</v>
      </c>
      <c r="D854">
        <v>1.667185</v>
      </c>
      <c r="E854">
        <v>1.667185</v>
      </c>
      <c r="F854">
        <v>85.766</v>
      </c>
      <c r="G854">
        <v>0.4223202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3.795576</v>
      </c>
      <c r="N854">
        <v>33454.21</v>
      </c>
      <c r="O854">
        <v>256.4500504</v>
      </c>
      <c r="P854">
        <v>14694.57</v>
      </c>
      <c r="Q854">
        <v>14694.57</v>
      </c>
    </row>
    <row r="855" spans="1:17" ht="12.75">
      <c r="A855" t="s">
        <v>36</v>
      </c>
      <c r="B855" t="s">
        <v>43</v>
      </c>
      <c r="C855">
        <v>14</v>
      </c>
      <c r="D855">
        <v>1.593036</v>
      </c>
      <c r="E855">
        <v>1.217064</v>
      </c>
      <c r="F855">
        <v>84.5703</v>
      </c>
      <c r="G855">
        <v>0.4223681</v>
      </c>
      <c r="H855">
        <v>0.3300728</v>
      </c>
      <c r="I855">
        <v>0.3571899</v>
      </c>
      <c r="J855">
        <v>0.3759711</v>
      </c>
      <c r="K855">
        <v>0.3947523</v>
      </c>
      <c r="L855">
        <v>0.4218694</v>
      </c>
      <c r="M855">
        <v>3.795576</v>
      </c>
      <c r="N855">
        <v>33454.21</v>
      </c>
      <c r="O855">
        <v>257.314085</v>
      </c>
      <c r="P855">
        <v>14041.02</v>
      </c>
      <c r="Q855">
        <v>10727.21</v>
      </c>
    </row>
    <row r="856" spans="1:17" ht="12.75">
      <c r="A856" t="s">
        <v>36</v>
      </c>
      <c r="B856" t="s">
        <v>43</v>
      </c>
      <c r="C856">
        <v>15</v>
      </c>
      <c r="D856">
        <v>1.729524</v>
      </c>
      <c r="E856">
        <v>1.321095</v>
      </c>
      <c r="F856">
        <v>84.5966</v>
      </c>
      <c r="G856">
        <v>0.4224275</v>
      </c>
      <c r="H856">
        <v>0.3619925</v>
      </c>
      <c r="I856">
        <v>0.3894277</v>
      </c>
      <c r="J856">
        <v>0.4084292</v>
      </c>
      <c r="K856">
        <v>0.4274307</v>
      </c>
      <c r="L856">
        <v>0.454866</v>
      </c>
      <c r="M856">
        <v>3.795576</v>
      </c>
      <c r="N856">
        <v>33454.21</v>
      </c>
      <c r="O856">
        <v>256.1779249</v>
      </c>
      <c r="P856">
        <v>15244.03</v>
      </c>
      <c r="Q856">
        <v>11644.13</v>
      </c>
    </row>
    <row r="857" spans="1:17" ht="12.75">
      <c r="A857" t="s">
        <v>36</v>
      </c>
      <c r="B857" t="s">
        <v>43</v>
      </c>
      <c r="C857">
        <v>16</v>
      </c>
      <c r="D857">
        <v>1.694835</v>
      </c>
      <c r="E857">
        <v>1.272362</v>
      </c>
      <c r="F857">
        <v>83.7419</v>
      </c>
      <c r="G857">
        <v>0.422435</v>
      </c>
      <c r="H857">
        <v>0.3760019</v>
      </c>
      <c r="I857">
        <v>0.4034579</v>
      </c>
      <c r="J857">
        <v>0.4224738</v>
      </c>
      <c r="K857">
        <v>0.4414898</v>
      </c>
      <c r="L857">
        <v>0.4689458</v>
      </c>
      <c r="M857">
        <v>3.795576</v>
      </c>
      <c r="N857">
        <v>33454.21</v>
      </c>
      <c r="O857">
        <v>256.1806534</v>
      </c>
      <c r="P857">
        <v>14938.28</v>
      </c>
      <c r="Q857">
        <v>11214.59</v>
      </c>
    </row>
    <row r="858" spans="1:17" ht="12.75">
      <c r="A858" t="s">
        <v>36</v>
      </c>
      <c r="B858" t="s">
        <v>43</v>
      </c>
      <c r="C858">
        <v>17</v>
      </c>
      <c r="D858">
        <v>1.569856</v>
      </c>
      <c r="E858">
        <v>1.137689</v>
      </c>
      <c r="F858">
        <v>81.9936</v>
      </c>
      <c r="G858">
        <v>0.4224267</v>
      </c>
      <c r="H858">
        <v>0.3856778</v>
      </c>
      <c r="I858">
        <v>0.4131439</v>
      </c>
      <c r="J858">
        <v>0.4321669</v>
      </c>
      <c r="K858">
        <v>0.4511898</v>
      </c>
      <c r="L858">
        <v>0.4786559</v>
      </c>
      <c r="M858">
        <v>3.795576</v>
      </c>
      <c r="N858">
        <v>33454.21</v>
      </c>
      <c r="O858">
        <v>256.265905</v>
      </c>
      <c r="P858">
        <v>13836.71</v>
      </c>
      <c r="Q858">
        <v>10027.59</v>
      </c>
    </row>
    <row r="859" spans="1:17" ht="12.75">
      <c r="A859" t="s">
        <v>36</v>
      </c>
      <c r="B859" t="s">
        <v>43</v>
      </c>
      <c r="C859">
        <v>18</v>
      </c>
      <c r="D859">
        <v>1.388012</v>
      </c>
      <c r="E859">
        <v>0.9142547</v>
      </c>
      <c r="F859">
        <v>81.9724</v>
      </c>
      <c r="G859">
        <v>0.4225165</v>
      </c>
      <c r="H859">
        <v>0.4245346</v>
      </c>
      <c r="I859">
        <v>0.4536156</v>
      </c>
      <c r="J859">
        <v>0.473757</v>
      </c>
      <c r="K859">
        <v>0.4938984</v>
      </c>
      <c r="L859">
        <v>0.5229794</v>
      </c>
      <c r="M859">
        <v>3.795576</v>
      </c>
      <c r="N859">
        <v>33454.21</v>
      </c>
      <c r="O859">
        <v>253.1381604</v>
      </c>
      <c r="P859">
        <v>12233.94</v>
      </c>
      <c r="Q859">
        <v>8058.241</v>
      </c>
    </row>
    <row r="860" spans="1:17" ht="12.75">
      <c r="A860" t="s">
        <v>36</v>
      </c>
      <c r="B860" t="s">
        <v>43</v>
      </c>
      <c r="C860">
        <v>19</v>
      </c>
      <c r="D860">
        <v>0.8502287</v>
      </c>
      <c r="E860">
        <v>0.9825678</v>
      </c>
      <c r="F860">
        <v>76.6508</v>
      </c>
      <c r="G860">
        <v>0.422459</v>
      </c>
      <c r="H860">
        <v>-0.1790131</v>
      </c>
      <c r="I860">
        <v>-0.1514377</v>
      </c>
      <c r="J860">
        <v>-0.1323391</v>
      </c>
      <c r="K860">
        <v>-0.1132405</v>
      </c>
      <c r="L860">
        <v>-0.085665</v>
      </c>
      <c r="M860">
        <v>3.795576</v>
      </c>
      <c r="N860">
        <v>33454.21</v>
      </c>
      <c r="O860">
        <v>256.1779249</v>
      </c>
      <c r="P860">
        <v>7493.916</v>
      </c>
      <c r="Q860">
        <v>8660.354</v>
      </c>
    </row>
    <row r="861" spans="1:17" ht="12.75">
      <c r="A861" t="s">
        <v>36</v>
      </c>
      <c r="B861" t="s">
        <v>43</v>
      </c>
      <c r="C861">
        <v>20</v>
      </c>
      <c r="D861">
        <v>0.5915308</v>
      </c>
      <c r="E861">
        <v>0.6784898</v>
      </c>
      <c r="F861">
        <v>73.9054</v>
      </c>
      <c r="G861">
        <v>0.4224173</v>
      </c>
      <c r="H861">
        <v>-0.1331299</v>
      </c>
      <c r="I861">
        <v>-0.1058517</v>
      </c>
      <c r="J861">
        <v>-0.086959</v>
      </c>
      <c r="K861">
        <v>-0.0680662</v>
      </c>
      <c r="L861">
        <v>-0.040788</v>
      </c>
      <c r="M861">
        <v>3.795576</v>
      </c>
      <c r="N861">
        <v>33454.21</v>
      </c>
      <c r="O861">
        <v>256.2686334</v>
      </c>
      <c r="P861">
        <v>5213.752</v>
      </c>
      <c r="Q861">
        <v>5980.209</v>
      </c>
    </row>
    <row r="862" spans="1:17" ht="12.75">
      <c r="A862" t="s">
        <v>36</v>
      </c>
      <c r="B862" t="s">
        <v>43</v>
      </c>
      <c r="C862">
        <v>21</v>
      </c>
      <c r="D862">
        <v>0.4233168</v>
      </c>
      <c r="E862">
        <v>0.4799111</v>
      </c>
      <c r="F862">
        <v>72.3962</v>
      </c>
      <c r="G862">
        <v>0.4223839</v>
      </c>
      <c r="H862">
        <v>-0.1025787</v>
      </c>
      <c r="I862">
        <v>-0.0754108</v>
      </c>
      <c r="J862">
        <v>-0.0565943</v>
      </c>
      <c r="K862">
        <v>-0.0377779</v>
      </c>
      <c r="L862">
        <v>-0.01061</v>
      </c>
      <c r="M862">
        <v>3.795576</v>
      </c>
      <c r="N862">
        <v>33454.21</v>
      </c>
      <c r="O862">
        <v>256.084488</v>
      </c>
      <c r="P862">
        <v>3731.114</v>
      </c>
      <c r="Q862">
        <v>4229.937</v>
      </c>
    </row>
    <row r="863" spans="1:17" ht="12.75">
      <c r="A863" t="s">
        <v>36</v>
      </c>
      <c r="B863" t="s">
        <v>43</v>
      </c>
      <c r="C863">
        <v>22</v>
      </c>
      <c r="D863">
        <v>0.3228299</v>
      </c>
      <c r="E863">
        <v>0.3593973</v>
      </c>
      <c r="F863">
        <v>71.3677</v>
      </c>
      <c r="G863">
        <v>0.4228131</v>
      </c>
      <c r="H863">
        <v>-0.0825255</v>
      </c>
      <c r="I863">
        <v>-0.0553731</v>
      </c>
      <c r="J863">
        <v>-0.0365674</v>
      </c>
      <c r="K863">
        <v>-0.0177617</v>
      </c>
      <c r="L863">
        <v>0.0093907</v>
      </c>
      <c r="M863">
        <v>3.795576</v>
      </c>
      <c r="N863">
        <v>33454.21</v>
      </c>
      <c r="O863">
        <v>255.716197</v>
      </c>
      <c r="P863">
        <v>2845.423</v>
      </c>
      <c r="Q863">
        <v>3167.728</v>
      </c>
    </row>
    <row r="864" spans="1:17" ht="12.75">
      <c r="A864" t="s">
        <v>36</v>
      </c>
      <c r="B864" t="s">
        <v>43</v>
      </c>
      <c r="C864">
        <v>23</v>
      </c>
      <c r="D864">
        <v>0.2473298</v>
      </c>
      <c r="E864">
        <v>0.2707967</v>
      </c>
      <c r="F864">
        <v>70.7305</v>
      </c>
      <c r="G864">
        <v>0.4225583</v>
      </c>
      <c r="H864">
        <v>-0.0693568</v>
      </c>
      <c r="I864">
        <v>-0.0422447</v>
      </c>
      <c r="J864">
        <v>-0.0234669</v>
      </c>
      <c r="K864">
        <v>-0.0046892</v>
      </c>
      <c r="L864">
        <v>0.0224229</v>
      </c>
      <c r="M864">
        <v>3.795576</v>
      </c>
      <c r="N864">
        <v>33454.21</v>
      </c>
      <c r="O864">
        <v>255.991051</v>
      </c>
      <c r="P864">
        <v>2179.965</v>
      </c>
      <c r="Q864">
        <v>2386.802</v>
      </c>
    </row>
    <row r="865" spans="1:17" ht="12.75">
      <c r="A865" t="s">
        <v>36</v>
      </c>
      <c r="B865" t="s">
        <v>43</v>
      </c>
      <c r="C865">
        <v>24</v>
      </c>
      <c r="D865">
        <v>0.2096097</v>
      </c>
      <c r="E865">
        <v>0.2154308</v>
      </c>
      <c r="F865">
        <v>69.9558</v>
      </c>
      <c r="G865">
        <v>0.4223844</v>
      </c>
      <c r="H865">
        <v>-0.0229549</v>
      </c>
      <c r="I865">
        <v>-0.0128321</v>
      </c>
      <c r="J865">
        <v>-0.0058211</v>
      </c>
      <c r="K865">
        <v>0.0011899</v>
      </c>
      <c r="L865">
        <v>0.0113126</v>
      </c>
      <c r="M865">
        <v>3.795576</v>
      </c>
      <c r="N865">
        <v>33454.21</v>
      </c>
      <c r="O865">
        <v>256.084488</v>
      </c>
      <c r="P865">
        <v>1847.5</v>
      </c>
      <c r="Q865">
        <v>1898.807</v>
      </c>
    </row>
    <row r="866" ht="12.75">
      <c r="B866" s="93"/>
    </row>
    <row r="867" ht="12.75">
      <c r="B867" s="93"/>
    </row>
    <row r="868" ht="12.75">
      <c r="B868" s="93"/>
    </row>
    <row r="869" ht="12.75">
      <c r="B869" s="93"/>
    </row>
    <row r="870" ht="12.75">
      <c r="B870" s="93"/>
    </row>
    <row r="871" ht="12.75">
      <c r="B871" s="93"/>
    </row>
    <row r="872" ht="12.75">
      <c r="B872" s="93"/>
    </row>
    <row r="873" ht="12.75">
      <c r="B873" s="93"/>
    </row>
    <row r="874" ht="12.75">
      <c r="B874" s="93"/>
    </row>
    <row r="875" ht="12.75">
      <c r="B875" s="93"/>
    </row>
    <row r="876" ht="12.75">
      <c r="B876" s="93"/>
    </row>
    <row r="877" ht="12.75">
      <c r="B877" s="93"/>
    </row>
    <row r="878" ht="12.75">
      <c r="B878" s="93"/>
    </row>
    <row r="879" ht="12.75">
      <c r="B879" s="93"/>
    </row>
    <row r="880" ht="12.75">
      <c r="B880" s="93"/>
    </row>
    <row r="881" ht="12.75">
      <c r="B881" s="93"/>
    </row>
    <row r="882" ht="12.75">
      <c r="B882" s="93"/>
    </row>
    <row r="883" ht="12.75">
      <c r="B883" s="93"/>
    </row>
    <row r="884" ht="12.75">
      <c r="B884" s="93"/>
    </row>
    <row r="885" ht="12.75">
      <c r="B885" s="93"/>
    </row>
    <row r="886" ht="12.75">
      <c r="B886" s="93"/>
    </row>
    <row r="887" ht="12.75">
      <c r="B887" s="93"/>
    </row>
    <row r="888" ht="12.75">
      <c r="B888" s="93"/>
    </row>
    <row r="889" ht="12.75">
      <c r="B889" s="93"/>
    </row>
    <row r="890" ht="12.75">
      <c r="B890" s="93"/>
    </row>
    <row r="891" ht="12.75">
      <c r="B891" s="93"/>
    </row>
    <row r="892" ht="12.75">
      <c r="B892" s="93"/>
    </row>
    <row r="893" ht="12.75">
      <c r="B893" s="93"/>
    </row>
    <row r="894" ht="12.75">
      <c r="B894" s="93"/>
    </row>
    <row r="895" ht="12.75">
      <c r="B895" s="93"/>
    </row>
    <row r="896" ht="12.75">
      <c r="B896" s="93"/>
    </row>
    <row r="897" ht="12.75">
      <c r="B897" s="93"/>
    </row>
    <row r="898" ht="12.75">
      <c r="B898" s="93"/>
    </row>
    <row r="899" ht="12.75">
      <c r="B899" s="93"/>
    </row>
    <row r="900" ht="12.75">
      <c r="B900" s="93"/>
    </row>
    <row r="901" ht="12.75">
      <c r="B901" s="93"/>
    </row>
    <row r="902" ht="12.75">
      <c r="B902" s="93"/>
    </row>
    <row r="903" ht="12.75">
      <c r="B903" s="93"/>
    </row>
    <row r="904" ht="12.75">
      <c r="B904" s="93"/>
    </row>
    <row r="905" ht="12.75">
      <c r="B905" s="93"/>
    </row>
    <row r="906" ht="12.75">
      <c r="B906" s="93"/>
    </row>
    <row r="907" ht="12.75">
      <c r="B907" s="93"/>
    </row>
    <row r="908" ht="12.75">
      <c r="B908" s="93"/>
    </row>
    <row r="909" ht="12.75">
      <c r="B909" s="93"/>
    </row>
    <row r="910" ht="12.75">
      <c r="B910" s="93"/>
    </row>
    <row r="911" ht="12.75">
      <c r="B911" s="93"/>
    </row>
    <row r="912" ht="12.75">
      <c r="B912" s="93"/>
    </row>
    <row r="913" ht="12.75">
      <c r="B913" s="93"/>
    </row>
    <row r="914" ht="12.75">
      <c r="B914" s="93"/>
    </row>
    <row r="915" ht="12.75">
      <c r="B915" s="93"/>
    </row>
    <row r="916" ht="12.75">
      <c r="B916" s="93"/>
    </row>
    <row r="917" ht="12.75">
      <c r="B917" s="93"/>
    </row>
    <row r="918" ht="12.75">
      <c r="B918" s="93"/>
    </row>
    <row r="919" ht="12.75">
      <c r="B919" s="93"/>
    </row>
    <row r="920" ht="12.75">
      <c r="B920" s="93"/>
    </row>
    <row r="921" ht="12.75">
      <c r="B921" s="93"/>
    </row>
    <row r="922" ht="12.75">
      <c r="B922" s="93"/>
    </row>
    <row r="923" ht="12.75">
      <c r="B923" s="93"/>
    </row>
    <row r="924" ht="12.75">
      <c r="B924" s="93"/>
    </row>
    <row r="925" ht="12.75">
      <c r="B925" s="93"/>
    </row>
    <row r="926" ht="12.75">
      <c r="B926" s="93"/>
    </row>
    <row r="927" ht="12.75">
      <c r="B927" s="93"/>
    </row>
    <row r="928" ht="12.75">
      <c r="B928" s="93"/>
    </row>
    <row r="929" ht="12.75">
      <c r="B929" s="93"/>
    </row>
    <row r="930" ht="12.75">
      <c r="B930" s="93"/>
    </row>
    <row r="931" ht="12.75">
      <c r="B931" s="93"/>
    </row>
    <row r="932" ht="12.75">
      <c r="B932" s="93"/>
    </row>
    <row r="933" ht="12.75">
      <c r="B933" s="93"/>
    </row>
    <row r="934" ht="12.75">
      <c r="B934" s="93"/>
    </row>
    <row r="935" ht="12.75">
      <c r="B935" s="93"/>
    </row>
    <row r="936" ht="12.75">
      <c r="B936" s="93"/>
    </row>
    <row r="937" ht="12.75">
      <c r="B937" s="93"/>
    </row>
    <row r="938" ht="12.75">
      <c r="B938" s="93"/>
    </row>
    <row r="939" ht="12.75">
      <c r="B939" s="93"/>
    </row>
    <row r="940" ht="12.75">
      <c r="B940" s="93"/>
    </row>
    <row r="941" ht="12.75">
      <c r="B941" s="93"/>
    </row>
    <row r="942" ht="12.75">
      <c r="B942" s="93"/>
    </row>
    <row r="943" ht="12.75">
      <c r="B943" s="93"/>
    </row>
    <row r="944" ht="12.75">
      <c r="B944" s="93"/>
    </row>
    <row r="945" ht="12.75">
      <c r="B945" s="93"/>
    </row>
    <row r="946" ht="12.75">
      <c r="B946" s="93"/>
    </row>
    <row r="947" ht="12.75">
      <c r="B947" s="93"/>
    </row>
    <row r="948" ht="12.75">
      <c r="B948" s="93"/>
    </row>
    <row r="949" ht="12.75">
      <c r="B949" s="93"/>
    </row>
    <row r="950" ht="12.75">
      <c r="B950" s="93"/>
    </row>
    <row r="951" ht="12.75">
      <c r="B951" s="93"/>
    </row>
    <row r="952" ht="12.75">
      <c r="B952" s="93"/>
    </row>
    <row r="953" ht="12.75">
      <c r="B953" s="93"/>
    </row>
    <row r="954" ht="12.75">
      <c r="B954" s="93"/>
    </row>
    <row r="955" ht="12.75">
      <c r="B955" s="93"/>
    </row>
    <row r="956" ht="12.75">
      <c r="B956" s="93"/>
    </row>
    <row r="957" ht="12.75">
      <c r="B957" s="93"/>
    </row>
    <row r="958" ht="12.75">
      <c r="B958" s="93"/>
    </row>
    <row r="959" ht="12.75">
      <c r="B959" s="93"/>
    </row>
    <row r="960" ht="12.75">
      <c r="B960" s="93"/>
    </row>
    <row r="961" ht="12.75">
      <c r="B961" s="93"/>
    </row>
    <row r="962" ht="12.75">
      <c r="B962" s="93"/>
    </row>
    <row r="963" ht="12.75">
      <c r="B963" s="93"/>
    </row>
    <row r="964" ht="12.75">
      <c r="B964" s="93"/>
    </row>
    <row r="965" ht="12.75">
      <c r="B965" s="93"/>
    </row>
    <row r="966" ht="12.75">
      <c r="B966" s="93"/>
    </row>
    <row r="967" ht="12.75">
      <c r="B967" s="93"/>
    </row>
    <row r="968" ht="12.75">
      <c r="B968" s="93"/>
    </row>
    <row r="969" ht="12.75">
      <c r="B969" s="93"/>
    </row>
    <row r="970" ht="12.75">
      <c r="B970" s="93"/>
    </row>
    <row r="971" ht="12.75">
      <c r="B971" s="93"/>
    </row>
    <row r="972" ht="12.75">
      <c r="B972" s="93"/>
    </row>
    <row r="973" ht="12.75">
      <c r="B973" s="93"/>
    </row>
    <row r="974" ht="12.75">
      <c r="B974" s="93"/>
    </row>
    <row r="975" ht="12.75">
      <c r="B975" s="93"/>
    </row>
    <row r="976" ht="12.75">
      <c r="B976" s="93"/>
    </row>
    <row r="977" ht="12.75">
      <c r="B977" s="93"/>
    </row>
    <row r="978" ht="12.75">
      <c r="B978" s="93"/>
    </row>
    <row r="979" ht="12.75">
      <c r="B979" s="93"/>
    </row>
    <row r="980" ht="12.75">
      <c r="B980" s="93"/>
    </row>
    <row r="981" ht="12.75">
      <c r="B981" s="93"/>
    </row>
    <row r="982" ht="12.75">
      <c r="B982" s="93"/>
    </row>
    <row r="983" ht="12.75">
      <c r="B983" s="93"/>
    </row>
    <row r="984" ht="12.75">
      <c r="B984" s="93"/>
    </row>
    <row r="985" ht="12.75">
      <c r="B985" s="93"/>
    </row>
    <row r="986" ht="12.75">
      <c r="B986" s="93"/>
    </row>
    <row r="987" ht="12.75">
      <c r="B987" s="93"/>
    </row>
    <row r="988" ht="12.75">
      <c r="B988" s="93"/>
    </row>
    <row r="989" ht="12.75">
      <c r="B989" s="93"/>
    </row>
    <row r="990" ht="12.75">
      <c r="B990" s="93"/>
    </row>
    <row r="991" ht="12.75">
      <c r="B991" s="93"/>
    </row>
    <row r="992" ht="12.75">
      <c r="B992" s="93"/>
    </row>
    <row r="993" ht="12.75">
      <c r="B993" s="93"/>
    </row>
    <row r="994" ht="12.75">
      <c r="B994" s="93"/>
    </row>
    <row r="995" ht="12.75">
      <c r="B995" s="93"/>
    </row>
    <row r="996" ht="12.75">
      <c r="B996" s="93"/>
    </row>
    <row r="997" ht="12.75">
      <c r="B997" s="93"/>
    </row>
    <row r="998" ht="12.75">
      <c r="B998" s="93"/>
    </row>
    <row r="999" ht="12.75">
      <c r="B999" s="93"/>
    </row>
    <row r="1000" ht="12.75">
      <c r="B1000" s="93"/>
    </row>
    <row r="1001" ht="12.75">
      <c r="B1001" s="93"/>
    </row>
    <row r="1002" ht="12.75">
      <c r="B1002" s="93"/>
    </row>
    <row r="1003" ht="12.75">
      <c r="B1003" s="93"/>
    </row>
    <row r="1004" ht="12.75">
      <c r="B1004" s="93"/>
    </row>
    <row r="1005" ht="12.75">
      <c r="B1005" s="93"/>
    </row>
    <row r="1006" ht="12.75">
      <c r="B1006" s="93"/>
    </row>
    <row r="1007" ht="12.75">
      <c r="B1007" s="93"/>
    </row>
    <row r="1008" ht="12.75">
      <c r="B1008" s="93"/>
    </row>
    <row r="1009" ht="12.75">
      <c r="B1009" s="93"/>
    </row>
    <row r="1010" ht="12.75">
      <c r="B1010" s="93"/>
    </row>
    <row r="1011" ht="12.75">
      <c r="B1011" s="93"/>
    </row>
    <row r="1012" ht="12.75">
      <c r="B1012" s="93"/>
    </row>
    <row r="1013" ht="12.75">
      <c r="B1013" s="93"/>
    </row>
    <row r="1014" ht="12.75">
      <c r="B1014" s="93"/>
    </row>
    <row r="1015" ht="12.75">
      <c r="B1015" s="93"/>
    </row>
    <row r="1016" ht="12.75">
      <c r="B1016" s="93"/>
    </row>
    <row r="1017" ht="12.75">
      <c r="B1017" s="93"/>
    </row>
    <row r="1018" ht="12.75">
      <c r="B1018" s="93"/>
    </row>
    <row r="1019" ht="12.75">
      <c r="B1019" s="93"/>
    </row>
    <row r="1020" ht="12.75">
      <c r="B1020" s="93"/>
    </row>
    <row r="1021" ht="12.75">
      <c r="B1021" s="93"/>
    </row>
    <row r="1022" ht="12.75">
      <c r="B1022" s="93"/>
    </row>
    <row r="1023" ht="12.75">
      <c r="B1023" s="93"/>
    </row>
    <row r="1024" ht="12.75">
      <c r="B1024" s="93"/>
    </row>
    <row r="1025" ht="12.75">
      <c r="B1025" s="93"/>
    </row>
    <row r="1026" ht="12.75">
      <c r="B1026" s="93"/>
    </row>
    <row r="1027" ht="12.75">
      <c r="B1027" s="93"/>
    </row>
    <row r="1028" ht="12.75">
      <c r="B1028" s="93"/>
    </row>
    <row r="1029" ht="12.75">
      <c r="B1029" s="93"/>
    </row>
    <row r="1030" ht="12.75">
      <c r="B1030" s="93"/>
    </row>
    <row r="1031" ht="12.75">
      <c r="B1031" s="93"/>
    </row>
    <row r="1032" ht="12.75">
      <c r="B1032" s="93"/>
    </row>
    <row r="1033" ht="12.75">
      <c r="B1033" s="93"/>
    </row>
    <row r="1034" ht="12.75">
      <c r="B1034" s="93"/>
    </row>
    <row r="1035" ht="12.75">
      <c r="B1035" s="93"/>
    </row>
    <row r="1036" ht="12.75">
      <c r="B1036" s="93"/>
    </row>
    <row r="1037" ht="12.75">
      <c r="B1037" s="93"/>
    </row>
    <row r="1038" ht="12.75">
      <c r="B1038" s="93"/>
    </row>
    <row r="1039" ht="12.75">
      <c r="B1039" s="93"/>
    </row>
    <row r="1040" ht="12.75">
      <c r="B1040" s="93"/>
    </row>
    <row r="1041" ht="12.75">
      <c r="B1041" s="93"/>
    </row>
    <row r="1042" ht="12.75">
      <c r="B1042" s="93"/>
    </row>
    <row r="1043" ht="12.75">
      <c r="B1043" s="93"/>
    </row>
    <row r="1044" ht="12.75">
      <c r="B1044" s="93"/>
    </row>
    <row r="1045" ht="12.75">
      <c r="B1045" s="93"/>
    </row>
    <row r="1046" ht="12.75">
      <c r="B1046" s="93"/>
    </row>
    <row r="1047" ht="12.75">
      <c r="B1047" s="93"/>
    </row>
    <row r="1048" ht="12.75">
      <c r="B1048" s="93"/>
    </row>
    <row r="1049" ht="12.75">
      <c r="B1049" s="93"/>
    </row>
    <row r="1050" ht="12.75">
      <c r="B1050" s="93"/>
    </row>
    <row r="1051" ht="12.75">
      <c r="B1051" s="93"/>
    </row>
    <row r="1052" ht="12.75">
      <c r="B1052" s="93"/>
    </row>
    <row r="1053" ht="12.75">
      <c r="B1053" s="93"/>
    </row>
    <row r="1054" ht="12.75">
      <c r="B1054" s="93"/>
    </row>
    <row r="1055" ht="12.75">
      <c r="B1055" s="93"/>
    </row>
    <row r="1056" ht="12.75">
      <c r="B1056" s="93"/>
    </row>
    <row r="1057" ht="12.75">
      <c r="B1057" s="93"/>
    </row>
    <row r="1058" ht="12.75">
      <c r="B1058" s="93"/>
    </row>
    <row r="1059" ht="12.75">
      <c r="B1059" s="93"/>
    </row>
    <row r="1060" ht="12.75">
      <c r="B1060" s="93"/>
    </row>
    <row r="1061" ht="12.75">
      <c r="B1061" s="93"/>
    </row>
    <row r="1062" ht="12.75">
      <c r="B1062" s="93"/>
    </row>
    <row r="1063" ht="12.75">
      <c r="B1063" s="93"/>
    </row>
    <row r="1064" ht="12.75">
      <c r="B1064" s="93"/>
    </row>
    <row r="1065" ht="12.75">
      <c r="B1065" s="93"/>
    </row>
    <row r="1066" ht="12.75">
      <c r="B1066" s="93"/>
    </row>
    <row r="1067" ht="12.75">
      <c r="B1067" s="93"/>
    </row>
    <row r="1068" ht="12.75">
      <c r="B1068" s="93"/>
    </row>
    <row r="1069" ht="12.75">
      <c r="B1069" s="93"/>
    </row>
    <row r="1070" ht="12.75">
      <c r="B1070" s="93"/>
    </row>
    <row r="1071" ht="12.75">
      <c r="B1071" s="93"/>
    </row>
    <row r="1072" ht="12.75">
      <c r="B1072" s="93"/>
    </row>
    <row r="1073" ht="12.75">
      <c r="B1073" s="93"/>
    </row>
    <row r="1074" ht="12.75">
      <c r="B1074" s="93"/>
    </row>
    <row r="1075" ht="12.75">
      <c r="B1075" s="93"/>
    </row>
    <row r="1076" ht="12.75">
      <c r="B1076" s="93"/>
    </row>
    <row r="1077" ht="12.75">
      <c r="B1077" s="93"/>
    </row>
    <row r="1078" ht="12.75">
      <c r="B1078" s="93"/>
    </row>
    <row r="1079" ht="12.75">
      <c r="B1079" s="93"/>
    </row>
    <row r="1080" ht="12.75">
      <c r="B1080" s="93"/>
    </row>
    <row r="1081" ht="12.75">
      <c r="B1081" s="93"/>
    </row>
    <row r="1082" ht="12.75">
      <c r="B1082" s="93"/>
    </row>
    <row r="1083" ht="12.75">
      <c r="B1083" s="93"/>
    </row>
    <row r="1084" ht="12.75">
      <c r="B1084" s="93"/>
    </row>
    <row r="1085" ht="12.75">
      <c r="B1085" s="93"/>
    </row>
    <row r="1086" ht="12.75">
      <c r="B1086" s="93"/>
    </row>
    <row r="1087" ht="12.75">
      <c r="B1087" s="93"/>
    </row>
    <row r="1088" ht="12.75">
      <c r="B1088" s="93"/>
    </row>
    <row r="1089" ht="12.75">
      <c r="B1089" s="93"/>
    </row>
    <row r="1090" ht="12.75">
      <c r="B1090" s="93"/>
    </row>
    <row r="1091" ht="12.75">
      <c r="B1091" s="93"/>
    </row>
    <row r="1092" ht="12.75">
      <c r="B1092" s="93"/>
    </row>
    <row r="1093" ht="12.75">
      <c r="B1093" s="93"/>
    </row>
    <row r="1094" ht="12.75">
      <c r="B1094" s="93"/>
    </row>
    <row r="1095" ht="12.75">
      <c r="B1095" s="93"/>
    </row>
    <row r="1096" ht="12.75">
      <c r="B1096" s="93"/>
    </row>
    <row r="1097" ht="12.75">
      <c r="B1097" s="93"/>
    </row>
    <row r="1098" ht="12.75">
      <c r="B1098" s="93"/>
    </row>
    <row r="1099" ht="12.75">
      <c r="B1099" s="93"/>
    </row>
    <row r="1100" ht="12.75">
      <c r="B1100" s="93"/>
    </row>
    <row r="1101" ht="12.75">
      <c r="B1101" s="93"/>
    </row>
    <row r="1102" ht="12.75">
      <c r="B1102" s="93"/>
    </row>
    <row r="1103" ht="12.75">
      <c r="B1103" s="93"/>
    </row>
    <row r="1104" ht="12.75">
      <c r="B1104" s="93"/>
    </row>
    <row r="1105" ht="12.75">
      <c r="B1105" s="93"/>
    </row>
    <row r="1106" ht="12.75">
      <c r="B1106" s="93"/>
    </row>
    <row r="1107" ht="12.75">
      <c r="B1107" s="93"/>
    </row>
    <row r="1108" ht="12.75">
      <c r="B1108" s="93"/>
    </row>
    <row r="1109" ht="12.75">
      <c r="B1109" s="93"/>
    </row>
    <row r="1110" ht="12.75">
      <c r="B1110" s="93"/>
    </row>
    <row r="1111" ht="12.75">
      <c r="B1111" s="93"/>
    </row>
    <row r="1112" ht="12.75">
      <c r="B1112" s="93"/>
    </row>
    <row r="1113" ht="12.75">
      <c r="B1113" s="93"/>
    </row>
    <row r="1114" ht="12.75">
      <c r="B1114" s="93"/>
    </row>
    <row r="1115" ht="12.75">
      <c r="B1115" s="93"/>
    </row>
    <row r="1116" ht="12.75">
      <c r="B1116" s="93"/>
    </row>
    <row r="1117" ht="12.75">
      <c r="B1117" s="93"/>
    </row>
    <row r="1118" ht="12.75">
      <c r="B1118" s="93"/>
    </row>
    <row r="1119" ht="12.75">
      <c r="B1119" s="93"/>
    </row>
    <row r="1120" ht="12.75">
      <c r="B1120" s="93"/>
    </row>
    <row r="1121" ht="12.75">
      <c r="B1121" s="93"/>
    </row>
    <row r="1122" ht="12.75">
      <c r="B1122" s="93"/>
    </row>
    <row r="1123" ht="12.75">
      <c r="B1123" s="93"/>
    </row>
    <row r="1124" ht="12.75">
      <c r="B1124" s="93"/>
    </row>
    <row r="1125" ht="12.75">
      <c r="B1125" s="93"/>
    </row>
    <row r="1126" ht="12.75">
      <c r="B1126" s="93"/>
    </row>
    <row r="1127" ht="12.75">
      <c r="B1127" s="93"/>
    </row>
    <row r="1128" ht="12.75">
      <c r="B1128" s="93"/>
    </row>
    <row r="1129" ht="12.75">
      <c r="B1129" s="93"/>
    </row>
    <row r="1130" ht="12.75">
      <c r="B1130" s="93"/>
    </row>
    <row r="1131" ht="12.75">
      <c r="B1131" s="93"/>
    </row>
    <row r="1132" ht="12.75">
      <c r="B1132" s="93"/>
    </row>
    <row r="1133" ht="12.75">
      <c r="B1133" s="93"/>
    </row>
    <row r="1134" ht="12.75">
      <c r="B1134" s="93"/>
    </row>
    <row r="1135" ht="12.75">
      <c r="B1135" s="93"/>
    </row>
    <row r="1136" ht="12.75">
      <c r="B1136" s="93"/>
    </row>
    <row r="1137" ht="12.75">
      <c r="B1137" s="93"/>
    </row>
    <row r="1138" ht="12.75">
      <c r="B1138" s="93"/>
    </row>
    <row r="1139" ht="12.75">
      <c r="B1139" s="93"/>
    </row>
    <row r="1140" ht="12.75">
      <c r="B1140" s="93"/>
    </row>
    <row r="1141" ht="12.75">
      <c r="B1141" s="93"/>
    </row>
    <row r="1142" ht="12.75">
      <c r="B1142" s="93"/>
    </row>
    <row r="1143" ht="12.75">
      <c r="B1143" s="93"/>
    </row>
    <row r="1144" ht="12.75">
      <c r="B1144" s="93"/>
    </row>
    <row r="1145" ht="12.75">
      <c r="B1145" s="93"/>
    </row>
    <row r="1146" ht="12.75">
      <c r="B1146" s="93"/>
    </row>
    <row r="1147" ht="12.75">
      <c r="B1147" s="93"/>
    </row>
    <row r="1148" ht="12.75">
      <c r="B1148" s="93"/>
    </row>
    <row r="1149" ht="12.75">
      <c r="B1149" s="93"/>
    </row>
    <row r="1150" ht="12.75">
      <c r="B1150" s="93"/>
    </row>
    <row r="1151" ht="12.75">
      <c r="B1151" s="93"/>
    </row>
    <row r="1152" ht="12.75">
      <c r="B1152" s="93"/>
    </row>
    <row r="1153" ht="12.75">
      <c r="B1153" s="93"/>
    </row>
    <row r="1154" ht="12.75">
      <c r="B1154" s="93"/>
    </row>
    <row r="1155" ht="12.75">
      <c r="B1155" s="93"/>
    </row>
    <row r="1156" ht="12.75">
      <c r="B1156" s="93"/>
    </row>
    <row r="1157" ht="12.75">
      <c r="B1157" s="93"/>
    </row>
    <row r="1158" ht="12.75">
      <c r="B1158" s="93"/>
    </row>
    <row r="1159" ht="12.75">
      <c r="B1159" s="93"/>
    </row>
    <row r="1160" ht="12.75">
      <c r="B1160" s="93"/>
    </row>
    <row r="1161" ht="12.75">
      <c r="B1161" s="93"/>
    </row>
    <row r="1162" ht="12.75">
      <c r="B1162" s="93"/>
    </row>
    <row r="1163" ht="12.75">
      <c r="B1163" s="93"/>
    </row>
    <row r="1164" ht="12.75">
      <c r="B1164" s="93"/>
    </row>
    <row r="1165" ht="12.75">
      <c r="B1165" s="93"/>
    </row>
    <row r="1166" ht="12.75">
      <c r="B1166" s="93"/>
    </row>
    <row r="1167" ht="12.75">
      <c r="B1167" s="93"/>
    </row>
    <row r="1168" ht="12.75">
      <c r="B1168" s="93"/>
    </row>
    <row r="1169" ht="12.75">
      <c r="B1169" s="93"/>
    </row>
    <row r="1170" ht="12.75">
      <c r="B1170" s="93"/>
    </row>
    <row r="1171" ht="12.75">
      <c r="B1171" s="93"/>
    </row>
    <row r="1172" ht="12.75">
      <c r="B1172" s="93"/>
    </row>
    <row r="1173" ht="12.75">
      <c r="B1173" s="93"/>
    </row>
    <row r="1174" ht="12.75">
      <c r="B1174" s="93"/>
    </row>
    <row r="1175" ht="12.75">
      <c r="B1175" s="93"/>
    </row>
    <row r="1176" ht="12.75">
      <c r="B1176" s="93"/>
    </row>
    <row r="1177" ht="12.75">
      <c r="B1177" s="93"/>
    </row>
    <row r="1178" ht="12.75">
      <c r="B1178" s="93"/>
    </row>
    <row r="1179" ht="12.75">
      <c r="B1179" s="93"/>
    </row>
    <row r="1180" ht="12.75">
      <c r="B1180" s="93"/>
    </row>
    <row r="1181" ht="12.75">
      <c r="B1181" s="93"/>
    </row>
    <row r="1182" ht="12.75">
      <c r="B1182" s="93"/>
    </row>
    <row r="1183" ht="12.75">
      <c r="B1183" s="93"/>
    </row>
    <row r="1184" ht="12.75">
      <c r="B1184" s="93"/>
    </row>
    <row r="1185" ht="12.75">
      <c r="B1185" s="93"/>
    </row>
    <row r="1186" ht="12.75">
      <c r="B1186" s="93"/>
    </row>
    <row r="1187" ht="12.75">
      <c r="B1187" s="93"/>
    </row>
    <row r="1188" ht="12.75">
      <c r="B1188" s="93"/>
    </row>
    <row r="1189" ht="12.75">
      <c r="B1189" s="93"/>
    </row>
    <row r="1190" ht="12.75">
      <c r="B1190" s="93"/>
    </row>
    <row r="1191" ht="12.75">
      <c r="B1191" s="93"/>
    </row>
    <row r="1192" ht="12.75">
      <c r="B1192" s="93"/>
    </row>
    <row r="1193" ht="12.75">
      <c r="B1193" s="93"/>
    </row>
    <row r="1194" ht="12.75">
      <c r="B1194" s="93"/>
    </row>
    <row r="1195" ht="12.75">
      <c r="B1195" s="93"/>
    </row>
    <row r="1196" ht="12.75">
      <c r="B1196" s="93"/>
    </row>
    <row r="1197" ht="12.75">
      <c r="B1197" s="93"/>
    </row>
    <row r="1198" ht="12.75">
      <c r="B1198" s="93"/>
    </row>
    <row r="1199" ht="12.75">
      <c r="B1199" s="93"/>
    </row>
    <row r="1200" ht="12.75">
      <c r="B1200" s="93"/>
    </row>
    <row r="1201" ht="12.75">
      <c r="B1201" s="93"/>
    </row>
    <row r="1202" ht="12.75">
      <c r="B1202" s="93"/>
    </row>
    <row r="1203" ht="12.75">
      <c r="B1203" s="93"/>
    </row>
    <row r="1204" ht="12.75">
      <c r="B1204" s="93"/>
    </row>
    <row r="1205" ht="12.75">
      <c r="B1205" s="93"/>
    </row>
    <row r="1206" ht="12.75">
      <c r="B1206" s="93"/>
    </row>
    <row r="1207" ht="12.75">
      <c r="B1207" s="93"/>
    </row>
    <row r="1208" ht="12.75">
      <c r="B1208" s="93"/>
    </row>
    <row r="1209" ht="12.75">
      <c r="B1209" s="93"/>
    </row>
    <row r="1210" ht="12.75">
      <c r="B1210" s="93"/>
    </row>
    <row r="1211" ht="12.75">
      <c r="B1211" s="93"/>
    </row>
    <row r="1212" ht="12.75">
      <c r="B1212" s="93"/>
    </row>
    <row r="1213" ht="12.75">
      <c r="B1213" s="93"/>
    </row>
    <row r="1214" ht="12.75">
      <c r="B1214" s="93"/>
    </row>
    <row r="1215" ht="12.75">
      <c r="B1215" s="93"/>
    </row>
    <row r="1216" ht="12.75">
      <c r="B1216" s="93"/>
    </row>
    <row r="1217" ht="12.75">
      <c r="B1217" s="93"/>
    </row>
    <row r="1218" ht="12.75">
      <c r="B1218" s="93"/>
    </row>
    <row r="1219" ht="12.75">
      <c r="B1219" s="93"/>
    </row>
    <row r="1220" ht="12.75">
      <c r="B1220" s="93"/>
    </row>
    <row r="1221" ht="12.75">
      <c r="B1221" s="93"/>
    </row>
    <row r="1222" ht="12.75">
      <c r="B1222" s="93"/>
    </row>
    <row r="1223" ht="12.75">
      <c r="B1223" s="93"/>
    </row>
    <row r="1224" ht="12.75">
      <c r="B1224" s="93"/>
    </row>
    <row r="1225" ht="12.75">
      <c r="B1225" s="93"/>
    </row>
    <row r="1226" ht="12.75">
      <c r="B1226" s="93"/>
    </row>
    <row r="1227" ht="12.75">
      <c r="B1227" s="93"/>
    </row>
    <row r="1228" ht="12.75">
      <c r="B1228" s="93"/>
    </row>
    <row r="1229" ht="12.75">
      <c r="B1229" s="93"/>
    </row>
    <row r="1230" ht="12.75">
      <c r="B1230" s="93"/>
    </row>
    <row r="1231" ht="12.75">
      <c r="B1231" s="93"/>
    </row>
    <row r="1232" ht="12.75">
      <c r="B1232" s="93"/>
    </row>
    <row r="1233" ht="12.75">
      <c r="B1233" s="93"/>
    </row>
    <row r="1234" ht="12.75">
      <c r="B1234" s="93"/>
    </row>
    <row r="1235" ht="12.75">
      <c r="B1235" s="93"/>
    </row>
    <row r="1236" ht="12.75">
      <c r="B1236" s="93"/>
    </row>
    <row r="1237" ht="12.75">
      <c r="B1237" s="93"/>
    </row>
    <row r="1238" ht="12.75">
      <c r="B1238" s="93"/>
    </row>
    <row r="1239" ht="12.75">
      <c r="B1239" s="93"/>
    </row>
    <row r="1240" ht="12.75">
      <c r="B1240" s="93"/>
    </row>
    <row r="1241" ht="12.75">
      <c r="B1241" s="93"/>
    </row>
    <row r="1242" ht="12.75">
      <c r="B1242" s="93"/>
    </row>
    <row r="1243" ht="12.75">
      <c r="B1243" s="93"/>
    </row>
    <row r="1244" ht="12.75">
      <c r="B1244" s="93"/>
    </row>
    <row r="1245" ht="12.75">
      <c r="B1245" s="93"/>
    </row>
    <row r="1246" ht="12.75">
      <c r="B1246" s="93"/>
    </row>
    <row r="1247" ht="12.75">
      <c r="B1247" s="93"/>
    </row>
    <row r="1248" ht="12.75">
      <c r="B1248" s="93"/>
    </row>
    <row r="1249" ht="12.75">
      <c r="B1249" s="93"/>
    </row>
    <row r="1250" ht="12.75">
      <c r="B1250" s="93"/>
    </row>
    <row r="1251" ht="12.75">
      <c r="B1251" s="93"/>
    </row>
    <row r="1252" ht="12.75">
      <c r="B1252" s="93"/>
    </row>
    <row r="1253" ht="12.75">
      <c r="B1253" s="93"/>
    </row>
    <row r="1254" ht="12.75">
      <c r="B1254" s="93"/>
    </row>
    <row r="1255" ht="12.75">
      <c r="B1255" s="93"/>
    </row>
    <row r="1256" ht="12.75">
      <c r="B1256" s="93"/>
    </row>
    <row r="1257" ht="12.75">
      <c r="B1257" s="93"/>
    </row>
    <row r="1258" ht="12.75">
      <c r="B1258" s="93"/>
    </row>
    <row r="1259" ht="12.75">
      <c r="B1259" s="93"/>
    </row>
    <row r="1260" ht="12.75">
      <c r="B1260" s="93"/>
    </row>
    <row r="1261" ht="12.75">
      <c r="B1261" s="93"/>
    </row>
    <row r="1262" ht="12.75">
      <c r="B1262" s="93"/>
    </row>
    <row r="1263" ht="12.75">
      <c r="B1263" s="93"/>
    </row>
    <row r="1264" ht="12.75">
      <c r="B1264" s="93"/>
    </row>
    <row r="1265" ht="12.75">
      <c r="B1265" s="93"/>
    </row>
    <row r="1266" ht="12.75">
      <c r="B1266" s="93"/>
    </row>
    <row r="1267" ht="12.75">
      <c r="B1267" s="93"/>
    </row>
    <row r="1268" ht="12.75">
      <c r="B1268" s="93"/>
    </row>
    <row r="1269" ht="12.75">
      <c r="B1269" s="93"/>
    </row>
    <row r="1270" ht="12.75">
      <c r="B1270" s="93"/>
    </row>
    <row r="1271" ht="12.75">
      <c r="B1271" s="93"/>
    </row>
    <row r="1272" ht="12.75">
      <c r="B1272" s="93"/>
    </row>
    <row r="1273" ht="12.75">
      <c r="B1273" s="93"/>
    </row>
    <row r="1274" ht="12.75">
      <c r="B1274" s="93"/>
    </row>
    <row r="1275" ht="12.75">
      <c r="B1275" s="93"/>
    </row>
    <row r="1276" ht="12.75">
      <c r="B1276" s="93"/>
    </row>
    <row r="1277" ht="12.75">
      <c r="B1277" s="93"/>
    </row>
    <row r="1278" ht="12.75">
      <c r="B1278" s="93"/>
    </row>
    <row r="1279" ht="12.75">
      <c r="B1279" s="93"/>
    </row>
    <row r="1280" ht="12.75">
      <c r="B1280" s="93"/>
    </row>
    <row r="1281" ht="12.75">
      <c r="B1281" s="93"/>
    </row>
    <row r="1282" ht="12.75">
      <c r="B1282" s="93"/>
    </row>
    <row r="1283" ht="12.75">
      <c r="B1283" s="93"/>
    </row>
    <row r="1284" ht="12.75">
      <c r="B1284" s="93"/>
    </row>
    <row r="1285" ht="12.75">
      <c r="B1285" s="93"/>
    </row>
    <row r="1286" ht="12.75">
      <c r="B1286" s="93"/>
    </row>
    <row r="1287" ht="12.75">
      <c r="B1287" s="93"/>
    </row>
    <row r="1288" ht="12.75">
      <c r="B1288" s="93"/>
    </row>
    <row r="1289" ht="12.75">
      <c r="B1289" s="93"/>
    </row>
    <row r="1290" ht="12.75">
      <c r="B1290" s="93"/>
    </row>
    <row r="1291" ht="12.75">
      <c r="B1291" s="93"/>
    </row>
    <row r="1292" ht="12.75">
      <c r="B1292" s="93"/>
    </row>
    <row r="1293" ht="12.75">
      <c r="B1293" s="93"/>
    </row>
    <row r="1294" ht="12.75">
      <c r="B1294" s="93"/>
    </row>
    <row r="1295" ht="12.75">
      <c r="B1295" s="93"/>
    </row>
    <row r="1296" ht="12.75">
      <c r="B1296" s="93"/>
    </row>
    <row r="1297" ht="12.75">
      <c r="B1297" s="93"/>
    </row>
    <row r="1298" ht="12.75">
      <c r="B1298" s="93"/>
    </row>
    <row r="1299" ht="12.75">
      <c r="B1299" s="93"/>
    </row>
    <row r="1300" ht="12.75">
      <c r="B1300" s="93"/>
    </row>
    <row r="1301" ht="12.75">
      <c r="B1301" s="93"/>
    </row>
    <row r="1302" ht="12.75">
      <c r="B1302" s="93"/>
    </row>
    <row r="1303" ht="12.75">
      <c r="B1303" s="93"/>
    </row>
    <row r="1304" ht="12.75">
      <c r="B1304" s="93"/>
    </row>
    <row r="1305" ht="12.75">
      <c r="B1305" s="93"/>
    </row>
    <row r="1306" ht="12.75">
      <c r="B1306" s="93"/>
    </row>
    <row r="1307" ht="12.75">
      <c r="B1307" s="93"/>
    </row>
    <row r="1308" ht="12.75">
      <c r="B1308" s="93"/>
    </row>
    <row r="1309" ht="12.75">
      <c r="B1309" s="93"/>
    </row>
    <row r="1310" ht="12.75">
      <c r="B1310" s="93"/>
    </row>
    <row r="1311" ht="12.75">
      <c r="B1311" s="93"/>
    </row>
    <row r="1312" ht="12.75">
      <c r="B1312" s="93"/>
    </row>
    <row r="1313" ht="12.75">
      <c r="B1313" s="93"/>
    </row>
    <row r="1314" ht="12.75">
      <c r="B1314" s="93"/>
    </row>
    <row r="1315" ht="12.75">
      <c r="B1315" s="93"/>
    </row>
    <row r="1316" ht="12.75">
      <c r="B1316" s="93"/>
    </row>
    <row r="1317" ht="12.75">
      <c r="B1317" s="93"/>
    </row>
    <row r="1318" ht="12.75">
      <c r="B1318" s="93"/>
    </row>
    <row r="1319" ht="12.75">
      <c r="B1319" s="93"/>
    </row>
    <row r="1320" ht="12.75">
      <c r="B1320" s="93"/>
    </row>
    <row r="1321" ht="12.75">
      <c r="B1321" s="93"/>
    </row>
    <row r="1322" ht="12.75">
      <c r="B1322" s="93"/>
    </row>
    <row r="1323" ht="12.75">
      <c r="B1323" s="93"/>
    </row>
    <row r="1324" ht="12.75">
      <c r="B1324" s="93"/>
    </row>
    <row r="1325" ht="12.75">
      <c r="B1325" s="93"/>
    </row>
    <row r="1326" ht="12.75">
      <c r="B1326" s="93"/>
    </row>
    <row r="1327" ht="12.75">
      <c r="B1327" s="93"/>
    </row>
    <row r="1328" ht="12.75">
      <c r="B1328" s="93"/>
    </row>
    <row r="1329" ht="12.75">
      <c r="B1329" s="93"/>
    </row>
    <row r="1330" ht="12.75">
      <c r="B1330" s="93"/>
    </row>
    <row r="1331" ht="12.75">
      <c r="B1331" s="93"/>
    </row>
    <row r="1332" ht="12.75">
      <c r="B1332" s="93"/>
    </row>
    <row r="1333" ht="12.75">
      <c r="B1333" s="93"/>
    </row>
    <row r="1334" ht="12.75">
      <c r="B1334" s="93"/>
    </row>
    <row r="1335" ht="12.75">
      <c r="B1335" s="93"/>
    </row>
    <row r="1336" ht="12.75">
      <c r="B1336" s="93"/>
    </row>
    <row r="1337" ht="12.75">
      <c r="B1337" s="93"/>
    </row>
    <row r="1338" ht="12.75">
      <c r="B1338" s="93"/>
    </row>
    <row r="1339" ht="12.75">
      <c r="B1339" s="93"/>
    </row>
    <row r="1340" ht="12.75">
      <c r="B1340" s="93"/>
    </row>
    <row r="1341" ht="12.75">
      <c r="B1341" s="93"/>
    </row>
    <row r="1342" ht="12.75">
      <c r="B1342" s="93"/>
    </row>
    <row r="1343" ht="12.75">
      <c r="B1343" s="93"/>
    </row>
    <row r="1344" ht="12.75">
      <c r="B1344" s="93"/>
    </row>
    <row r="1345" ht="12.75">
      <c r="B1345" s="93"/>
    </row>
    <row r="1346" ht="12.75">
      <c r="B1346" s="93"/>
    </row>
    <row r="1347" ht="12.75">
      <c r="B1347" s="93"/>
    </row>
    <row r="1348" ht="12.75">
      <c r="B1348" s="93"/>
    </row>
    <row r="1349" ht="12.75">
      <c r="B1349" s="93"/>
    </row>
    <row r="1350" ht="12.75">
      <c r="B1350" s="93"/>
    </row>
    <row r="1351" ht="12.75">
      <c r="B1351" s="93"/>
    </row>
    <row r="1352" ht="12.75">
      <c r="B1352" s="93"/>
    </row>
    <row r="1353" ht="12.75">
      <c r="B1353" s="93"/>
    </row>
    <row r="1354" ht="12.75">
      <c r="B1354" s="93"/>
    </row>
    <row r="1355" ht="12.75">
      <c r="B1355" s="93"/>
    </row>
    <row r="1356" ht="12.75">
      <c r="B1356" s="93"/>
    </row>
    <row r="1357" ht="12.75">
      <c r="B1357" s="93"/>
    </row>
    <row r="1358" ht="12.75">
      <c r="B1358" s="93"/>
    </row>
    <row r="1359" ht="12.75">
      <c r="B1359" s="93"/>
    </row>
    <row r="1360" ht="12.75">
      <c r="B1360" s="93"/>
    </row>
    <row r="1361" ht="12.75">
      <c r="B1361" s="93"/>
    </row>
    <row r="1362" ht="12.75">
      <c r="B1362" s="93"/>
    </row>
    <row r="1363" ht="12.75">
      <c r="B1363" s="93"/>
    </row>
    <row r="1364" ht="12.75">
      <c r="B1364" s="93"/>
    </row>
    <row r="1365" ht="12.75">
      <c r="B1365" s="93"/>
    </row>
    <row r="1366" ht="12.75">
      <c r="B1366" s="93"/>
    </row>
    <row r="1367" ht="12.75">
      <c r="B1367" s="93"/>
    </row>
    <row r="1368" ht="12.75">
      <c r="B1368" s="93"/>
    </row>
    <row r="1369" ht="12.75">
      <c r="B1369" s="93"/>
    </row>
    <row r="1370" ht="12.75">
      <c r="B1370" s="93"/>
    </row>
    <row r="1371" ht="12.75">
      <c r="B1371" s="93"/>
    </row>
    <row r="1372" ht="12.75">
      <c r="B1372" s="93"/>
    </row>
    <row r="1373" ht="12.75">
      <c r="B1373" s="93"/>
    </row>
    <row r="1374" ht="12.75">
      <c r="B1374" s="93"/>
    </row>
    <row r="1375" ht="12.75">
      <c r="B1375" s="93"/>
    </row>
    <row r="1376" ht="12.75">
      <c r="B1376" s="93"/>
    </row>
    <row r="1377" ht="12.75">
      <c r="B1377" s="93"/>
    </row>
    <row r="1378" ht="12.75">
      <c r="B1378" s="93"/>
    </row>
    <row r="1379" ht="12.75">
      <c r="B1379" s="93"/>
    </row>
    <row r="1380" ht="12.75">
      <c r="B1380" s="93"/>
    </row>
    <row r="1381" ht="12.75">
      <c r="B1381" s="93"/>
    </row>
    <row r="1382" ht="12.75">
      <c r="B1382" s="93"/>
    </row>
    <row r="1383" ht="12.75">
      <c r="B1383" s="93"/>
    </row>
    <row r="1384" ht="12.75">
      <c r="B1384" s="93"/>
    </row>
    <row r="1385" ht="12.75">
      <c r="B1385" s="93"/>
    </row>
    <row r="1386" ht="12.75">
      <c r="B1386" s="93"/>
    </row>
    <row r="1387" ht="12.75">
      <c r="B1387" s="93"/>
    </row>
    <row r="1388" ht="12.75">
      <c r="B1388" s="93"/>
    </row>
    <row r="1389" ht="12.75">
      <c r="B1389" s="93"/>
    </row>
    <row r="1390" ht="12.75">
      <c r="B1390" s="93"/>
    </row>
    <row r="1391" ht="12.75">
      <c r="B1391" s="93"/>
    </row>
    <row r="1392" ht="12.75">
      <c r="B1392" s="93"/>
    </row>
    <row r="1393" ht="12.75">
      <c r="B1393" s="93"/>
    </row>
    <row r="1394" ht="12.75">
      <c r="B1394" s="93"/>
    </row>
    <row r="1395" ht="12.75">
      <c r="B1395" s="93"/>
    </row>
    <row r="1396" ht="12.75">
      <c r="B1396" s="93"/>
    </row>
    <row r="1397" ht="12.75">
      <c r="B1397" s="93"/>
    </row>
    <row r="1398" ht="12.75">
      <c r="B1398" s="93"/>
    </row>
    <row r="1399" ht="12.75">
      <c r="B1399" s="93"/>
    </row>
    <row r="1400" ht="12.75">
      <c r="B1400" s="93"/>
    </row>
    <row r="1401" ht="12.75">
      <c r="B1401" s="93"/>
    </row>
    <row r="1402" ht="12.75">
      <c r="B1402" s="93"/>
    </row>
    <row r="1403" ht="12.75">
      <c r="B1403" s="93"/>
    </row>
    <row r="1404" ht="12.75">
      <c r="B1404" s="93"/>
    </row>
    <row r="1405" ht="12.75">
      <c r="B1405" s="93"/>
    </row>
    <row r="1406" ht="12.75">
      <c r="B1406" s="93"/>
    </row>
    <row r="1407" ht="12.75">
      <c r="B1407" s="93"/>
    </row>
    <row r="1408" ht="12.75">
      <c r="B1408" s="93"/>
    </row>
    <row r="1409" ht="12.75">
      <c r="B1409" s="93"/>
    </row>
    <row r="1410" ht="12.75">
      <c r="B1410" s="93"/>
    </row>
    <row r="1411" ht="12.75">
      <c r="B1411" s="93"/>
    </row>
    <row r="1412" ht="12.75">
      <c r="B1412" s="93"/>
    </row>
    <row r="1413" ht="12.75">
      <c r="B1413" s="93"/>
    </row>
    <row r="1414" ht="12.75">
      <c r="B1414" s="93"/>
    </row>
    <row r="1415" ht="12.75">
      <c r="B1415" s="93"/>
    </row>
    <row r="1416" ht="12.75">
      <c r="B1416" s="93"/>
    </row>
    <row r="1417" ht="12.75">
      <c r="B1417" s="93"/>
    </row>
    <row r="1418" ht="12.75">
      <c r="B1418" s="93"/>
    </row>
    <row r="1419" ht="12.75">
      <c r="B1419" s="93"/>
    </row>
    <row r="1420" ht="12.75">
      <c r="B1420" s="93"/>
    </row>
    <row r="1421" ht="12.75">
      <c r="B1421" s="93"/>
    </row>
    <row r="1422" ht="12.75">
      <c r="B1422" s="93"/>
    </row>
    <row r="1423" ht="12.75">
      <c r="B1423" s="93"/>
    </row>
    <row r="1424" ht="12.75">
      <c r="B1424" s="93"/>
    </row>
    <row r="1425" ht="12.75">
      <c r="B1425" s="93"/>
    </row>
    <row r="1426" ht="12.75">
      <c r="B1426" s="93"/>
    </row>
    <row r="1427" ht="12.75">
      <c r="B1427" s="93"/>
    </row>
    <row r="1428" ht="12.75">
      <c r="B1428" s="93"/>
    </row>
    <row r="1429" ht="12.75">
      <c r="B1429" s="93"/>
    </row>
    <row r="1430" ht="12.75">
      <c r="B1430" s="93"/>
    </row>
    <row r="1431" ht="12.75">
      <c r="B1431" s="93"/>
    </row>
    <row r="1432" ht="12.75">
      <c r="B1432" s="93"/>
    </row>
    <row r="1433" ht="12.75">
      <c r="B1433" s="93"/>
    </row>
    <row r="1434" ht="12.75">
      <c r="B1434" s="93"/>
    </row>
    <row r="1435" ht="12.75">
      <c r="B1435" s="93"/>
    </row>
    <row r="1436" ht="12.75">
      <c r="B1436" s="93"/>
    </row>
    <row r="1437" ht="12.75">
      <c r="B1437" s="93"/>
    </row>
    <row r="1438" ht="12.75">
      <c r="B1438" s="93"/>
    </row>
    <row r="1439" ht="12.75">
      <c r="B1439" s="93"/>
    </row>
    <row r="1440" ht="12.75">
      <c r="B1440" s="93"/>
    </row>
    <row r="1441" ht="12.75">
      <c r="B1441" s="93"/>
    </row>
    <row r="1442" ht="12.75">
      <c r="B1442" s="93"/>
    </row>
    <row r="1443" ht="12.75">
      <c r="B1443" s="93"/>
    </row>
    <row r="1444" ht="12.75">
      <c r="B1444" s="93"/>
    </row>
    <row r="1445" ht="12.75">
      <c r="B1445" s="93"/>
    </row>
    <row r="1446" ht="12.75">
      <c r="B1446" s="93"/>
    </row>
    <row r="1447" ht="12.75">
      <c r="B1447" s="93"/>
    </row>
    <row r="1448" ht="12.75">
      <c r="B1448" s="93"/>
    </row>
    <row r="1449" ht="12.75">
      <c r="B1449" s="93"/>
    </row>
    <row r="1450" ht="12.75">
      <c r="B1450" s="93"/>
    </row>
    <row r="1451" ht="12.75">
      <c r="B1451" s="93"/>
    </row>
    <row r="1452" ht="12.75">
      <c r="B1452" s="93"/>
    </row>
    <row r="1453" ht="12.75">
      <c r="B1453" s="93"/>
    </row>
    <row r="1454" ht="12.75">
      <c r="B1454" s="93"/>
    </row>
    <row r="1455" ht="12.75">
      <c r="B1455" s="93"/>
    </row>
    <row r="1456" ht="12.75">
      <c r="B1456" s="93"/>
    </row>
    <row r="1457" ht="12.75">
      <c r="B1457" s="93"/>
    </row>
    <row r="1458" ht="12.75">
      <c r="B1458" s="93"/>
    </row>
    <row r="1459" ht="12.75">
      <c r="B1459" s="93"/>
    </row>
    <row r="1460" ht="12.75">
      <c r="B1460" s="93"/>
    </row>
    <row r="1461" ht="12.75">
      <c r="B1461" s="93"/>
    </row>
    <row r="1462" ht="12.75">
      <c r="B1462" s="93"/>
    </row>
    <row r="1463" ht="12.75">
      <c r="B1463" s="93"/>
    </row>
    <row r="1464" ht="12.75">
      <c r="B1464" s="93"/>
    </row>
    <row r="1465" ht="12.75">
      <c r="B1465" s="93"/>
    </row>
    <row r="1466" ht="12.75">
      <c r="B1466" s="93"/>
    </row>
    <row r="1467" ht="12.75">
      <c r="B1467" s="93"/>
    </row>
    <row r="1468" ht="12.75">
      <c r="B1468" s="93"/>
    </row>
    <row r="1469" ht="12.75">
      <c r="B1469" s="93"/>
    </row>
    <row r="1470" ht="12.75">
      <c r="B1470" s="93"/>
    </row>
    <row r="1471" ht="12.75">
      <c r="B1471" s="93"/>
    </row>
    <row r="1472" ht="12.75">
      <c r="B1472" s="93"/>
    </row>
    <row r="1473" ht="12.75">
      <c r="B1473" s="93"/>
    </row>
    <row r="1474" ht="12.75">
      <c r="B1474" s="93"/>
    </row>
    <row r="1475" ht="12.75">
      <c r="B1475" s="93"/>
    </row>
    <row r="1476" ht="12.75">
      <c r="B1476" s="93"/>
    </row>
    <row r="1477" ht="12.75">
      <c r="B1477" s="93"/>
    </row>
    <row r="1478" ht="12.75">
      <c r="B1478" s="93"/>
    </row>
    <row r="1479" ht="12.75">
      <c r="B1479" s="93"/>
    </row>
    <row r="1480" ht="12.75">
      <c r="B1480" s="93"/>
    </row>
    <row r="1481" ht="12.75">
      <c r="B1481" s="93"/>
    </row>
    <row r="1482" ht="12.75">
      <c r="B1482" s="93"/>
    </row>
    <row r="1483" ht="12.75">
      <c r="B1483" s="93"/>
    </row>
    <row r="1484" ht="12.75">
      <c r="B1484" s="93"/>
    </row>
    <row r="1485" ht="12.75">
      <c r="B1485" s="93"/>
    </row>
    <row r="1486" ht="12.75">
      <c r="B1486" s="93"/>
    </row>
    <row r="1487" ht="12.75">
      <c r="B1487" s="93"/>
    </row>
    <row r="1488" ht="12.75">
      <c r="B1488" s="93"/>
    </row>
    <row r="1489" ht="12.75">
      <c r="B1489" s="93"/>
    </row>
    <row r="1490" ht="12.75">
      <c r="B1490" s="93"/>
    </row>
    <row r="1491" ht="12.75">
      <c r="B1491" s="93"/>
    </row>
    <row r="1492" ht="12.75">
      <c r="B1492" s="93"/>
    </row>
    <row r="1493" ht="12.75">
      <c r="B1493" s="93"/>
    </row>
    <row r="1494" ht="12.75">
      <c r="B1494" s="93"/>
    </row>
    <row r="1495" ht="12.75">
      <c r="B1495" s="93"/>
    </row>
    <row r="1496" ht="12.75">
      <c r="B1496" s="93"/>
    </row>
    <row r="1497" ht="12.75">
      <c r="B1497" s="93"/>
    </row>
    <row r="1498" ht="12.75">
      <c r="B1498" s="93"/>
    </row>
    <row r="1499" ht="12.75">
      <c r="B1499" s="93"/>
    </row>
    <row r="1500" ht="12.75">
      <c r="B1500" s="93"/>
    </row>
    <row r="1501" ht="12.75">
      <c r="B1501" s="93"/>
    </row>
    <row r="1502" ht="12.75">
      <c r="B1502" s="93"/>
    </row>
    <row r="1503" ht="12.75">
      <c r="B1503" s="93"/>
    </row>
    <row r="1504" ht="12.75">
      <c r="B1504" s="93"/>
    </row>
    <row r="1505" ht="12.75">
      <c r="B1505" s="93"/>
    </row>
    <row r="1506" ht="12.75">
      <c r="B1506" s="93"/>
    </row>
    <row r="1507" ht="12.75">
      <c r="B1507" s="93"/>
    </row>
    <row r="1508" ht="12.75">
      <c r="B1508" s="93"/>
    </row>
    <row r="1509" ht="12.75">
      <c r="B1509" s="93"/>
    </row>
    <row r="1510" ht="12.75">
      <c r="B1510" s="93"/>
    </row>
    <row r="1511" ht="12.75">
      <c r="B1511" s="93"/>
    </row>
    <row r="1512" ht="12.75">
      <c r="B1512" s="93"/>
    </row>
    <row r="1513" ht="12.75">
      <c r="B1513" s="93"/>
    </row>
    <row r="1514" ht="12.75">
      <c r="B1514" s="93"/>
    </row>
    <row r="1515" ht="12.75">
      <c r="B1515" s="93"/>
    </row>
    <row r="1516" ht="12.75">
      <c r="B1516" s="93"/>
    </row>
    <row r="1517" ht="12.75">
      <c r="B1517" s="93"/>
    </row>
    <row r="1518" ht="12.75">
      <c r="B1518" s="93"/>
    </row>
    <row r="1519" ht="12.75">
      <c r="B1519" s="93"/>
    </row>
    <row r="1520" ht="12.75">
      <c r="B1520" s="93"/>
    </row>
    <row r="1521" ht="12.75">
      <c r="B1521" s="93"/>
    </row>
    <row r="1522" ht="12.75">
      <c r="B1522" s="93"/>
    </row>
    <row r="1523" ht="12.75">
      <c r="B1523" s="93"/>
    </row>
    <row r="1524" ht="12.75">
      <c r="B1524" s="93"/>
    </row>
    <row r="1525" ht="12.75">
      <c r="B1525" s="93"/>
    </row>
    <row r="1526" ht="12.75">
      <c r="B1526" s="93"/>
    </row>
    <row r="1527" ht="12.75">
      <c r="B1527" s="93"/>
    </row>
    <row r="1528" ht="12.75">
      <c r="B1528" s="93"/>
    </row>
    <row r="1529" ht="12.75">
      <c r="B1529" s="93"/>
    </row>
    <row r="1530" ht="12.75">
      <c r="B1530" s="93"/>
    </row>
    <row r="1531" ht="12.75">
      <c r="B1531" s="93"/>
    </row>
    <row r="1532" ht="12.75">
      <c r="B1532" s="93"/>
    </row>
    <row r="1533" ht="12.75">
      <c r="B1533" s="93"/>
    </row>
    <row r="1534" ht="12.75">
      <c r="B1534" s="93"/>
    </row>
    <row r="1535" ht="12.75">
      <c r="B1535" s="93"/>
    </row>
    <row r="1536" ht="12.75">
      <c r="B1536" s="93"/>
    </row>
    <row r="1537" ht="12.75">
      <c r="B1537" s="93"/>
    </row>
    <row r="1538" ht="12.75">
      <c r="B1538" s="93"/>
    </row>
    <row r="1539" ht="12.75">
      <c r="B1539" s="93"/>
    </row>
    <row r="1540" ht="12.75">
      <c r="B1540" s="93"/>
    </row>
    <row r="1541" ht="12.75">
      <c r="B1541" s="93"/>
    </row>
    <row r="1542" ht="12.75">
      <c r="B1542" s="93"/>
    </row>
    <row r="1543" ht="12.75">
      <c r="B1543" s="93"/>
    </row>
    <row r="1544" ht="12.75">
      <c r="B1544" s="93"/>
    </row>
    <row r="1545" ht="12.75">
      <c r="B1545" s="93"/>
    </row>
    <row r="1546" ht="12.75">
      <c r="B1546" s="93"/>
    </row>
    <row r="1547" ht="12.75">
      <c r="B1547" s="93"/>
    </row>
    <row r="1548" ht="12.75">
      <c r="B1548" s="93"/>
    </row>
    <row r="1549" ht="12.75">
      <c r="B1549" s="93"/>
    </row>
    <row r="1550" ht="12.75">
      <c r="B1550" s="93"/>
    </row>
    <row r="1551" ht="12.75">
      <c r="B1551" s="93"/>
    </row>
    <row r="1552" ht="12.75">
      <c r="B1552" s="93"/>
    </row>
    <row r="1553" ht="12.75">
      <c r="B1553" s="93"/>
    </row>
    <row r="1554" ht="12.75">
      <c r="B1554" s="93"/>
    </row>
    <row r="1555" ht="12.75">
      <c r="B1555" s="93"/>
    </row>
    <row r="1556" ht="12.75">
      <c r="B1556" s="93"/>
    </row>
    <row r="1557" ht="12.75">
      <c r="B1557" s="93"/>
    </row>
    <row r="1558" ht="12.75">
      <c r="B1558" s="93"/>
    </row>
    <row r="1559" ht="12.75">
      <c r="B1559" s="93"/>
    </row>
    <row r="1560" ht="12.75">
      <c r="B1560" s="93"/>
    </row>
    <row r="1561" ht="12.75">
      <c r="B1561" s="93"/>
    </row>
    <row r="1562" ht="12.75">
      <c r="B1562" s="93"/>
    </row>
    <row r="1563" ht="12.75">
      <c r="B1563" s="93"/>
    </row>
    <row r="1564" ht="12.75">
      <c r="B1564" s="93"/>
    </row>
    <row r="1565" ht="12.75">
      <c r="B1565" s="93"/>
    </row>
    <row r="1566" ht="12.75">
      <c r="B1566" s="93"/>
    </row>
    <row r="1567" ht="12.75">
      <c r="B1567" s="93"/>
    </row>
    <row r="1568" ht="12.75">
      <c r="B1568" s="93"/>
    </row>
    <row r="1569" ht="12.75">
      <c r="B1569" s="93"/>
    </row>
    <row r="1570" ht="12.75">
      <c r="B1570" s="93"/>
    </row>
    <row r="1571" ht="12.75">
      <c r="B1571" s="93"/>
    </row>
    <row r="1572" ht="12.75">
      <c r="B1572" s="93"/>
    </row>
    <row r="1573" ht="12.75">
      <c r="B1573" s="93"/>
    </row>
    <row r="1574" ht="12.75">
      <c r="B1574" s="93"/>
    </row>
    <row r="1575" ht="12.75">
      <c r="B1575" s="93"/>
    </row>
    <row r="1576" ht="12.75">
      <c r="B1576" s="93"/>
    </row>
    <row r="1577" ht="12.75">
      <c r="B1577" s="93"/>
    </row>
    <row r="1578" ht="12.75">
      <c r="B1578" s="93"/>
    </row>
    <row r="1579" ht="12.75">
      <c r="B1579" s="93"/>
    </row>
    <row r="1580" ht="12.75">
      <c r="B1580" s="93"/>
    </row>
    <row r="1581" ht="12.75">
      <c r="B1581" s="93"/>
    </row>
    <row r="1582" ht="12.75">
      <c r="B1582" s="93"/>
    </row>
    <row r="1583" ht="12.75">
      <c r="B1583" s="93"/>
    </row>
    <row r="1584" ht="12.75">
      <c r="B1584" s="93"/>
    </row>
    <row r="1585" ht="12.75">
      <c r="B1585" s="93"/>
    </row>
    <row r="1586" ht="12.75">
      <c r="B1586" s="93"/>
    </row>
    <row r="1587" ht="12.75">
      <c r="B1587" s="93"/>
    </row>
    <row r="1588" ht="12.75">
      <c r="B1588" s="93"/>
    </row>
    <row r="1589" ht="12.75">
      <c r="B1589" s="93"/>
    </row>
    <row r="1590" ht="12.75">
      <c r="B1590" s="93"/>
    </row>
    <row r="1591" ht="12.75">
      <c r="B1591" s="93"/>
    </row>
    <row r="1592" ht="12.75">
      <c r="B1592" s="93"/>
    </row>
    <row r="1593" ht="12.75">
      <c r="B1593" s="93"/>
    </row>
    <row r="1594" ht="12.75">
      <c r="B1594" s="93"/>
    </row>
    <row r="1595" ht="12.75">
      <c r="B1595" s="93"/>
    </row>
    <row r="1596" ht="12.75">
      <c r="B1596" s="93"/>
    </row>
    <row r="1597" ht="12.75">
      <c r="B1597" s="93"/>
    </row>
    <row r="1598" ht="12.75">
      <c r="B1598" s="93"/>
    </row>
    <row r="1599" ht="12.75">
      <c r="B1599" s="93"/>
    </row>
    <row r="1600" ht="12.75">
      <c r="B1600" s="93"/>
    </row>
    <row r="1601" ht="12.75">
      <c r="B1601" s="93"/>
    </row>
    <row r="1602" ht="12.75">
      <c r="B1602" s="93"/>
    </row>
    <row r="1603" ht="12.75">
      <c r="B1603" s="93"/>
    </row>
    <row r="1604" ht="12.75">
      <c r="B1604" s="93"/>
    </row>
    <row r="1605" ht="12.75">
      <c r="B1605" s="93"/>
    </row>
    <row r="1606" ht="12.75">
      <c r="B1606" s="93"/>
    </row>
    <row r="1607" ht="12.75">
      <c r="B1607" s="93"/>
    </row>
    <row r="1608" ht="12.75">
      <c r="B1608" s="93"/>
    </row>
    <row r="1609" ht="12.75">
      <c r="B1609" s="93"/>
    </row>
    <row r="1610" ht="12.75">
      <c r="B1610" s="93"/>
    </row>
    <row r="1611" ht="12.75">
      <c r="B1611" s="93"/>
    </row>
    <row r="1612" ht="12.75">
      <c r="B1612" s="93"/>
    </row>
    <row r="1613" ht="12.75">
      <c r="B1613" s="93"/>
    </row>
    <row r="1614" ht="12.75">
      <c r="B1614" s="93"/>
    </row>
    <row r="1615" ht="12.75">
      <c r="B1615" s="93"/>
    </row>
    <row r="1616" ht="12.75">
      <c r="B1616" s="93"/>
    </row>
    <row r="1617" ht="12.75">
      <c r="B1617" s="93"/>
    </row>
    <row r="1618" ht="12.75">
      <c r="B1618" s="93"/>
    </row>
    <row r="1619" ht="12.75">
      <c r="B1619" s="93"/>
    </row>
    <row r="1620" ht="12.75">
      <c r="B1620" s="93"/>
    </row>
    <row r="1621" ht="12.75">
      <c r="B1621" s="93"/>
    </row>
    <row r="1622" ht="12.75">
      <c r="B1622" s="93"/>
    </row>
    <row r="1623" ht="12.75">
      <c r="B1623" s="93"/>
    </row>
    <row r="1624" ht="12.75">
      <c r="B1624" s="93"/>
    </row>
    <row r="1625" ht="12.75">
      <c r="B1625" s="93"/>
    </row>
    <row r="1626" ht="12.75">
      <c r="B1626" s="93"/>
    </row>
    <row r="1627" ht="12.75">
      <c r="B1627" s="93"/>
    </row>
    <row r="1628" ht="12.75">
      <c r="B1628" s="93"/>
    </row>
    <row r="1629" ht="12.75">
      <c r="B1629" s="93"/>
    </row>
    <row r="1630" ht="12.75">
      <c r="B1630" s="93"/>
    </row>
    <row r="1631" ht="12.75">
      <c r="B1631" s="93"/>
    </row>
    <row r="1632" ht="12.75">
      <c r="B1632" s="93"/>
    </row>
    <row r="1633" ht="12.75">
      <c r="B1633" s="93"/>
    </row>
    <row r="1634" ht="12.75">
      <c r="B1634" s="93"/>
    </row>
    <row r="1635" ht="12.75">
      <c r="B1635" s="93"/>
    </row>
    <row r="1636" ht="12.75">
      <c r="B1636" s="93"/>
    </row>
    <row r="1637" ht="12.75">
      <c r="B1637" s="93"/>
    </row>
    <row r="1638" ht="12.75">
      <c r="B1638" s="93"/>
    </row>
    <row r="1639" ht="12.75">
      <c r="B1639" s="93"/>
    </row>
    <row r="1640" ht="12.75">
      <c r="B1640" s="93"/>
    </row>
    <row r="1641" ht="12.75">
      <c r="B1641" s="93"/>
    </row>
    <row r="1642" ht="12.75">
      <c r="B1642" s="93"/>
    </row>
    <row r="1643" ht="12.75">
      <c r="B1643" s="93"/>
    </row>
    <row r="1644" ht="12.75">
      <c r="B1644" s="93"/>
    </row>
    <row r="1645" ht="12.75">
      <c r="B1645" s="93"/>
    </row>
    <row r="1646" ht="12.75">
      <c r="B1646" s="93"/>
    </row>
    <row r="1647" ht="12.75">
      <c r="B1647" s="93"/>
    </row>
    <row r="1648" ht="12.75">
      <c r="B1648" s="93"/>
    </row>
    <row r="1649" ht="12.75">
      <c r="B1649" s="93"/>
    </row>
    <row r="1650" ht="12.75">
      <c r="B1650" s="93"/>
    </row>
    <row r="1651" ht="12.75">
      <c r="B1651" s="93"/>
    </row>
    <row r="1652" ht="12.75">
      <c r="B1652" s="93"/>
    </row>
    <row r="1653" ht="12.75">
      <c r="B1653" s="93"/>
    </row>
    <row r="1654" ht="12.75">
      <c r="B1654" s="93"/>
    </row>
    <row r="1655" ht="12.75">
      <c r="B1655" s="93"/>
    </row>
    <row r="1656" ht="12.75">
      <c r="B1656" s="93"/>
    </row>
    <row r="1657" ht="12.75">
      <c r="B1657" s="93"/>
    </row>
    <row r="1658" ht="12.75">
      <c r="B1658" s="93"/>
    </row>
    <row r="1659" ht="12.75">
      <c r="B1659" s="93"/>
    </row>
    <row r="1660" ht="12.75">
      <c r="B1660" s="93"/>
    </row>
    <row r="1661" ht="12.75">
      <c r="B1661" s="93"/>
    </row>
    <row r="1662" ht="12.75">
      <c r="B1662" s="93"/>
    </row>
    <row r="1663" ht="12.75">
      <c r="B1663" s="93"/>
    </row>
    <row r="1664" ht="12.75">
      <c r="B1664" s="93"/>
    </row>
    <row r="1665" ht="12.75">
      <c r="B1665" s="93"/>
    </row>
    <row r="1666" ht="12.75">
      <c r="B1666" s="93"/>
    </row>
    <row r="1667" ht="12.75">
      <c r="B1667" s="93"/>
    </row>
    <row r="1668" ht="12.75">
      <c r="B1668" s="93"/>
    </row>
    <row r="1669" ht="12.75">
      <c r="B1669" s="93"/>
    </row>
    <row r="1670" ht="12.75">
      <c r="B1670" s="93"/>
    </row>
    <row r="1671" ht="12.75">
      <c r="B1671" s="93"/>
    </row>
    <row r="1672" ht="12.75">
      <c r="B1672" s="93"/>
    </row>
    <row r="1673" ht="12.75">
      <c r="B1673" s="93"/>
    </row>
    <row r="1674" ht="12.75">
      <c r="B1674" s="93"/>
    </row>
    <row r="1675" ht="12.75">
      <c r="B1675" s="93"/>
    </row>
    <row r="1676" ht="12.75">
      <c r="B1676" s="93"/>
    </row>
    <row r="1677" ht="12.75">
      <c r="B1677" s="93"/>
    </row>
    <row r="1678" ht="12.75">
      <c r="B1678" s="93"/>
    </row>
    <row r="1679" ht="12.75">
      <c r="B1679" s="93"/>
    </row>
    <row r="1680" ht="12.75">
      <c r="B1680" s="93"/>
    </row>
    <row r="1681" ht="12.75">
      <c r="B1681" s="93"/>
    </row>
    <row r="1682" ht="12.75">
      <c r="B1682" s="93"/>
    </row>
    <row r="1683" ht="12.75">
      <c r="B1683" s="93"/>
    </row>
    <row r="1684" ht="12.75">
      <c r="B1684" s="93"/>
    </row>
    <row r="1685" ht="12.75">
      <c r="B1685" s="93"/>
    </row>
    <row r="1686" ht="12.75">
      <c r="B1686" s="93"/>
    </row>
    <row r="1687" ht="12.75">
      <c r="B1687" s="93"/>
    </row>
    <row r="1688" ht="12.75">
      <c r="B1688" s="93"/>
    </row>
    <row r="1689" ht="12.75">
      <c r="B1689" s="93"/>
    </row>
    <row r="1690" ht="12.75">
      <c r="B1690" s="93"/>
    </row>
    <row r="1691" ht="12.75">
      <c r="B1691" s="93"/>
    </row>
    <row r="1692" ht="12.75">
      <c r="B1692" s="93"/>
    </row>
    <row r="1693" ht="12.75">
      <c r="B1693" s="93"/>
    </row>
    <row r="1694" ht="12.75">
      <c r="B1694" s="93"/>
    </row>
    <row r="1695" ht="12.75">
      <c r="B1695" s="93"/>
    </row>
    <row r="1696" ht="12.75">
      <c r="B1696" s="93"/>
    </row>
    <row r="1697" ht="12.75">
      <c r="B1697" s="93"/>
    </row>
    <row r="1698" ht="12.75">
      <c r="B1698" s="93"/>
    </row>
    <row r="1699" ht="12.75">
      <c r="B1699" s="93"/>
    </row>
    <row r="1700" ht="12.75">
      <c r="B1700" s="93"/>
    </row>
    <row r="1701" ht="12.75">
      <c r="B1701" s="93"/>
    </row>
    <row r="1702" ht="12.75">
      <c r="B1702" s="93"/>
    </row>
    <row r="1703" ht="12.75">
      <c r="B1703" s="93"/>
    </row>
    <row r="1704" ht="12.75">
      <c r="B1704" s="93"/>
    </row>
    <row r="1705" ht="12.75">
      <c r="B1705" s="93"/>
    </row>
    <row r="1706" ht="12.75">
      <c r="B1706" s="93"/>
    </row>
    <row r="1707" ht="12.75">
      <c r="B1707" s="93"/>
    </row>
    <row r="1708" ht="12.75">
      <c r="B1708" s="93"/>
    </row>
    <row r="1709" ht="12.75">
      <c r="B1709" s="93"/>
    </row>
    <row r="1710" ht="12.75">
      <c r="B1710" s="93"/>
    </row>
    <row r="1711" ht="12.75">
      <c r="B1711" s="93"/>
    </row>
    <row r="1712" ht="12.75">
      <c r="B1712" s="93"/>
    </row>
    <row r="1713" ht="12.75">
      <c r="B1713" s="93"/>
    </row>
    <row r="1714" ht="12.75">
      <c r="B1714" s="93"/>
    </row>
    <row r="1715" ht="12.75">
      <c r="B1715" s="93"/>
    </row>
    <row r="1716" ht="12.75">
      <c r="B1716" s="93"/>
    </row>
    <row r="1717" ht="12.75">
      <c r="B1717" s="93"/>
    </row>
    <row r="1718" ht="12.75">
      <c r="B1718" s="93"/>
    </row>
    <row r="1719" ht="12.75">
      <c r="B1719" s="93"/>
    </row>
    <row r="1720" ht="12.75">
      <c r="B1720" s="93"/>
    </row>
    <row r="1721" ht="12.75">
      <c r="B1721" s="93"/>
    </row>
    <row r="1722" ht="12.75">
      <c r="B1722" s="93"/>
    </row>
    <row r="1723" ht="12.75">
      <c r="B1723" s="93"/>
    </row>
    <row r="1724" ht="12.75">
      <c r="B1724" s="93"/>
    </row>
    <row r="1725" ht="12.75">
      <c r="B1725" s="93"/>
    </row>
    <row r="1726" ht="12.75">
      <c r="B1726" s="93"/>
    </row>
    <row r="1727" ht="12.75">
      <c r="B1727" s="93"/>
    </row>
    <row r="1728" ht="12.75">
      <c r="B1728" s="93"/>
    </row>
    <row r="1729" ht="12.75">
      <c r="B1729" s="93"/>
    </row>
    <row r="1730" ht="12.75">
      <c r="B1730" s="93"/>
    </row>
    <row r="1731" ht="12.75">
      <c r="B1731" s="93"/>
    </row>
    <row r="1732" ht="12.75">
      <c r="B1732" s="93"/>
    </row>
    <row r="1733" ht="12.75">
      <c r="B1733" s="93"/>
    </row>
    <row r="1734" ht="12.75">
      <c r="B1734" s="93"/>
    </row>
    <row r="1735" ht="12.75">
      <c r="B1735" s="93"/>
    </row>
    <row r="1736" ht="12.75">
      <c r="B1736" s="93"/>
    </row>
    <row r="1737" ht="12.75">
      <c r="B1737" s="93"/>
    </row>
    <row r="1738" ht="12.75">
      <c r="B1738" s="93"/>
    </row>
    <row r="1739" ht="12.75">
      <c r="B1739" s="93"/>
    </row>
    <row r="1740" ht="12.75">
      <c r="B1740" s="93"/>
    </row>
    <row r="1741" ht="12.75">
      <c r="B1741" s="93"/>
    </row>
    <row r="1742" ht="12.75">
      <c r="B1742" s="93"/>
    </row>
    <row r="1743" ht="12.75">
      <c r="B1743" s="93"/>
    </row>
    <row r="1744" ht="12.75">
      <c r="B1744" s="93"/>
    </row>
    <row r="1745" ht="12.75">
      <c r="B1745" s="93"/>
    </row>
    <row r="1746" ht="12.75">
      <c r="B1746" s="93"/>
    </row>
    <row r="1747" ht="12.75">
      <c r="B1747" s="93"/>
    </row>
    <row r="1748" ht="12.75">
      <c r="B1748" s="93"/>
    </row>
    <row r="1749" ht="12.75">
      <c r="B1749" s="93"/>
    </row>
    <row r="1750" ht="12.75">
      <c r="B1750" s="93"/>
    </row>
    <row r="1751" ht="12.75">
      <c r="B1751" s="93"/>
    </row>
    <row r="1752" ht="12.75">
      <c r="B1752" s="93"/>
    </row>
    <row r="1753" ht="12.75">
      <c r="B1753" s="93"/>
    </row>
    <row r="1754" ht="12.75">
      <c r="B1754" s="93"/>
    </row>
    <row r="1755" ht="12.75">
      <c r="B1755" s="93"/>
    </row>
    <row r="1756" ht="12.75">
      <c r="B1756" s="93"/>
    </row>
    <row r="1757" ht="12.75">
      <c r="B1757" s="93"/>
    </row>
    <row r="1758" ht="12.75">
      <c r="B1758" s="93"/>
    </row>
    <row r="1759" ht="12.75">
      <c r="B1759" s="93"/>
    </row>
    <row r="1760" ht="12.75">
      <c r="B1760" s="93"/>
    </row>
    <row r="1761" ht="12.75">
      <c r="B1761" s="93"/>
    </row>
    <row r="1762" ht="12.75">
      <c r="B1762" s="93"/>
    </row>
    <row r="1763" ht="12.75">
      <c r="B1763" s="93"/>
    </row>
    <row r="1764" ht="12.75">
      <c r="B1764" s="93"/>
    </row>
    <row r="1765" ht="12.75">
      <c r="B1765" s="93"/>
    </row>
    <row r="1766" ht="12.75">
      <c r="B1766" s="93"/>
    </row>
    <row r="1767" ht="12.75">
      <c r="B1767" s="93"/>
    </row>
    <row r="1768" ht="12.75">
      <c r="B1768" s="93"/>
    </row>
    <row r="1769" ht="12.75">
      <c r="B1769" s="93"/>
    </row>
    <row r="1770" ht="12.75">
      <c r="B1770" s="93"/>
    </row>
    <row r="1771" ht="12.75">
      <c r="B1771" s="93"/>
    </row>
    <row r="1772" ht="12.75">
      <c r="B1772" s="93"/>
    </row>
    <row r="1773" ht="12.75">
      <c r="B1773" s="93"/>
    </row>
    <row r="1774" ht="12.75">
      <c r="B1774" s="93"/>
    </row>
    <row r="1775" ht="12.75">
      <c r="B1775" s="93"/>
    </row>
    <row r="1776" ht="12.75">
      <c r="B1776" s="93"/>
    </row>
    <row r="1777" ht="12.75">
      <c r="B1777" s="93"/>
    </row>
    <row r="1778" ht="12.75">
      <c r="B1778" s="93"/>
    </row>
    <row r="1779" ht="12.75">
      <c r="B1779" s="93"/>
    </row>
    <row r="1780" ht="12.75">
      <c r="B1780" s="93"/>
    </row>
    <row r="1781" ht="12.75">
      <c r="B1781" s="93"/>
    </row>
    <row r="1782" ht="12.75">
      <c r="B1782" s="93"/>
    </row>
    <row r="1783" ht="12.75">
      <c r="B1783" s="93"/>
    </row>
    <row r="1784" ht="12.75">
      <c r="B1784" s="93"/>
    </row>
    <row r="1785" ht="12.75">
      <c r="B1785" s="93"/>
    </row>
    <row r="1786" ht="12.75">
      <c r="B1786" s="93"/>
    </row>
    <row r="1787" ht="12.75">
      <c r="B1787" s="93"/>
    </row>
    <row r="1788" ht="12.75">
      <c r="B1788" s="93"/>
    </row>
    <row r="1789" ht="12.75">
      <c r="B1789" s="93"/>
    </row>
    <row r="1790" ht="12.75">
      <c r="B1790" s="93"/>
    </row>
    <row r="1791" ht="12.75">
      <c r="B1791" s="93"/>
    </row>
    <row r="1792" ht="12.75">
      <c r="B1792" s="93"/>
    </row>
    <row r="1793" ht="12.75">
      <c r="B1793" s="93"/>
    </row>
    <row r="1794" ht="12.75">
      <c r="B1794" s="93"/>
    </row>
    <row r="1795" ht="12.75">
      <c r="B1795" s="93"/>
    </row>
    <row r="1796" ht="12.75">
      <c r="B1796" s="93"/>
    </row>
    <row r="1797" ht="12.75">
      <c r="B1797" s="93"/>
    </row>
    <row r="1798" ht="12.75">
      <c r="B1798" s="93"/>
    </row>
    <row r="1799" ht="12.75">
      <c r="B1799" s="93"/>
    </row>
    <row r="1800" ht="12.75">
      <c r="B1800" s="93"/>
    </row>
    <row r="1801" ht="12.75">
      <c r="B1801" s="93"/>
    </row>
    <row r="1802" ht="12.75">
      <c r="B1802" s="93"/>
    </row>
    <row r="1803" ht="12.75">
      <c r="B1803" s="93"/>
    </row>
    <row r="1804" ht="12.75">
      <c r="B1804" s="93"/>
    </row>
    <row r="1805" ht="12.75">
      <c r="B1805" s="93"/>
    </row>
    <row r="1806" ht="12.75">
      <c r="B1806" s="93"/>
    </row>
    <row r="1807" ht="12.75">
      <c r="B1807" s="93"/>
    </row>
    <row r="1808" ht="12.75">
      <c r="B1808" s="93"/>
    </row>
    <row r="1809" ht="12.75">
      <c r="B1809" s="93"/>
    </row>
    <row r="1810" ht="12.75">
      <c r="B1810" s="93"/>
    </row>
    <row r="1811" ht="12.75">
      <c r="B1811" s="93"/>
    </row>
    <row r="1812" ht="12.75">
      <c r="B1812" s="93"/>
    </row>
    <row r="1813" ht="12.75">
      <c r="B1813" s="93"/>
    </row>
    <row r="1814" ht="12.75">
      <c r="B1814" s="93"/>
    </row>
    <row r="1815" ht="12.75">
      <c r="B1815" s="93"/>
    </row>
    <row r="1816" ht="12.75">
      <c r="B1816" s="93"/>
    </row>
    <row r="1817" ht="12.75">
      <c r="B1817" s="93"/>
    </row>
    <row r="1818" ht="12.75">
      <c r="B1818" s="93"/>
    </row>
    <row r="1819" ht="12.75">
      <c r="B1819" s="93"/>
    </row>
    <row r="1820" ht="12.75">
      <c r="B1820" s="93"/>
    </row>
    <row r="1821" ht="12.75">
      <c r="B1821" s="93"/>
    </row>
    <row r="1822" ht="12.75">
      <c r="B1822" s="93"/>
    </row>
    <row r="1823" ht="12.75">
      <c r="B1823" s="93"/>
    </row>
    <row r="1824" ht="12.75">
      <c r="B1824" s="93"/>
    </row>
    <row r="1825" ht="12.75">
      <c r="B1825" s="93"/>
    </row>
    <row r="1826" ht="12.75">
      <c r="B1826" s="93"/>
    </row>
    <row r="1827" ht="12.75">
      <c r="B1827" s="93"/>
    </row>
    <row r="1828" ht="12.75">
      <c r="B1828" s="93"/>
    </row>
    <row r="1829" ht="12.75">
      <c r="B1829" s="93"/>
    </row>
    <row r="1830" ht="12.75">
      <c r="B1830" s="93"/>
    </row>
    <row r="1831" ht="12.75">
      <c r="B1831" s="93"/>
    </row>
    <row r="1832" ht="12.75">
      <c r="B1832" s="93"/>
    </row>
    <row r="1833" ht="12.75">
      <c r="B1833" s="93"/>
    </row>
    <row r="1834" ht="12.75">
      <c r="B1834" s="93"/>
    </row>
    <row r="1835" ht="12.75">
      <c r="B1835" s="93"/>
    </row>
    <row r="1836" ht="12.75">
      <c r="B1836" s="93"/>
    </row>
    <row r="1837" ht="12.75">
      <c r="B1837" s="93"/>
    </row>
    <row r="1838" ht="12.75">
      <c r="B1838" s="93"/>
    </row>
    <row r="1839" ht="12.75">
      <c r="B1839" s="93"/>
    </row>
    <row r="1840" ht="12.75">
      <c r="B1840" s="93"/>
    </row>
    <row r="1841" ht="12.75">
      <c r="B1841" s="93"/>
    </row>
    <row r="1842" ht="12.75">
      <c r="B1842" s="93"/>
    </row>
    <row r="1843" ht="12.75">
      <c r="B1843" s="93"/>
    </row>
    <row r="1844" ht="12.75">
      <c r="B1844" s="93"/>
    </row>
    <row r="1845" ht="12.75">
      <c r="B1845" s="93"/>
    </row>
    <row r="1846" ht="12.75">
      <c r="B1846" s="93"/>
    </row>
    <row r="1847" ht="12.75">
      <c r="B1847" s="93"/>
    </row>
    <row r="1848" ht="12.75">
      <c r="B1848" s="93"/>
    </row>
    <row r="1849" ht="12.75">
      <c r="B1849" s="93"/>
    </row>
    <row r="1850" ht="12.75">
      <c r="B1850" s="93"/>
    </row>
    <row r="1851" ht="12.75">
      <c r="B1851" s="93"/>
    </row>
    <row r="1852" ht="12.75">
      <c r="B1852" s="93"/>
    </row>
    <row r="1853" ht="12.75">
      <c r="B1853" s="93"/>
    </row>
    <row r="1854" ht="12.75">
      <c r="B1854" s="93"/>
    </row>
    <row r="1855" ht="12.75">
      <c r="B1855" s="93"/>
    </row>
    <row r="1856" ht="12.75">
      <c r="B1856" s="93"/>
    </row>
    <row r="1857" ht="12.75">
      <c r="B1857" s="93"/>
    </row>
    <row r="1858" ht="12.75">
      <c r="B1858" s="93"/>
    </row>
    <row r="1859" ht="12.75">
      <c r="B1859" s="93"/>
    </row>
    <row r="1860" ht="12.75">
      <c r="B1860" s="93"/>
    </row>
    <row r="1861" ht="12.75">
      <c r="B1861" s="93"/>
    </row>
    <row r="1862" ht="12.75">
      <c r="B1862" s="93"/>
    </row>
    <row r="1863" ht="12.75">
      <c r="B1863" s="93"/>
    </row>
    <row r="1864" ht="12.75">
      <c r="B1864" s="93"/>
    </row>
    <row r="1865" ht="12.75">
      <c r="B1865" s="93"/>
    </row>
    <row r="1866" ht="12.75">
      <c r="B1866" s="93"/>
    </row>
    <row r="1867" ht="12.75">
      <c r="B1867" s="93"/>
    </row>
    <row r="1868" ht="12.75">
      <c r="B1868" s="93"/>
    </row>
    <row r="1869" ht="12.75">
      <c r="B1869" s="93"/>
    </row>
    <row r="1870" ht="12.75">
      <c r="B1870" s="93"/>
    </row>
    <row r="1871" ht="12.75">
      <c r="B1871" s="93"/>
    </row>
    <row r="1872" ht="12.75">
      <c r="B1872" s="93"/>
    </row>
    <row r="1873" ht="12.75">
      <c r="B1873" s="93"/>
    </row>
    <row r="1874" ht="12.75">
      <c r="B1874" s="93"/>
    </row>
    <row r="1875" ht="12.75">
      <c r="B1875" s="93"/>
    </row>
    <row r="1876" ht="12.75">
      <c r="B1876" s="93"/>
    </row>
    <row r="1877" ht="12.75">
      <c r="B1877" s="93"/>
    </row>
    <row r="1878" ht="12.75">
      <c r="B1878" s="93"/>
    </row>
    <row r="1879" ht="12.75">
      <c r="B1879" s="93"/>
    </row>
    <row r="1880" ht="12.75">
      <c r="B1880" s="93"/>
    </row>
    <row r="1881" ht="12.75">
      <c r="B1881" s="93"/>
    </row>
    <row r="1882" ht="12.75">
      <c r="B1882" s="93"/>
    </row>
    <row r="1883" ht="12.75">
      <c r="B1883" s="93"/>
    </row>
    <row r="1884" ht="12.75">
      <c r="B1884" s="93"/>
    </row>
    <row r="1885" ht="12.75">
      <c r="B1885" s="93"/>
    </row>
    <row r="1886" ht="12.75">
      <c r="B1886" s="93"/>
    </row>
    <row r="1887" ht="12.75">
      <c r="B1887" s="93"/>
    </row>
    <row r="1888" ht="12.75">
      <c r="B1888" s="93"/>
    </row>
    <row r="1889" ht="12.75">
      <c r="B1889" s="93"/>
    </row>
    <row r="1890" ht="12.75">
      <c r="B1890" s="93"/>
    </row>
    <row r="1891" ht="12.75">
      <c r="B1891" s="93"/>
    </row>
    <row r="1892" ht="12.75">
      <c r="B1892" s="93"/>
    </row>
    <row r="1893" ht="12.75">
      <c r="B1893" s="93"/>
    </row>
    <row r="1894" ht="12.75">
      <c r="B1894" s="93"/>
    </row>
    <row r="1895" ht="12.75">
      <c r="B1895" s="93"/>
    </row>
    <row r="1896" ht="12.75">
      <c r="B1896" s="93"/>
    </row>
    <row r="1897" ht="12.75">
      <c r="B1897" s="93"/>
    </row>
    <row r="1898" ht="12.75">
      <c r="B1898" s="93"/>
    </row>
    <row r="1899" ht="12.75">
      <c r="B1899" s="93"/>
    </row>
    <row r="1900" ht="12.75">
      <c r="B1900" s="93"/>
    </row>
    <row r="1901" ht="12.75">
      <c r="B1901" s="93"/>
    </row>
    <row r="1902" ht="12.75">
      <c r="B1902" s="93"/>
    </row>
    <row r="1903" ht="12.75">
      <c r="B1903" s="93"/>
    </row>
    <row r="1904" ht="12.75">
      <c r="B1904" s="93"/>
    </row>
    <row r="1905" ht="12.75">
      <c r="B1905" s="93"/>
    </row>
    <row r="1906" ht="12.75">
      <c r="B1906" s="93"/>
    </row>
    <row r="1907" ht="12.75">
      <c r="B1907" s="93"/>
    </row>
    <row r="1908" ht="12.75">
      <c r="B1908" s="93"/>
    </row>
    <row r="1909" ht="12.75">
      <c r="B1909" s="93"/>
    </row>
    <row r="1910" ht="12.75">
      <c r="B1910" s="93"/>
    </row>
    <row r="1911" ht="12.75">
      <c r="B1911" s="93"/>
    </row>
    <row r="1912" ht="12.75">
      <c r="B1912" s="93"/>
    </row>
    <row r="1913" ht="12.75">
      <c r="B1913" s="93"/>
    </row>
    <row r="1914" ht="12.75">
      <c r="B1914" s="93"/>
    </row>
    <row r="1915" ht="12.75">
      <c r="B1915" s="93"/>
    </row>
    <row r="1916" ht="12.75">
      <c r="B1916" s="93"/>
    </row>
    <row r="1917" ht="12.75">
      <c r="B1917" s="93"/>
    </row>
    <row r="1918" ht="12.75">
      <c r="B1918" s="93"/>
    </row>
    <row r="1919" ht="12.75">
      <c r="B1919" s="93"/>
    </row>
    <row r="1920" ht="12.75">
      <c r="B1920" s="93"/>
    </row>
    <row r="1921" ht="12.75">
      <c r="B1921" s="93"/>
    </row>
    <row r="1922" ht="12.75">
      <c r="B1922" s="93"/>
    </row>
    <row r="1923" ht="12.75">
      <c r="B1923" s="93"/>
    </row>
    <row r="1924" ht="12.75">
      <c r="B1924" s="93"/>
    </row>
    <row r="1925" ht="12.75">
      <c r="B1925" s="93"/>
    </row>
    <row r="1926" ht="12.75">
      <c r="B1926" s="93"/>
    </row>
    <row r="1927" ht="12.75">
      <c r="B1927" s="93"/>
    </row>
    <row r="1928" ht="12.75">
      <c r="B1928" s="93"/>
    </row>
    <row r="1929" ht="12.75">
      <c r="B1929" s="93"/>
    </row>
    <row r="1930" ht="12.75">
      <c r="B1930" s="93"/>
    </row>
    <row r="1931" ht="12.75">
      <c r="B1931" s="93"/>
    </row>
    <row r="1932" ht="12.75">
      <c r="B1932" s="93"/>
    </row>
    <row r="1933" ht="12.75">
      <c r="B1933" s="93"/>
    </row>
    <row r="1934" ht="12.75">
      <c r="B1934" s="93"/>
    </row>
    <row r="1935" ht="12.75">
      <c r="B1935" s="93"/>
    </row>
    <row r="1936" ht="12.75">
      <c r="B1936" s="93"/>
    </row>
    <row r="1937" ht="12.75">
      <c r="B1937" s="93"/>
    </row>
    <row r="1938" ht="12.75">
      <c r="B1938" s="93"/>
    </row>
    <row r="1939" ht="12.75">
      <c r="B1939" s="93"/>
    </row>
    <row r="1940" ht="12.75">
      <c r="B1940" s="93"/>
    </row>
    <row r="1941" ht="12.75">
      <c r="B1941" s="93"/>
    </row>
    <row r="1942" ht="12.75">
      <c r="B1942" s="93"/>
    </row>
    <row r="1943" ht="12.75">
      <c r="B1943" s="93"/>
    </row>
    <row r="1944" ht="12.75">
      <c r="B1944" s="93"/>
    </row>
    <row r="1945" ht="12.75">
      <c r="B1945" s="93"/>
    </row>
    <row r="1946" ht="12.75">
      <c r="B1946" s="93"/>
    </row>
    <row r="1947" ht="12.75">
      <c r="B1947" s="93"/>
    </row>
    <row r="1948" ht="12.75">
      <c r="B1948" s="93"/>
    </row>
    <row r="1949" ht="12.75">
      <c r="B1949" s="93"/>
    </row>
    <row r="1950" ht="12.75">
      <c r="B1950" s="93"/>
    </row>
    <row r="1951" ht="12.75">
      <c r="B1951" s="93"/>
    </row>
    <row r="1952" ht="12.75">
      <c r="B1952" s="93"/>
    </row>
    <row r="1953" ht="12.75">
      <c r="B1953" s="93"/>
    </row>
    <row r="1954" ht="12.75">
      <c r="B1954" s="93"/>
    </row>
    <row r="1955" ht="12.75">
      <c r="B1955" s="93"/>
    </row>
    <row r="1956" ht="12.75">
      <c r="B1956" s="93"/>
    </row>
    <row r="1957" ht="12.75">
      <c r="B1957" s="93"/>
    </row>
    <row r="1958" ht="12.75">
      <c r="B1958" s="93"/>
    </row>
    <row r="1959" ht="12.75">
      <c r="B1959" s="93"/>
    </row>
    <row r="1960" ht="12.75">
      <c r="B1960" s="93"/>
    </row>
    <row r="1961" ht="12.75">
      <c r="B1961" s="93"/>
    </row>
    <row r="1962" ht="12.75">
      <c r="B1962" s="93"/>
    </row>
    <row r="1963" ht="12.75">
      <c r="B1963" s="93"/>
    </row>
    <row r="1964" ht="12.75">
      <c r="B1964" s="93"/>
    </row>
    <row r="1965" ht="12.75">
      <c r="B1965" s="93"/>
    </row>
    <row r="1966" ht="12.75">
      <c r="B1966" s="93"/>
    </row>
    <row r="1967" ht="12.75">
      <c r="B1967" s="93"/>
    </row>
    <row r="1968" ht="12.75">
      <c r="B1968" s="93"/>
    </row>
    <row r="1969" ht="12.75">
      <c r="B1969" s="93"/>
    </row>
    <row r="1970" ht="12.75">
      <c r="B1970" s="93"/>
    </row>
    <row r="1971" ht="12.75">
      <c r="B1971" s="93"/>
    </row>
    <row r="1972" ht="12.75">
      <c r="B1972" s="93"/>
    </row>
    <row r="1973" ht="12.75">
      <c r="B1973" s="93"/>
    </row>
    <row r="1974" ht="12.75">
      <c r="B1974" s="93"/>
    </row>
    <row r="1975" ht="12.75">
      <c r="B1975" s="93"/>
    </row>
    <row r="1976" ht="12.75">
      <c r="B1976" s="93"/>
    </row>
    <row r="1977" ht="12.75">
      <c r="B1977" s="93"/>
    </row>
    <row r="1978" ht="12.75">
      <c r="B1978" s="93"/>
    </row>
    <row r="1979" ht="12.75">
      <c r="B1979" s="93"/>
    </row>
    <row r="1980" ht="12.75">
      <c r="B1980" s="93"/>
    </row>
    <row r="1981" ht="12.75">
      <c r="B1981" s="93"/>
    </row>
    <row r="1982" ht="12.75">
      <c r="B1982" s="93"/>
    </row>
    <row r="1983" ht="12.75">
      <c r="B1983" s="93"/>
    </row>
    <row r="1984" ht="12.75">
      <c r="B1984" s="93"/>
    </row>
    <row r="1985" ht="12.75">
      <c r="B1985" s="93"/>
    </row>
    <row r="1986" ht="12.75">
      <c r="B1986" s="93"/>
    </row>
    <row r="1987" ht="12.75">
      <c r="B1987" s="93"/>
    </row>
    <row r="1988" ht="12.75">
      <c r="B1988" s="93"/>
    </row>
    <row r="1989" ht="12.75">
      <c r="B1989" s="93"/>
    </row>
    <row r="1990" ht="12.75">
      <c r="B1990" s="93"/>
    </row>
    <row r="1991" ht="12.75">
      <c r="B1991" s="93"/>
    </row>
    <row r="1992" ht="12.75">
      <c r="B1992" s="93"/>
    </row>
    <row r="1993" ht="12.75">
      <c r="B1993" s="93"/>
    </row>
    <row r="1994" ht="12.75">
      <c r="B1994" s="93"/>
    </row>
    <row r="1995" ht="12.75">
      <c r="B1995" s="93"/>
    </row>
    <row r="1996" ht="12.75">
      <c r="B1996" s="93"/>
    </row>
    <row r="1997" ht="12.75">
      <c r="B1997" s="93"/>
    </row>
    <row r="1998" ht="12.75">
      <c r="B1998" s="93"/>
    </row>
    <row r="1999" ht="12.75">
      <c r="B1999" s="93"/>
    </row>
    <row r="2000" ht="12.75">
      <c r="B2000" s="93"/>
    </row>
    <row r="2001" ht="12.75">
      <c r="B2001" s="93"/>
    </row>
    <row r="2002" ht="12.75">
      <c r="B2002" s="93"/>
    </row>
    <row r="2003" ht="12.75">
      <c r="B2003" s="93"/>
    </row>
    <row r="2004" ht="12.75">
      <c r="B2004" s="93"/>
    </row>
    <row r="2005" ht="12.75">
      <c r="B2005" s="93"/>
    </row>
    <row r="2006" ht="12.75">
      <c r="B2006" s="93"/>
    </row>
    <row r="2007" ht="12.75">
      <c r="B2007" s="93"/>
    </row>
    <row r="2008" ht="12.75">
      <c r="B2008" s="93"/>
    </row>
    <row r="2009" ht="12.75">
      <c r="B2009" s="93"/>
    </row>
    <row r="2010" ht="12.75">
      <c r="B2010" s="93"/>
    </row>
    <row r="2011" ht="12.75">
      <c r="B2011" s="93"/>
    </row>
    <row r="2012" ht="12.75">
      <c r="B2012" s="93"/>
    </row>
    <row r="2013" ht="12.75">
      <c r="B2013" s="93"/>
    </row>
    <row r="2014" ht="12.75">
      <c r="B2014" s="93"/>
    </row>
    <row r="2015" ht="12.75">
      <c r="B2015" s="93"/>
    </row>
    <row r="2016" ht="12.75">
      <c r="B2016" s="93"/>
    </row>
    <row r="2017" ht="12.75">
      <c r="B2017" s="93"/>
    </row>
    <row r="2018" ht="12.75">
      <c r="B2018" s="93"/>
    </row>
    <row r="2019" ht="12.75">
      <c r="B2019" s="93"/>
    </row>
    <row r="2020" ht="12.75">
      <c r="B2020" s="93"/>
    </row>
    <row r="2021" ht="12.75">
      <c r="B2021" s="93"/>
    </row>
    <row r="2022" ht="12.75">
      <c r="B2022" s="93"/>
    </row>
    <row r="2023" ht="12.75">
      <c r="B2023" s="93"/>
    </row>
    <row r="2024" ht="12.75">
      <c r="B2024" s="93"/>
    </row>
    <row r="2025" ht="12.75">
      <c r="B2025" s="93"/>
    </row>
    <row r="2026" ht="12.75">
      <c r="B2026" s="93"/>
    </row>
    <row r="2027" ht="12.75">
      <c r="B2027" s="93"/>
    </row>
    <row r="2028" ht="12.75">
      <c r="B2028" s="93"/>
    </row>
    <row r="2029" ht="12.75">
      <c r="B2029" s="93"/>
    </row>
    <row r="2030" ht="12.75">
      <c r="B2030" s="93"/>
    </row>
    <row r="2031" ht="12.75">
      <c r="B2031" s="93"/>
    </row>
    <row r="2032" ht="12.75">
      <c r="B2032" s="93"/>
    </row>
    <row r="2033" ht="12.75">
      <c r="B2033" s="93"/>
    </row>
    <row r="2034" ht="12.75">
      <c r="B2034" s="93"/>
    </row>
    <row r="2035" ht="12.75">
      <c r="B2035" s="93"/>
    </row>
    <row r="2036" ht="12.75">
      <c r="B2036" s="93"/>
    </row>
    <row r="2037" ht="12.75">
      <c r="B2037" s="93"/>
    </row>
    <row r="2038" ht="12.75">
      <c r="B2038" s="93"/>
    </row>
    <row r="2039" ht="12.75">
      <c r="B2039" s="93"/>
    </row>
    <row r="2040" ht="12.75">
      <c r="B2040" s="93"/>
    </row>
    <row r="2041" ht="12.75">
      <c r="B2041" s="93"/>
    </row>
    <row r="2042" ht="12.75">
      <c r="B2042" s="93"/>
    </row>
    <row r="2043" ht="12.75">
      <c r="B2043" s="93"/>
    </row>
    <row r="2044" ht="12.75">
      <c r="B2044" s="93"/>
    </row>
    <row r="2045" ht="12.75">
      <c r="B2045" s="93"/>
    </row>
    <row r="2046" ht="12.75">
      <c r="B2046" s="93"/>
    </row>
    <row r="2047" ht="12.75">
      <c r="B2047" s="93"/>
    </row>
    <row r="2048" ht="12.75">
      <c r="B2048" s="93"/>
    </row>
    <row r="2049" ht="12.75">
      <c r="B2049" s="93"/>
    </row>
    <row r="2050" ht="12.75">
      <c r="B2050" s="93"/>
    </row>
    <row r="2051" ht="12.75">
      <c r="B2051" s="93"/>
    </row>
    <row r="2052" ht="12.75">
      <c r="B2052" s="93"/>
    </row>
    <row r="2053" ht="12.75">
      <c r="B2053" s="93"/>
    </row>
    <row r="2054" ht="12.75">
      <c r="B2054" s="93"/>
    </row>
    <row r="2055" ht="12.75">
      <c r="B2055" s="93"/>
    </row>
    <row r="2056" ht="12.75">
      <c r="B2056" s="93"/>
    </row>
    <row r="2057" ht="12.75">
      <c r="B2057" s="93"/>
    </row>
    <row r="2058" ht="12.75">
      <c r="B2058" s="93"/>
    </row>
    <row r="2059" ht="12.75">
      <c r="B2059" s="93"/>
    </row>
    <row r="2060" ht="12.75">
      <c r="B2060" s="93"/>
    </row>
    <row r="2061" ht="12.75">
      <c r="B2061" s="93"/>
    </row>
    <row r="2062" ht="12.75">
      <c r="B2062" s="93"/>
    </row>
    <row r="2063" ht="12.75">
      <c r="B2063" s="93"/>
    </row>
    <row r="2064" ht="12.75">
      <c r="B2064" s="93"/>
    </row>
    <row r="2065" ht="12.75">
      <c r="B2065" s="93"/>
    </row>
    <row r="2066" ht="12.75">
      <c r="B2066" s="93"/>
    </row>
    <row r="2067" ht="12.75">
      <c r="B2067" s="93"/>
    </row>
    <row r="2068" ht="12.75">
      <c r="B2068" s="93"/>
    </row>
    <row r="2069" ht="12.75">
      <c r="B2069" s="93"/>
    </row>
    <row r="2070" ht="12.75">
      <c r="B2070" s="93"/>
    </row>
    <row r="2071" ht="12.75">
      <c r="B2071" s="93"/>
    </row>
    <row r="2072" ht="12.75">
      <c r="B2072" s="93"/>
    </row>
    <row r="2073" ht="12.75">
      <c r="B2073" s="93"/>
    </row>
    <row r="2074" ht="12.75">
      <c r="B2074" s="93"/>
    </row>
    <row r="2075" ht="12.75">
      <c r="B2075" s="93"/>
    </row>
    <row r="2076" ht="12.75">
      <c r="B2076" s="93"/>
    </row>
    <row r="2077" ht="12.75">
      <c r="B2077" s="93"/>
    </row>
    <row r="2078" ht="12.75">
      <c r="B2078" s="93"/>
    </row>
    <row r="2079" ht="12.75">
      <c r="B2079" s="93"/>
    </row>
    <row r="2080" ht="12.75">
      <c r="B2080" s="93"/>
    </row>
    <row r="2081" ht="12.75">
      <c r="B2081" s="93"/>
    </row>
    <row r="2082" ht="12.75">
      <c r="B2082" s="93"/>
    </row>
    <row r="2083" ht="12.75">
      <c r="B2083" s="93"/>
    </row>
    <row r="2084" ht="12.75">
      <c r="B2084" s="93"/>
    </row>
    <row r="2085" ht="12.75">
      <c r="B2085" s="93"/>
    </row>
    <row r="2086" ht="12.75">
      <c r="B2086" s="93"/>
    </row>
    <row r="2087" ht="12.75">
      <c r="B2087" s="93"/>
    </row>
    <row r="2088" ht="12.75">
      <c r="B2088" s="93"/>
    </row>
    <row r="2089" ht="12.75">
      <c r="B2089" s="93"/>
    </row>
    <row r="2090" ht="12.75">
      <c r="B2090" s="93"/>
    </row>
    <row r="2091" ht="12.75">
      <c r="B2091" s="93"/>
    </row>
    <row r="2092" ht="12.75">
      <c r="B2092" s="93"/>
    </row>
    <row r="2093" ht="12.75">
      <c r="B2093" s="93"/>
    </row>
    <row r="2094" ht="12.75">
      <c r="B2094" s="93"/>
    </row>
    <row r="2095" ht="12.75">
      <c r="B2095" s="93"/>
    </row>
    <row r="2096" ht="12.75">
      <c r="B2096" s="93"/>
    </row>
    <row r="2097" ht="12.75">
      <c r="B2097" s="93"/>
    </row>
    <row r="2098" ht="12.75">
      <c r="B2098" s="93"/>
    </row>
    <row r="2099" ht="12.75">
      <c r="B2099" s="93"/>
    </row>
    <row r="2100" ht="12.75">
      <c r="B2100" s="93"/>
    </row>
    <row r="2101" ht="12.75">
      <c r="B2101" s="93"/>
    </row>
    <row r="2102" ht="12.75">
      <c r="B2102" s="93"/>
    </row>
    <row r="2103" ht="12.75">
      <c r="B2103" s="93"/>
    </row>
    <row r="2104" ht="12.75">
      <c r="B2104" s="93"/>
    </row>
    <row r="2105" ht="12.75">
      <c r="B2105" s="93"/>
    </row>
    <row r="2106" ht="12.75">
      <c r="B2106" s="93"/>
    </row>
    <row r="2107" ht="12.75">
      <c r="B2107" s="93"/>
    </row>
    <row r="2108" ht="12.75">
      <c r="B2108" s="93"/>
    </row>
    <row r="2109" ht="12.75">
      <c r="B2109" s="93"/>
    </row>
    <row r="2110" ht="12.75">
      <c r="B2110" s="93"/>
    </row>
    <row r="2111" ht="12.75">
      <c r="B2111" s="93"/>
    </row>
    <row r="2112" ht="12.75">
      <c r="B2112" s="93"/>
    </row>
    <row r="2113" ht="12.75">
      <c r="B2113" s="93"/>
    </row>
    <row r="2114" ht="12.75">
      <c r="B2114" s="93"/>
    </row>
    <row r="2115" ht="12.75">
      <c r="B2115" s="93"/>
    </row>
    <row r="2116" ht="12.75">
      <c r="B2116" s="93"/>
    </row>
    <row r="2117" ht="12.75">
      <c r="B2117" s="93"/>
    </row>
    <row r="2118" ht="12.75">
      <c r="B2118" s="93"/>
    </row>
    <row r="2119" ht="12.75">
      <c r="B2119" s="93"/>
    </row>
    <row r="2120" ht="12.75">
      <c r="B2120" s="93"/>
    </row>
    <row r="2121" ht="12.75">
      <c r="B2121" s="93"/>
    </row>
    <row r="2122" ht="12.75">
      <c r="B2122" s="93"/>
    </row>
    <row r="2123" ht="12.75">
      <c r="B2123" s="93"/>
    </row>
    <row r="2124" ht="12.75">
      <c r="B2124" s="93"/>
    </row>
    <row r="2125" ht="12.75">
      <c r="B2125" s="93"/>
    </row>
    <row r="2126" ht="12.75">
      <c r="B2126" s="93"/>
    </row>
    <row r="2127" ht="12.75">
      <c r="B2127" s="93"/>
    </row>
    <row r="2128" ht="12.75">
      <c r="B2128" s="93"/>
    </row>
    <row r="2129" ht="12.75">
      <c r="B2129" s="93"/>
    </row>
    <row r="2130" ht="12.75">
      <c r="B2130" s="93"/>
    </row>
    <row r="2131" ht="12.75">
      <c r="B2131" s="93"/>
    </row>
    <row r="2132" ht="12.75">
      <c r="B2132" s="93"/>
    </row>
    <row r="2133" ht="12.75">
      <c r="B2133" s="93"/>
    </row>
    <row r="2134" ht="12.75">
      <c r="B2134" s="93"/>
    </row>
    <row r="2135" ht="12.75">
      <c r="B2135" s="93"/>
    </row>
    <row r="2136" ht="12.75">
      <c r="B2136" s="93"/>
    </row>
    <row r="2137" ht="12.75">
      <c r="B2137" s="93"/>
    </row>
    <row r="2138" ht="12.75">
      <c r="B2138" s="93"/>
    </row>
    <row r="2139" ht="12.75">
      <c r="B2139" s="93"/>
    </row>
    <row r="2140" ht="12.75">
      <c r="B2140" s="93"/>
    </row>
    <row r="2141" ht="12.75">
      <c r="B2141" s="93"/>
    </row>
    <row r="2142" ht="12.75">
      <c r="B2142" s="93"/>
    </row>
    <row r="2143" ht="12.75">
      <c r="B2143" s="93"/>
    </row>
    <row r="2144" ht="12.75">
      <c r="B2144" s="93"/>
    </row>
    <row r="2145" ht="12.75">
      <c r="B2145" s="93"/>
    </row>
    <row r="2146" ht="12.75">
      <c r="B2146" s="93"/>
    </row>
    <row r="2147" ht="12.75">
      <c r="B2147" s="93"/>
    </row>
    <row r="2148" ht="12.75">
      <c r="B2148" s="93"/>
    </row>
    <row r="2149" ht="12.75">
      <c r="B2149" s="93"/>
    </row>
    <row r="2150" ht="12.75">
      <c r="B2150" s="93"/>
    </row>
    <row r="2151" ht="12.75">
      <c r="B2151" s="93"/>
    </row>
    <row r="2152" ht="12.75">
      <c r="B2152" s="93"/>
    </row>
    <row r="2153" ht="12.75">
      <c r="B2153" s="93"/>
    </row>
    <row r="2154" ht="12.75">
      <c r="B2154" s="93"/>
    </row>
    <row r="2155" ht="12.75">
      <c r="B2155" s="93"/>
    </row>
    <row r="2156" ht="12.75">
      <c r="B2156" s="93"/>
    </row>
    <row r="2157" ht="12.75">
      <c r="B2157" s="93"/>
    </row>
    <row r="2158" ht="12.75">
      <c r="B2158" s="93"/>
    </row>
    <row r="2159" ht="12.75">
      <c r="B2159" s="93"/>
    </row>
    <row r="2160" ht="12.75">
      <c r="B2160" s="93"/>
    </row>
    <row r="2161" ht="12.75">
      <c r="B2161" s="93"/>
    </row>
    <row r="2162" ht="12.75">
      <c r="B2162" s="93"/>
    </row>
    <row r="2163" ht="12.75">
      <c r="B2163" s="93"/>
    </row>
    <row r="2164" ht="12.75">
      <c r="B2164" s="93"/>
    </row>
    <row r="2165" ht="12.75">
      <c r="B2165" s="93"/>
    </row>
    <row r="2166" ht="12.75">
      <c r="B2166" s="93"/>
    </row>
    <row r="2167" ht="12.75">
      <c r="B2167" s="93"/>
    </row>
    <row r="2168" ht="12.75">
      <c r="B2168" s="93"/>
    </row>
    <row r="2169" ht="12.75">
      <c r="B2169" s="93"/>
    </row>
    <row r="2170" ht="12.75">
      <c r="B2170" s="93"/>
    </row>
    <row r="2171" ht="12.75">
      <c r="B2171" s="93"/>
    </row>
    <row r="2172" ht="12.75">
      <c r="B2172" s="93"/>
    </row>
    <row r="2173" ht="12.75">
      <c r="B2173" s="93"/>
    </row>
    <row r="2174" ht="12.75">
      <c r="B2174" s="93"/>
    </row>
    <row r="2175" ht="12.75">
      <c r="B2175" s="93"/>
    </row>
    <row r="2176" ht="12.75">
      <c r="B2176" s="93"/>
    </row>
    <row r="2177" ht="12.75">
      <c r="B2177" s="93"/>
    </row>
    <row r="2178" ht="12.75">
      <c r="B2178" s="93"/>
    </row>
    <row r="2179" ht="12.75">
      <c r="B2179" s="93"/>
    </row>
    <row r="2180" ht="12.75">
      <c r="B2180" s="93"/>
    </row>
    <row r="2181" ht="12.75">
      <c r="B2181" s="93"/>
    </row>
    <row r="2182" ht="12.75">
      <c r="B2182" s="93"/>
    </row>
    <row r="2183" ht="12.75">
      <c r="B2183" s="93"/>
    </row>
    <row r="2184" ht="12.75">
      <c r="B2184" s="93"/>
    </row>
    <row r="2185" ht="12.75">
      <c r="B2185" s="93"/>
    </row>
    <row r="2186" ht="12.75">
      <c r="B2186" s="93"/>
    </row>
    <row r="2187" ht="12.75">
      <c r="B2187" s="93"/>
    </row>
    <row r="2188" ht="12.75">
      <c r="B2188" s="93"/>
    </row>
    <row r="2189" ht="12.75">
      <c r="B2189" s="93"/>
    </row>
    <row r="2190" ht="12.75">
      <c r="B2190" s="93"/>
    </row>
    <row r="2191" ht="12.75">
      <c r="B2191" s="93"/>
    </row>
    <row r="2192" ht="12.75">
      <c r="B2192" s="93"/>
    </row>
    <row r="2193" ht="12.75">
      <c r="B2193" s="93"/>
    </row>
    <row r="2194" ht="12.75">
      <c r="B2194" s="93"/>
    </row>
    <row r="2195" ht="12.75">
      <c r="B2195" s="93"/>
    </row>
    <row r="2196" ht="12.75">
      <c r="B2196" s="93"/>
    </row>
    <row r="2197" ht="12.75">
      <c r="B2197" s="93"/>
    </row>
    <row r="2198" ht="12.75">
      <c r="B2198" s="93"/>
    </row>
    <row r="2199" ht="12.75">
      <c r="B2199" s="93"/>
    </row>
    <row r="2200" ht="12.75">
      <c r="B2200" s="93"/>
    </row>
    <row r="2201" ht="12.75">
      <c r="B2201" s="93"/>
    </row>
    <row r="2202" ht="12.75">
      <c r="B2202" s="93"/>
    </row>
    <row r="2203" ht="12.75">
      <c r="B2203" s="93"/>
    </row>
    <row r="2204" ht="12.75">
      <c r="B2204" s="93"/>
    </row>
    <row r="2205" ht="12.75">
      <c r="B2205" s="93"/>
    </row>
    <row r="2206" ht="12.75">
      <c r="B2206" s="93"/>
    </row>
    <row r="2207" ht="12.75">
      <c r="B2207" s="93"/>
    </row>
    <row r="2208" ht="12.75">
      <c r="B2208" s="93"/>
    </row>
    <row r="2209" ht="12.75">
      <c r="B2209" s="93"/>
    </row>
    <row r="2210" ht="12.75">
      <c r="B2210" s="93"/>
    </row>
    <row r="2211" ht="12.75">
      <c r="B2211" s="93"/>
    </row>
    <row r="2212" ht="12.75">
      <c r="B2212" s="93"/>
    </row>
    <row r="2213" ht="12.75">
      <c r="B2213" s="93"/>
    </row>
    <row r="2214" ht="12.75">
      <c r="B2214" s="93"/>
    </row>
    <row r="2215" ht="12.75">
      <c r="B2215" s="93"/>
    </row>
    <row r="2216" ht="12.75">
      <c r="B2216" s="93"/>
    </row>
    <row r="2217" ht="12.75">
      <c r="B2217" s="93"/>
    </row>
    <row r="2218" ht="12.75">
      <c r="B2218" s="93"/>
    </row>
    <row r="2219" ht="12.75">
      <c r="B2219" s="93"/>
    </row>
    <row r="2220" ht="12.75">
      <c r="B2220" s="93"/>
    </row>
    <row r="2221" ht="12.75">
      <c r="B2221" s="93"/>
    </row>
    <row r="2222" ht="12.75">
      <c r="B2222" s="93"/>
    </row>
    <row r="2223" ht="12.75">
      <c r="B2223" s="93"/>
    </row>
    <row r="2224" ht="12.75">
      <c r="B2224" s="93"/>
    </row>
    <row r="2225" ht="12.75">
      <c r="B2225" s="93"/>
    </row>
    <row r="2226" ht="12.75">
      <c r="B2226" s="93"/>
    </row>
    <row r="2227" ht="12.75">
      <c r="B2227" s="93"/>
    </row>
    <row r="2228" ht="12.75">
      <c r="B2228" s="93"/>
    </row>
    <row r="2229" ht="12.75">
      <c r="B2229" s="93"/>
    </row>
    <row r="2230" ht="12.75">
      <c r="B2230" s="93"/>
    </row>
    <row r="2231" ht="12.75">
      <c r="B2231" s="93"/>
    </row>
    <row r="2232" ht="12.75">
      <c r="B2232" s="93"/>
    </row>
    <row r="2233" ht="12.75">
      <c r="B2233" s="93"/>
    </row>
    <row r="2234" ht="12.75">
      <c r="B2234" s="93"/>
    </row>
    <row r="2235" ht="12.75">
      <c r="B2235" s="93"/>
    </row>
    <row r="2236" ht="12.75">
      <c r="B2236" s="93"/>
    </row>
    <row r="2237" ht="12.75">
      <c r="B2237" s="93"/>
    </row>
    <row r="2238" ht="12.75">
      <c r="B2238" s="93"/>
    </row>
    <row r="2239" ht="12.75">
      <c r="B2239" s="93"/>
    </row>
    <row r="2240" ht="12.75">
      <c r="B2240" s="93"/>
    </row>
    <row r="2241" ht="12.75">
      <c r="B2241" s="93"/>
    </row>
    <row r="2242" ht="12.75">
      <c r="B2242" s="93"/>
    </row>
    <row r="2243" ht="12.75">
      <c r="B2243" s="93"/>
    </row>
    <row r="2244" ht="12.75">
      <c r="B2244" s="93"/>
    </row>
    <row r="2245" ht="12.75">
      <c r="B2245" s="93"/>
    </row>
    <row r="2246" ht="12.75">
      <c r="B2246" s="93"/>
    </row>
    <row r="2247" ht="12.75">
      <c r="B2247" s="93"/>
    </row>
    <row r="2248" ht="12.75">
      <c r="B2248" s="93"/>
    </row>
    <row r="2249" ht="12.75">
      <c r="B2249" s="93"/>
    </row>
    <row r="2250" ht="12.75">
      <c r="B2250" s="93"/>
    </row>
    <row r="2251" ht="12.75">
      <c r="B2251" s="93"/>
    </row>
    <row r="2252" ht="12.75">
      <c r="B2252" s="93"/>
    </row>
    <row r="2253" ht="12.75">
      <c r="B2253" s="93"/>
    </row>
    <row r="2254" ht="12.75">
      <c r="B2254" s="93"/>
    </row>
    <row r="2255" ht="12.75">
      <c r="B2255" s="93"/>
    </row>
    <row r="2256" ht="12.75">
      <c r="B2256" s="93"/>
    </row>
    <row r="2257" ht="12.75">
      <c r="B2257" s="93"/>
    </row>
    <row r="2258" ht="12.75">
      <c r="B2258" s="93"/>
    </row>
    <row r="2259" ht="12.75">
      <c r="B2259" s="93"/>
    </row>
    <row r="2260" ht="12.75">
      <c r="B2260" s="93"/>
    </row>
    <row r="2261" ht="12.75">
      <c r="B2261" s="93"/>
    </row>
    <row r="2262" ht="12.75">
      <c r="B2262" s="93"/>
    </row>
    <row r="2263" ht="12.75">
      <c r="B2263" s="93"/>
    </row>
    <row r="2264" ht="12.75">
      <c r="B2264" s="93"/>
    </row>
    <row r="2265" ht="12.75">
      <c r="B2265" s="93"/>
    </row>
    <row r="2266" ht="12.75">
      <c r="B2266" s="93"/>
    </row>
    <row r="2267" ht="12.75">
      <c r="B2267" s="93"/>
    </row>
    <row r="2268" ht="12.75">
      <c r="B2268" s="93"/>
    </row>
    <row r="2269" ht="12.75">
      <c r="B2269" s="93"/>
    </row>
    <row r="2270" ht="12.75">
      <c r="B2270" s="93"/>
    </row>
    <row r="2271" ht="12.75">
      <c r="B2271" s="93"/>
    </row>
    <row r="2272" ht="12.75">
      <c r="B2272" s="93"/>
    </row>
    <row r="2273" ht="12.75">
      <c r="B2273" s="93"/>
    </row>
    <row r="2274" ht="12.75">
      <c r="B2274" s="93"/>
    </row>
    <row r="2275" ht="12.75">
      <c r="B2275" s="93"/>
    </row>
    <row r="2276" ht="12.75">
      <c r="B2276" s="93"/>
    </row>
    <row r="2277" ht="12.75">
      <c r="B2277" s="93"/>
    </row>
    <row r="2278" ht="12.75">
      <c r="B2278" s="93"/>
    </row>
    <row r="2279" ht="12.75">
      <c r="B2279" s="93"/>
    </row>
    <row r="2280" ht="12.75">
      <c r="B2280" s="93"/>
    </row>
    <row r="2281" ht="12.75">
      <c r="B2281" s="93"/>
    </row>
    <row r="2282" ht="12.75">
      <c r="B2282" s="93"/>
    </row>
    <row r="2283" ht="12.75">
      <c r="B2283" s="93"/>
    </row>
    <row r="2284" ht="12.75">
      <c r="B2284" s="93"/>
    </row>
    <row r="2285" ht="12.75">
      <c r="B2285" s="93"/>
    </row>
    <row r="2286" ht="12.75">
      <c r="B2286" s="93"/>
    </row>
    <row r="2287" ht="12.75">
      <c r="B2287" s="93"/>
    </row>
    <row r="2288" ht="12.75">
      <c r="B2288" s="93"/>
    </row>
    <row r="2289" ht="12.75">
      <c r="B2289" s="93"/>
    </row>
    <row r="2290" ht="12.75">
      <c r="B2290" s="93"/>
    </row>
    <row r="2291" ht="12.75">
      <c r="B2291" s="93"/>
    </row>
    <row r="2292" ht="12.75">
      <c r="B2292" s="93"/>
    </row>
    <row r="2293" ht="12.75">
      <c r="B2293" s="93"/>
    </row>
    <row r="2294" ht="12.75">
      <c r="B2294" s="93"/>
    </row>
    <row r="2295" ht="12.75">
      <c r="B2295" s="93"/>
    </row>
    <row r="2296" ht="12.75">
      <c r="B2296" s="93"/>
    </row>
    <row r="2297" ht="12.75">
      <c r="B2297" s="93"/>
    </row>
    <row r="2298" ht="12.75">
      <c r="B2298" s="93"/>
    </row>
    <row r="2299" ht="12.75">
      <c r="B2299" s="93"/>
    </row>
    <row r="2300" ht="12.75">
      <c r="B2300" s="93"/>
    </row>
    <row r="2301" ht="12.75">
      <c r="B2301" s="93"/>
    </row>
    <row r="2302" ht="12.75">
      <c r="B2302" s="93"/>
    </row>
    <row r="2303" ht="12.75">
      <c r="B2303" s="93"/>
    </row>
    <row r="2304" ht="12.75">
      <c r="B2304" s="93"/>
    </row>
    <row r="2305" ht="12.75">
      <c r="B2305" s="93"/>
    </row>
    <row r="2306" ht="12.75">
      <c r="B2306" s="93"/>
    </row>
    <row r="2307" ht="12.75">
      <c r="B2307" s="93"/>
    </row>
    <row r="2308" ht="12.75">
      <c r="B2308" s="93"/>
    </row>
    <row r="2309" ht="12.75">
      <c r="B2309" s="93"/>
    </row>
    <row r="2310" ht="12.75">
      <c r="B2310" s="93"/>
    </row>
    <row r="2311" ht="12.75">
      <c r="B2311" s="93"/>
    </row>
    <row r="2312" ht="12.75">
      <c r="B2312" s="93"/>
    </row>
    <row r="2313" ht="12.75">
      <c r="B2313" s="93"/>
    </row>
    <row r="2314" ht="12.75">
      <c r="B2314" s="93"/>
    </row>
    <row r="2315" ht="12.75">
      <c r="B2315" s="93"/>
    </row>
    <row r="2316" ht="12.75">
      <c r="B2316" s="93"/>
    </row>
    <row r="2317" ht="12.75">
      <c r="B2317" s="93"/>
    </row>
    <row r="2318" ht="12.75">
      <c r="B2318" s="93"/>
    </row>
    <row r="2319" ht="12.75">
      <c r="B2319" s="93"/>
    </row>
    <row r="2320" ht="12.75">
      <c r="B2320" s="93"/>
    </row>
    <row r="2321" ht="12.75">
      <c r="B2321" s="93"/>
    </row>
    <row r="2322" ht="12.75">
      <c r="B2322" s="93"/>
    </row>
    <row r="2323" ht="12.75">
      <c r="B2323" s="93"/>
    </row>
    <row r="2324" ht="12.75">
      <c r="B2324" s="93"/>
    </row>
    <row r="2325" ht="12.75">
      <c r="B2325" s="93"/>
    </row>
    <row r="2326" ht="12.75">
      <c r="B2326" s="93"/>
    </row>
    <row r="2327" ht="12.75">
      <c r="B2327" s="93"/>
    </row>
    <row r="2328" ht="12.75">
      <c r="B2328" s="93"/>
    </row>
    <row r="2329" ht="12.75">
      <c r="B2329" s="93"/>
    </row>
    <row r="2330" ht="12.75">
      <c r="B2330" s="93"/>
    </row>
    <row r="2331" ht="12.75">
      <c r="B2331" s="93"/>
    </row>
    <row r="2332" ht="12.75">
      <c r="B2332" s="93"/>
    </row>
    <row r="2333" ht="12.75">
      <c r="B2333" s="93"/>
    </row>
    <row r="2334" ht="12.75">
      <c r="B2334" s="93"/>
    </row>
    <row r="2335" ht="12.75">
      <c r="B2335" s="93"/>
    </row>
    <row r="2336" ht="12.75">
      <c r="B2336" s="93"/>
    </row>
    <row r="2337" ht="12.75">
      <c r="B2337" s="93"/>
    </row>
    <row r="2338" ht="12.75">
      <c r="B2338" s="93"/>
    </row>
    <row r="2339" ht="12.75">
      <c r="B2339" s="93"/>
    </row>
    <row r="2340" ht="12.75">
      <c r="B2340" s="93"/>
    </row>
    <row r="2341" ht="12.75">
      <c r="B2341" s="93"/>
    </row>
    <row r="2342" ht="12.75">
      <c r="B2342" s="93"/>
    </row>
    <row r="2343" ht="12.75">
      <c r="B2343" s="93"/>
    </row>
    <row r="2344" ht="12.75">
      <c r="B2344" s="93"/>
    </row>
    <row r="2345" ht="12.75">
      <c r="B2345" s="93"/>
    </row>
    <row r="2346" ht="12.75">
      <c r="B2346" s="93"/>
    </row>
    <row r="2347" ht="12.75">
      <c r="B2347" s="93"/>
    </row>
    <row r="2348" ht="12.75">
      <c r="B2348" s="93"/>
    </row>
    <row r="2349" ht="12.75">
      <c r="B2349" s="93"/>
    </row>
    <row r="2350" ht="12.75">
      <c r="B2350" s="93"/>
    </row>
    <row r="2351" ht="12.75">
      <c r="B2351" s="93"/>
    </row>
    <row r="2352" ht="12.75">
      <c r="B2352" s="93"/>
    </row>
    <row r="2353" ht="12.75">
      <c r="B2353" s="93"/>
    </row>
    <row r="2354" ht="12.75">
      <c r="B2354" s="93"/>
    </row>
    <row r="2355" ht="12.75">
      <c r="B2355" s="93"/>
    </row>
    <row r="2356" ht="12.75">
      <c r="B2356" s="93"/>
    </row>
    <row r="2357" ht="12.75">
      <c r="B2357" s="93"/>
    </row>
    <row r="2358" ht="12.75">
      <c r="B2358" s="93"/>
    </row>
    <row r="2359" ht="12.75">
      <c r="B2359" s="93"/>
    </row>
    <row r="2360" ht="12.75">
      <c r="B2360" s="93"/>
    </row>
    <row r="2361" ht="12.75">
      <c r="B2361" s="93"/>
    </row>
    <row r="2362" ht="12.75">
      <c r="B2362" s="93"/>
    </row>
    <row r="2363" ht="12.75">
      <c r="B2363" s="93"/>
    </row>
    <row r="2364" ht="12.75">
      <c r="B2364" s="93"/>
    </row>
    <row r="2365" ht="12.75">
      <c r="B2365" s="93"/>
    </row>
    <row r="2366" ht="12.75">
      <c r="B2366" s="93"/>
    </row>
    <row r="2367" ht="12.75">
      <c r="B2367" s="93"/>
    </row>
    <row r="2368" ht="12.75">
      <c r="B2368" s="93"/>
    </row>
    <row r="2369" ht="12.75">
      <c r="B2369" s="93"/>
    </row>
    <row r="2370" ht="12.75">
      <c r="B2370" s="93"/>
    </row>
    <row r="2371" ht="12.75">
      <c r="B2371" s="93"/>
    </row>
    <row r="2372" ht="12.75">
      <c r="B2372" s="93"/>
    </row>
    <row r="2373" ht="12.75">
      <c r="B2373" s="93"/>
    </row>
    <row r="2374" ht="12.75">
      <c r="B2374" s="93"/>
    </row>
    <row r="2375" ht="12.75">
      <c r="B2375" s="93"/>
    </row>
    <row r="2376" ht="12.75">
      <c r="B2376" s="93"/>
    </row>
    <row r="2377" ht="12.75">
      <c r="B2377" s="93"/>
    </row>
    <row r="2378" ht="12.75">
      <c r="B2378" s="93"/>
    </row>
    <row r="2379" ht="12.75">
      <c r="B2379" s="93"/>
    </row>
    <row r="2380" ht="12.75">
      <c r="B2380" s="93"/>
    </row>
    <row r="2381" ht="12.75">
      <c r="B2381" s="93"/>
    </row>
    <row r="2382" ht="12.75">
      <c r="B2382" s="93"/>
    </row>
    <row r="2383" ht="12.75">
      <c r="B2383" s="93"/>
    </row>
    <row r="2384" ht="12.75">
      <c r="B2384" s="93"/>
    </row>
    <row r="2385" ht="12.75">
      <c r="B2385" s="93"/>
    </row>
    <row r="2386" ht="12.75">
      <c r="B2386" s="93"/>
    </row>
    <row r="2387" ht="12.75">
      <c r="B2387" s="93"/>
    </row>
    <row r="2388" ht="12.75">
      <c r="B2388" s="93"/>
    </row>
    <row r="2389" ht="12.75">
      <c r="B2389" s="93"/>
    </row>
    <row r="2390" ht="12.75">
      <c r="B2390" s="93"/>
    </row>
    <row r="2391" ht="12.75">
      <c r="B2391" s="93"/>
    </row>
    <row r="2392" ht="12.75">
      <c r="B2392" s="93"/>
    </row>
    <row r="2393" ht="12.75">
      <c r="B2393" s="93"/>
    </row>
    <row r="2394" ht="12.75">
      <c r="B2394" s="93"/>
    </row>
    <row r="2395" ht="12.75">
      <c r="B2395" s="93"/>
    </row>
    <row r="2396" ht="12.75">
      <c r="B2396" s="93"/>
    </row>
    <row r="2397" ht="12.75">
      <c r="B2397" s="93"/>
    </row>
    <row r="2398" ht="12.75">
      <c r="B2398" s="93"/>
    </row>
    <row r="2399" ht="12.75">
      <c r="B2399" s="93"/>
    </row>
    <row r="2400" ht="12.75">
      <c r="B2400" s="93"/>
    </row>
    <row r="2401" ht="12.75">
      <c r="B2401" s="93"/>
    </row>
    <row r="2402" ht="12.75">
      <c r="B2402" s="93"/>
    </row>
    <row r="2403" ht="12.75">
      <c r="B2403" s="93"/>
    </row>
    <row r="2404" ht="12.75">
      <c r="B2404" s="93"/>
    </row>
    <row r="2405" ht="12.75">
      <c r="B2405" s="93"/>
    </row>
    <row r="2406" ht="12.75">
      <c r="B2406" s="93"/>
    </row>
    <row r="2407" ht="12.75">
      <c r="B2407" s="93"/>
    </row>
    <row r="2408" ht="12.75">
      <c r="B2408" s="93"/>
    </row>
    <row r="2409" ht="12.75">
      <c r="B2409" s="93"/>
    </row>
    <row r="2410" ht="12.75">
      <c r="B2410" s="93"/>
    </row>
    <row r="2411" ht="12.75">
      <c r="B2411" s="93"/>
    </row>
    <row r="2412" ht="12.75">
      <c r="B2412" s="93"/>
    </row>
    <row r="2413" ht="12.75">
      <c r="B2413" s="93"/>
    </row>
    <row r="2414" ht="12.75">
      <c r="B2414" s="93"/>
    </row>
    <row r="2415" ht="12.75">
      <c r="B2415" s="93"/>
    </row>
    <row r="2416" ht="12.75">
      <c r="B2416" s="93"/>
    </row>
    <row r="2417" ht="12.75">
      <c r="B2417" s="93"/>
    </row>
    <row r="2418" ht="12.75">
      <c r="B2418" s="93"/>
    </row>
    <row r="2419" ht="12.75">
      <c r="B2419" s="93"/>
    </row>
    <row r="2420" ht="12.75">
      <c r="B2420" s="93"/>
    </row>
    <row r="2421" ht="12.75">
      <c r="B2421" s="93"/>
    </row>
    <row r="2422" ht="12.75">
      <c r="B2422" s="93"/>
    </row>
    <row r="2423" ht="12.75">
      <c r="B2423" s="93"/>
    </row>
    <row r="2424" ht="12.75">
      <c r="B2424" s="93"/>
    </row>
    <row r="2425" ht="12.75">
      <c r="B2425" s="93"/>
    </row>
    <row r="2426" ht="12.75">
      <c r="B2426" s="93"/>
    </row>
    <row r="2427" ht="12.75">
      <c r="B2427" s="93"/>
    </row>
    <row r="2428" ht="12.75">
      <c r="B2428" s="93"/>
    </row>
    <row r="2429" ht="12.75">
      <c r="B2429" s="93"/>
    </row>
    <row r="2430" ht="12.75">
      <c r="B2430" s="93"/>
    </row>
    <row r="2431" ht="12.75">
      <c r="B2431" s="93"/>
    </row>
    <row r="2432" ht="12.75">
      <c r="B2432" s="93"/>
    </row>
    <row r="2433" ht="12.75">
      <c r="B2433" s="93"/>
    </row>
    <row r="2434" ht="12.75">
      <c r="B2434" s="93"/>
    </row>
    <row r="2435" ht="12.75">
      <c r="B2435" s="93"/>
    </row>
    <row r="2436" ht="12.75">
      <c r="B2436" s="93"/>
    </row>
    <row r="2437" ht="12.75">
      <c r="B2437" s="93"/>
    </row>
    <row r="2438" ht="12.75">
      <c r="B2438" s="93"/>
    </row>
    <row r="2439" ht="12.75">
      <c r="B2439" s="93"/>
    </row>
    <row r="2440" ht="12.75">
      <c r="B2440" s="93"/>
    </row>
    <row r="2441" ht="12.75">
      <c r="B2441" s="93"/>
    </row>
    <row r="2442" ht="12.75">
      <c r="B2442" s="93"/>
    </row>
    <row r="2443" ht="12.75">
      <c r="B2443" s="93"/>
    </row>
    <row r="2444" ht="12.75">
      <c r="B2444" s="93"/>
    </row>
    <row r="2445" ht="12.75">
      <c r="B2445" s="93"/>
    </row>
    <row r="2446" ht="12.75">
      <c r="B2446" s="93"/>
    </row>
    <row r="2447" ht="12.75">
      <c r="B2447" s="93"/>
    </row>
    <row r="2448" ht="12.75">
      <c r="B2448" s="93"/>
    </row>
    <row r="2449" ht="12.75">
      <c r="B2449" s="93"/>
    </row>
    <row r="2450" ht="12.75">
      <c r="B2450" s="93"/>
    </row>
    <row r="2451" ht="12.75">
      <c r="B2451" s="93"/>
    </row>
    <row r="2452" ht="12.75">
      <c r="B2452" s="93"/>
    </row>
    <row r="2453" ht="12.75">
      <c r="B2453" s="93"/>
    </row>
    <row r="2454" ht="12.75">
      <c r="B2454" s="93"/>
    </row>
    <row r="2455" ht="12.75">
      <c r="B2455" s="93"/>
    </row>
    <row r="2456" ht="12.75">
      <c r="B2456" s="93"/>
    </row>
    <row r="2457" ht="12.75">
      <c r="B2457" s="93"/>
    </row>
    <row r="2458" ht="12.75">
      <c r="B2458" s="93"/>
    </row>
    <row r="2459" ht="12.75">
      <c r="B2459" s="93"/>
    </row>
    <row r="2460" ht="12.75">
      <c r="B2460" s="93"/>
    </row>
    <row r="2461" ht="12.75">
      <c r="B2461" s="93"/>
    </row>
    <row r="2462" ht="12.75">
      <c r="B2462" s="93"/>
    </row>
    <row r="2463" ht="12.75">
      <c r="B2463" s="93"/>
    </row>
    <row r="2464" ht="12.75">
      <c r="B2464" s="93"/>
    </row>
    <row r="2465" ht="12.75">
      <c r="B2465" s="93"/>
    </row>
    <row r="2466" ht="12.75">
      <c r="B2466" s="93"/>
    </row>
    <row r="2467" ht="12.75">
      <c r="B2467" s="93"/>
    </row>
    <row r="2468" ht="12.75">
      <c r="B2468" s="93"/>
    </row>
    <row r="2469" ht="12.75">
      <c r="B2469" s="93"/>
    </row>
    <row r="2470" ht="12.75">
      <c r="B2470" s="93"/>
    </row>
    <row r="2471" ht="12.75">
      <c r="B2471" s="93"/>
    </row>
    <row r="2472" ht="12.75">
      <c r="B2472" s="93"/>
    </row>
    <row r="2473" ht="12.75">
      <c r="B2473" s="93"/>
    </row>
    <row r="2474" ht="12.75">
      <c r="B2474" s="93"/>
    </row>
    <row r="2475" ht="12.75">
      <c r="B2475" s="93"/>
    </row>
    <row r="2476" ht="12.75">
      <c r="B2476" s="93"/>
    </row>
    <row r="2477" ht="12.75">
      <c r="B2477" s="93"/>
    </row>
    <row r="2478" ht="12.75">
      <c r="B2478" s="93"/>
    </row>
    <row r="2479" ht="12.75">
      <c r="B2479" s="93"/>
    </row>
    <row r="2480" ht="12.75">
      <c r="B2480" s="93"/>
    </row>
    <row r="2481" ht="12.75">
      <c r="B2481" s="93"/>
    </row>
    <row r="2482" ht="12.75">
      <c r="B2482" s="93"/>
    </row>
    <row r="2483" ht="12.75">
      <c r="B2483" s="93"/>
    </row>
    <row r="2484" ht="12.75">
      <c r="B2484" s="93"/>
    </row>
    <row r="2485" ht="12.75">
      <c r="B2485" s="93"/>
    </row>
    <row r="2486" ht="12.75">
      <c r="B2486" s="93"/>
    </row>
    <row r="2487" ht="12.75">
      <c r="B2487" s="93"/>
    </row>
    <row r="2488" ht="12.75">
      <c r="B2488" s="93"/>
    </row>
    <row r="2489" ht="12.75">
      <c r="B2489" s="93"/>
    </row>
    <row r="2490" ht="12.75">
      <c r="B2490" s="93"/>
    </row>
    <row r="2491" ht="12.75">
      <c r="B2491" s="93"/>
    </row>
    <row r="2492" ht="12.75">
      <c r="B2492" s="93"/>
    </row>
    <row r="2493" ht="12.75">
      <c r="B2493" s="93"/>
    </row>
    <row r="2494" ht="12.75">
      <c r="B2494" s="93"/>
    </row>
    <row r="2495" ht="12.75">
      <c r="B2495" s="93"/>
    </row>
    <row r="2496" ht="12.75">
      <c r="B2496" s="93"/>
    </row>
    <row r="2497" ht="12.75">
      <c r="B2497" s="93"/>
    </row>
    <row r="2498" ht="12.75">
      <c r="B2498" s="93"/>
    </row>
    <row r="2499" ht="12.75">
      <c r="B2499" s="93"/>
    </row>
    <row r="2500" ht="12.75">
      <c r="B2500" s="93"/>
    </row>
    <row r="2501" ht="12.75">
      <c r="B2501" s="93"/>
    </row>
    <row r="2502" ht="12.75">
      <c r="B2502" s="93"/>
    </row>
    <row r="2503" ht="12.75">
      <c r="B2503" s="93"/>
    </row>
    <row r="2504" ht="12.75">
      <c r="B2504" s="93"/>
    </row>
    <row r="2505" ht="12.75">
      <c r="B2505" s="93"/>
    </row>
    <row r="2506" ht="12.75">
      <c r="B2506" s="93"/>
    </row>
    <row r="2507" ht="12.75">
      <c r="B2507" s="93"/>
    </row>
    <row r="2508" ht="12.75">
      <c r="B2508" s="93"/>
    </row>
    <row r="2509" ht="12.75">
      <c r="B2509" s="93"/>
    </row>
    <row r="2510" ht="12.75">
      <c r="B2510" s="93"/>
    </row>
    <row r="2511" ht="12.75">
      <c r="B2511" s="93"/>
    </row>
    <row r="2512" ht="12.75">
      <c r="B2512" s="93"/>
    </row>
    <row r="2513" ht="12.75">
      <c r="B2513" s="93"/>
    </row>
    <row r="2514" ht="12.75">
      <c r="B2514" s="93"/>
    </row>
    <row r="2515" ht="12.75">
      <c r="B2515" s="93"/>
    </row>
    <row r="2516" ht="12.75">
      <c r="B2516" s="93"/>
    </row>
    <row r="2517" ht="12.75">
      <c r="B2517" s="93"/>
    </row>
    <row r="2518" ht="12.75">
      <c r="B2518" s="93"/>
    </row>
    <row r="2519" ht="12.75">
      <c r="B2519" s="93"/>
    </row>
    <row r="2520" ht="12.75">
      <c r="B2520" s="93"/>
    </row>
    <row r="2521" ht="12.75">
      <c r="B2521" s="93"/>
    </row>
    <row r="2522" ht="12.75">
      <c r="B2522" s="93"/>
    </row>
    <row r="2523" ht="12.75">
      <c r="B2523" s="93"/>
    </row>
    <row r="2524" ht="12.75">
      <c r="B2524" s="93"/>
    </row>
    <row r="2525" ht="12.75">
      <c r="B2525" s="93"/>
    </row>
    <row r="2526" ht="12.75">
      <c r="B2526" s="93"/>
    </row>
    <row r="2527" ht="12.75">
      <c r="B2527" s="93"/>
    </row>
    <row r="2528" ht="12.75">
      <c r="B2528" s="93"/>
    </row>
    <row r="2529" ht="12.75">
      <c r="B2529" s="93"/>
    </row>
    <row r="2530" ht="12.75">
      <c r="B2530" s="93"/>
    </row>
    <row r="2531" ht="12.75">
      <c r="B2531" s="93"/>
    </row>
    <row r="2532" ht="12.75">
      <c r="B2532" s="93"/>
    </row>
    <row r="2533" ht="12.75">
      <c r="B2533" s="93"/>
    </row>
    <row r="2534" ht="12.75">
      <c r="B2534" s="93"/>
    </row>
    <row r="2535" ht="12.75">
      <c r="B2535" s="93"/>
    </row>
    <row r="2536" ht="12.75">
      <c r="B2536" s="93"/>
    </row>
    <row r="2537" ht="12.75">
      <c r="B2537" s="93"/>
    </row>
    <row r="2538" ht="12.75">
      <c r="B2538" s="93"/>
    </row>
    <row r="2539" ht="12.75">
      <c r="B2539" s="93"/>
    </row>
    <row r="2540" ht="12.75">
      <c r="B2540" s="93"/>
    </row>
    <row r="2541" ht="12.75">
      <c r="B2541" s="93"/>
    </row>
    <row r="2542" ht="12.75">
      <c r="B2542" s="93"/>
    </row>
    <row r="2543" ht="12.75">
      <c r="B2543" s="93"/>
    </row>
    <row r="2544" ht="12.75">
      <c r="B2544" s="93"/>
    </row>
    <row r="2545" ht="12.75">
      <c r="B2545" s="93"/>
    </row>
    <row r="2546" ht="12.75">
      <c r="B2546" s="93"/>
    </row>
    <row r="2547" ht="12.75">
      <c r="B2547" s="93"/>
    </row>
    <row r="2548" ht="12.75">
      <c r="B2548" s="93"/>
    </row>
    <row r="2549" ht="12.75">
      <c r="B2549" s="93"/>
    </row>
    <row r="2550" ht="12.75">
      <c r="B2550" s="93"/>
    </row>
    <row r="2551" ht="12.75">
      <c r="B2551" s="93"/>
    </row>
    <row r="2552" ht="12.75">
      <c r="B2552" s="93"/>
    </row>
    <row r="2553" ht="12.75">
      <c r="B2553" s="93"/>
    </row>
    <row r="2554" ht="12.75">
      <c r="B2554" s="93"/>
    </row>
    <row r="2555" ht="12.75">
      <c r="B2555" s="93"/>
    </row>
    <row r="2556" ht="12.75">
      <c r="B2556" s="93"/>
    </row>
    <row r="2557" ht="12.75">
      <c r="B2557" s="93"/>
    </row>
    <row r="2558" ht="12.75">
      <c r="B2558" s="93"/>
    </row>
    <row r="2559" ht="12.75">
      <c r="B2559" s="93"/>
    </row>
    <row r="2560" ht="12.75">
      <c r="B2560" s="93"/>
    </row>
    <row r="2561" ht="12.75">
      <c r="B2561" s="93"/>
    </row>
    <row r="2562" ht="12.75">
      <c r="B2562" s="93"/>
    </row>
    <row r="2563" ht="12.75">
      <c r="B2563" s="93"/>
    </row>
    <row r="2564" ht="12.75">
      <c r="B2564" s="93"/>
    </row>
    <row r="2565" ht="12.75">
      <c r="B2565" s="93"/>
    </row>
    <row r="2566" ht="12.75">
      <c r="B2566" s="93"/>
    </row>
    <row r="2567" ht="12.75">
      <c r="B2567" s="93"/>
    </row>
    <row r="2568" ht="12.75">
      <c r="B2568" s="93"/>
    </row>
    <row r="2569" ht="12.75">
      <c r="B2569" s="93"/>
    </row>
    <row r="2570" ht="12.75">
      <c r="B2570" s="93"/>
    </row>
    <row r="2571" ht="12.75">
      <c r="B2571" s="93"/>
    </row>
    <row r="2572" ht="12.75">
      <c r="B2572" s="93"/>
    </row>
    <row r="2573" ht="12.75">
      <c r="B2573" s="93"/>
    </row>
    <row r="2574" ht="12.75">
      <c r="B2574" s="93"/>
    </row>
    <row r="2575" ht="12.75">
      <c r="B2575" s="93"/>
    </row>
    <row r="2576" ht="12.75">
      <c r="B2576" s="93"/>
    </row>
    <row r="2577" ht="12.75">
      <c r="B2577" s="93"/>
    </row>
    <row r="2578" ht="12.75">
      <c r="B2578" s="93"/>
    </row>
    <row r="2579" ht="12.75">
      <c r="B2579" s="93"/>
    </row>
    <row r="2580" ht="12.75">
      <c r="B2580" s="93"/>
    </row>
    <row r="2581" ht="12.75">
      <c r="B2581" s="93"/>
    </row>
    <row r="2582" ht="12.75">
      <c r="B2582" s="93"/>
    </row>
    <row r="2583" ht="12.75">
      <c r="B2583" s="93"/>
    </row>
    <row r="2584" ht="12.75">
      <c r="B2584" s="93"/>
    </row>
    <row r="2585" ht="12.75">
      <c r="B2585" s="93"/>
    </row>
    <row r="2586" ht="12.75">
      <c r="B2586" s="93"/>
    </row>
    <row r="2587" ht="12.75">
      <c r="B2587" s="93"/>
    </row>
    <row r="2588" ht="12.75">
      <c r="B2588" s="93"/>
    </row>
    <row r="2589" ht="12.75">
      <c r="B2589" s="93"/>
    </row>
    <row r="2590" ht="12.75">
      <c r="B2590" s="93"/>
    </row>
    <row r="2591" ht="12.75">
      <c r="B2591" s="93"/>
    </row>
    <row r="2592" ht="12.75">
      <c r="B2592" s="93"/>
    </row>
    <row r="2593" ht="12.75">
      <c r="B2593" s="93"/>
    </row>
    <row r="2594" ht="12.75">
      <c r="B2594" s="93"/>
    </row>
    <row r="2595" ht="12.75">
      <c r="B2595" s="93"/>
    </row>
    <row r="2596" ht="12.75">
      <c r="B2596" s="93"/>
    </row>
    <row r="2597" ht="12.75">
      <c r="B2597" s="93"/>
    </row>
    <row r="2598" ht="12.75">
      <c r="B2598" s="93"/>
    </row>
    <row r="2599" ht="12.75">
      <c r="B2599" s="93"/>
    </row>
    <row r="2600" ht="12.75">
      <c r="B2600" s="93"/>
    </row>
    <row r="2601" ht="12.75">
      <c r="B2601" s="93"/>
    </row>
    <row r="2602" ht="12.75">
      <c r="B2602" s="93"/>
    </row>
    <row r="2603" ht="12.75">
      <c r="B2603" s="93"/>
    </row>
    <row r="2604" ht="12.75">
      <c r="B2604" s="93"/>
    </row>
    <row r="2605" ht="12.75">
      <c r="B2605" s="93"/>
    </row>
    <row r="2606" ht="12.75">
      <c r="B2606" s="93"/>
    </row>
    <row r="2607" ht="12.75">
      <c r="B2607" s="93"/>
    </row>
    <row r="2608" ht="12.75">
      <c r="B2608" s="93"/>
    </row>
    <row r="2609" ht="12.75">
      <c r="B2609" s="93"/>
    </row>
    <row r="2610" ht="12.75">
      <c r="B2610" s="93"/>
    </row>
    <row r="2611" ht="12.75">
      <c r="B2611" s="93"/>
    </row>
    <row r="2612" ht="12.75">
      <c r="B2612" s="93"/>
    </row>
    <row r="2613" ht="12.75">
      <c r="B2613" s="93"/>
    </row>
    <row r="2614" ht="12.75">
      <c r="B2614" s="93"/>
    </row>
    <row r="2615" ht="12.75">
      <c r="B2615" s="93"/>
    </row>
    <row r="2616" ht="12.75">
      <c r="B2616" s="93"/>
    </row>
    <row r="2617" ht="12.75">
      <c r="B2617" s="93"/>
    </row>
    <row r="2618" ht="12.75">
      <c r="B2618" s="93"/>
    </row>
    <row r="2619" ht="12.75">
      <c r="B2619" s="93"/>
    </row>
    <row r="2620" ht="12.75">
      <c r="B2620" s="93"/>
    </row>
    <row r="2621" ht="12.75">
      <c r="B2621" s="93"/>
    </row>
    <row r="2622" ht="12.75">
      <c r="B2622" s="93"/>
    </row>
    <row r="2623" ht="12.75">
      <c r="B2623" s="93"/>
    </row>
    <row r="2624" ht="12.75">
      <c r="B2624" s="93"/>
    </row>
    <row r="2625" ht="12.75">
      <c r="B2625" s="93"/>
    </row>
    <row r="2626" ht="12.75">
      <c r="B2626" s="93"/>
    </row>
    <row r="2627" ht="12.75">
      <c r="B2627" s="93"/>
    </row>
    <row r="2628" ht="12.75">
      <c r="B2628" s="93"/>
    </row>
    <row r="2629" ht="12.75">
      <c r="B2629" s="93"/>
    </row>
    <row r="2630" ht="12.75">
      <c r="B2630" s="93"/>
    </row>
    <row r="2631" ht="12.75">
      <c r="B2631" s="93"/>
    </row>
    <row r="2632" ht="12.75">
      <c r="B2632" s="93"/>
    </row>
    <row r="2633" ht="12.75">
      <c r="B2633" s="93"/>
    </row>
    <row r="2634" ht="12.75">
      <c r="B2634" s="93"/>
    </row>
    <row r="2635" ht="12.75">
      <c r="B2635" s="93"/>
    </row>
    <row r="2636" ht="12.75">
      <c r="B2636" s="93"/>
    </row>
    <row r="2637" ht="12.75">
      <c r="B2637" s="93"/>
    </row>
    <row r="2638" ht="12.75">
      <c r="B2638" s="93"/>
    </row>
    <row r="2639" ht="12.75">
      <c r="B2639" s="93"/>
    </row>
    <row r="2640" ht="12.75">
      <c r="B2640" s="93"/>
    </row>
    <row r="2641" ht="12.75">
      <c r="B2641" s="93"/>
    </row>
    <row r="2642" ht="12.75">
      <c r="B2642" s="93"/>
    </row>
    <row r="2643" ht="12.75">
      <c r="B2643" s="93"/>
    </row>
    <row r="2644" ht="12.75">
      <c r="B2644" s="93"/>
    </row>
    <row r="2645" ht="12.75">
      <c r="B2645" s="93"/>
    </row>
    <row r="2646" ht="12.75">
      <c r="B2646" s="93"/>
    </row>
    <row r="2647" ht="12.75">
      <c r="B2647" s="93"/>
    </row>
    <row r="2648" ht="12.75">
      <c r="B2648" s="93"/>
    </row>
    <row r="2649" ht="12.75">
      <c r="B2649" s="93"/>
    </row>
    <row r="2650" ht="12.75">
      <c r="B2650" s="93"/>
    </row>
    <row r="2651" ht="12.75">
      <c r="B2651" s="93"/>
    </row>
    <row r="2652" ht="12.75">
      <c r="B2652" s="93"/>
    </row>
    <row r="2653" ht="12.75">
      <c r="B2653" s="93"/>
    </row>
    <row r="2654" ht="12.75">
      <c r="B2654" s="93"/>
    </row>
    <row r="2655" ht="12.75">
      <c r="B2655" s="93"/>
    </row>
    <row r="2656" ht="12.75">
      <c r="B2656" s="93"/>
    </row>
    <row r="2657" ht="12.75">
      <c r="B2657" s="93"/>
    </row>
    <row r="2658" ht="12.75">
      <c r="B2658" s="93"/>
    </row>
    <row r="2659" ht="12.75">
      <c r="B2659" s="93"/>
    </row>
    <row r="2660" ht="12.75">
      <c r="B2660" s="93"/>
    </row>
    <row r="2661" ht="12.75">
      <c r="B2661" s="93"/>
    </row>
    <row r="2662" ht="12.75">
      <c r="B2662" s="93"/>
    </row>
    <row r="2663" ht="12.75">
      <c r="B2663" s="93"/>
    </row>
    <row r="2664" ht="12.75">
      <c r="B2664" s="93"/>
    </row>
    <row r="2665" ht="12.75">
      <c r="B2665" s="93"/>
    </row>
    <row r="2666" ht="12.75">
      <c r="B2666" s="93"/>
    </row>
    <row r="2667" ht="12.75">
      <c r="B2667" s="93"/>
    </row>
    <row r="2668" ht="12.75">
      <c r="B2668" s="93"/>
    </row>
    <row r="2669" ht="12.75">
      <c r="B2669" s="93"/>
    </row>
    <row r="2670" ht="12.75">
      <c r="B2670" s="93"/>
    </row>
    <row r="2671" ht="12.75">
      <c r="B2671" s="93"/>
    </row>
    <row r="2672" ht="12.75">
      <c r="B2672" s="93"/>
    </row>
    <row r="2673" ht="12.75">
      <c r="B2673" s="93"/>
    </row>
    <row r="2674" ht="12.75">
      <c r="B2674" s="93"/>
    </row>
    <row r="2675" ht="12.75">
      <c r="B2675" s="93"/>
    </row>
    <row r="2676" ht="12.75">
      <c r="B2676" s="93"/>
    </row>
    <row r="2677" ht="12.75">
      <c r="B2677" s="93"/>
    </row>
    <row r="2678" ht="12.75">
      <c r="B2678" s="93"/>
    </row>
    <row r="2679" ht="12.75">
      <c r="B2679" s="93"/>
    </row>
    <row r="2680" ht="12.75">
      <c r="B2680" s="93"/>
    </row>
    <row r="2681" ht="12.75">
      <c r="B2681" s="93"/>
    </row>
    <row r="2682" ht="12.75">
      <c r="B2682" s="93"/>
    </row>
    <row r="2683" ht="12.75">
      <c r="B2683" s="93"/>
    </row>
    <row r="2684" ht="12.75">
      <c r="B2684" s="93"/>
    </row>
    <row r="2685" ht="12.75">
      <c r="B2685" s="93"/>
    </row>
    <row r="2686" ht="12.75">
      <c r="B2686" s="93"/>
    </row>
    <row r="2687" ht="12.75">
      <c r="B2687" s="93"/>
    </row>
    <row r="2688" ht="12.75">
      <c r="B2688" s="93"/>
    </row>
    <row r="2689" ht="12.75">
      <c r="B2689" s="93"/>
    </row>
    <row r="2690" ht="12.75">
      <c r="B2690" s="93"/>
    </row>
    <row r="2691" ht="12.75">
      <c r="B2691" s="93"/>
    </row>
    <row r="2692" ht="12.75">
      <c r="B2692" s="93"/>
    </row>
    <row r="2693" ht="12.75">
      <c r="B2693" s="93"/>
    </row>
    <row r="2694" ht="12.75">
      <c r="B2694" s="93"/>
    </row>
    <row r="2695" ht="12.75">
      <c r="B2695" s="93"/>
    </row>
    <row r="2696" ht="12.75">
      <c r="B2696" s="93"/>
    </row>
    <row r="2697" ht="12.75">
      <c r="B2697" s="93"/>
    </row>
    <row r="2698" ht="12.75">
      <c r="B2698" s="93"/>
    </row>
    <row r="2699" ht="12.75">
      <c r="B2699" s="93"/>
    </row>
    <row r="2700" ht="12.75">
      <c r="B2700" s="93"/>
    </row>
    <row r="2701" ht="12.75">
      <c r="B2701" s="93"/>
    </row>
    <row r="2702" ht="12.75">
      <c r="B2702" s="93"/>
    </row>
    <row r="2703" ht="12.75">
      <c r="B2703" s="93"/>
    </row>
    <row r="2704" ht="12.75">
      <c r="B2704" s="93"/>
    </row>
    <row r="2705" ht="12.75">
      <c r="B2705" s="93"/>
    </row>
    <row r="2706" ht="12.75">
      <c r="B2706" s="93"/>
    </row>
    <row r="2707" ht="12.75">
      <c r="B2707" s="93"/>
    </row>
    <row r="2708" ht="12.75">
      <c r="B2708" s="93"/>
    </row>
    <row r="2709" ht="12.75">
      <c r="B2709" s="93"/>
    </row>
    <row r="2710" ht="12.75">
      <c r="B2710" s="93"/>
    </row>
    <row r="2711" ht="12.75">
      <c r="B2711" s="93"/>
    </row>
    <row r="2712" ht="12.75">
      <c r="B2712" s="93"/>
    </row>
    <row r="2713" ht="12.75">
      <c r="B2713" s="93"/>
    </row>
    <row r="2714" ht="12.75">
      <c r="B2714" s="93"/>
    </row>
    <row r="2715" ht="12.75">
      <c r="B2715" s="93"/>
    </row>
    <row r="2716" ht="12.75">
      <c r="B2716" s="93"/>
    </row>
    <row r="2717" ht="12.75">
      <c r="B2717" s="93"/>
    </row>
    <row r="2718" ht="12.75">
      <c r="B2718" s="93"/>
    </row>
    <row r="2719" ht="12.75">
      <c r="B2719" s="93"/>
    </row>
    <row r="2720" ht="12.75">
      <c r="B2720" s="93"/>
    </row>
    <row r="2721" ht="12.75">
      <c r="B2721" s="93"/>
    </row>
    <row r="2722" ht="12.75">
      <c r="B2722" s="93"/>
    </row>
    <row r="2723" ht="12.75">
      <c r="B2723" s="93"/>
    </row>
    <row r="2724" ht="12.75">
      <c r="B2724" s="93"/>
    </row>
    <row r="2725" ht="12.75">
      <c r="B2725" s="93"/>
    </row>
    <row r="2726" ht="12.75">
      <c r="B2726" s="93"/>
    </row>
    <row r="2727" ht="12.75">
      <c r="B2727" s="93"/>
    </row>
    <row r="2728" ht="12.75">
      <c r="B2728" s="93"/>
    </row>
    <row r="2729" ht="12.75">
      <c r="B2729" s="93"/>
    </row>
    <row r="2730" ht="12.75">
      <c r="B2730" s="93"/>
    </row>
    <row r="2731" ht="12.75">
      <c r="B2731" s="93"/>
    </row>
    <row r="2732" ht="12.75">
      <c r="B2732" s="93"/>
    </row>
    <row r="2733" ht="12.75">
      <c r="B2733" s="93"/>
    </row>
    <row r="2734" ht="12.75">
      <c r="B2734" s="93"/>
    </row>
    <row r="2735" ht="12.75">
      <c r="B2735" s="93"/>
    </row>
    <row r="2736" ht="12.75">
      <c r="B2736" s="93"/>
    </row>
    <row r="2737" ht="12.75">
      <c r="B2737" s="93"/>
    </row>
    <row r="2738" ht="12.75">
      <c r="B2738" s="93"/>
    </row>
    <row r="2739" ht="12.75">
      <c r="B2739" s="93"/>
    </row>
    <row r="2740" ht="12.75">
      <c r="B2740" s="93"/>
    </row>
    <row r="2741" ht="12.75">
      <c r="B2741" s="93"/>
    </row>
    <row r="2742" ht="12.75">
      <c r="B2742" s="93"/>
    </row>
    <row r="2743" ht="12.75">
      <c r="B2743" s="93"/>
    </row>
    <row r="2744" ht="12.75">
      <c r="B2744" s="93"/>
    </row>
    <row r="2745" ht="12.75">
      <c r="B2745" s="93"/>
    </row>
    <row r="2746" ht="12.75">
      <c r="B2746" s="93"/>
    </row>
    <row r="2747" ht="12.75">
      <c r="B2747" s="93"/>
    </row>
    <row r="2748" ht="12.75">
      <c r="B2748" s="93"/>
    </row>
    <row r="2749" ht="12.75">
      <c r="B2749" s="93"/>
    </row>
    <row r="2750" ht="12.75">
      <c r="B2750" s="93"/>
    </row>
    <row r="2751" ht="12.75">
      <c r="B2751" s="93"/>
    </row>
    <row r="2752" ht="12.75">
      <c r="B2752" s="93"/>
    </row>
    <row r="2753" ht="12.75">
      <c r="B2753" s="93"/>
    </row>
    <row r="2754" ht="12.75">
      <c r="B2754" s="93"/>
    </row>
    <row r="2755" ht="12.75">
      <c r="B2755" s="93"/>
    </row>
    <row r="2756" ht="12.75">
      <c r="B2756" s="93"/>
    </row>
    <row r="2757" ht="12.75">
      <c r="B2757" s="93"/>
    </row>
    <row r="2758" ht="12.75">
      <c r="B2758" s="93"/>
    </row>
    <row r="2759" ht="12.75">
      <c r="B2759" s="93"/>
    </row>
    <row r="2760" ht="12.75">
      <c r="B2760" s="93"/>
    </row>
    <row r="2761" ht="12.75">
      <c r="B2761" s="93"/>
    </row>
    <row r="2762" ht="12.75">
      <c r="B2762" s="93"/>
    </row>
    <row r="2763" ht="12.75">
      <c r="B2763" s="93"/>
    </row>
    <row r="2764" ht="12.75">
      <c r="B2764" s="93"/>
    </row>
    <row r="2765" ht="12.75">
      <c r="B2765" s="93"/>
    </row>
    <row r="2766" ht="12.75">
      <c r="B2766" s="93"/>
    </row>
    <row r="2767" ht="12.75">
      <c r="B2767" s="93"/>
    </row>
    <row r="2768" ht="12.75">
      <c r="B2768" s="93"/>
    </row>
    <row r="2769" ht="12.75">
      <c r="B2769" s="93"/>
    </row>
    <row r="2770" ht="12.75">
      <c r="B2770" s="93"/>
    </row>
    <row r="2771" ht="12.75">
      <c r="B2771" s="93"/>
    </row>
    <row r="2772" ht="12.75">
      <c r="B2772" s="93"/>
    </row>
    <row r="2773" ht="12.75">
      <c r="B2773" s="93"/>
    </row>
    <row r="2774" ht="12.75">
      <c r="B2774" s="93"/>
    </row>
    <row r="2775" ht="12.75">
      <c r="B2775" s="93"/>
    </row>
    <row r="2776" ht="12.75">
      <c r="B2776" s="93"/>
    </row>
    <row r="2777" ht="12.75">
      <c r="B2777" s="93"/>
    </row>
    <row r="2778" ht="12.75">
      <c r="B2778" s="93"/>
    </row>
    <row r="2779" ht="12.75">
      <c r="B2779" s="93"/>
    </row>
    <row r="2780" ht="12.75">
      <c r="B2780" s="93"/>
    </row>
    <row r="2781" ht="12.75">
      <c r="B2781" s="93"/>
    </row>
    <row r="2782" ht="12.75">
      <c r="B2782" s="93"/>
    </row>
    <row r="2783" ht="12.75">
      <c r="B2783" s="93"/>
    </row>
    <row r="2784" ht="12.75">
      <c r="B2784" s="93"/>
    </row>
    <row r="2785" ht="12.75">
      <c r="B2785" s="93"/>
    </row>
    <row r="2786" ht="12.75">
      <c r="B2786" s="93"/>
    </row>
    <row r="2787" ht="12.75">
      <c r="B2787" s="93"/>
    </row>
    <row r="2788" ht="12.75">
      <c r="B2788" s="93"/>
    </row>
    <row r="2789" ht="12.75">
      <c r="B2789" s="93"/>
    </row>
    <row r="2790" ht="12.75">
      <c r="B2790" s="93"/>
    </row>
    <row r="2791" ht="12.75">
      <c r="B2791" s="93"/>
    </row>
    <row r="2792" ht="12.75">
      <c r="B2792" s="93"/>
    </row>
    <row r="2793" ht="12.75">
      <c r="B2793" s="93"/>
    </row>
    <row r="2794" ht="12.75">
      <c r="B2794" s="93"/>
    </row>
    <row r="2795" ht="12.75">
      <c r="B2795" s="93"/>
    </row>
    <row r="2796" ht="12.75">
      <c r="B2796" s="93"/>
    </row>
    <row r="2797" ht="12.75">
      <c r="B2797" s="93"/>
    </row>
    <row r="2798" ht="12.75">
      <c r="B2798" s="93"/>
    </row>
    <row r="2799" ht="12.75">
      <c r="B2799" s="93"/>
    </row>
    <row r="2800" ht="12.75">
      <c r="B2800" s="93"/>
    </row>
    <row r="2801" ht="12.75">
      <c r="B2801" s="93"/>
    </row>
    <row r="2802" ht="12.75">
      <c r="B2802" s="93"/>
    </row>
    <row r="2803" ht="12.75">
      <c r="B2803" s="93"/>
    </row>
    <row r="2804" ht="12.75">
      <c r="B2804" s="93"/>
    </row>
    <row r="2805" ht="12.75">
      <c r="B2805" s="93"/>
    </row>
    <row r="2806" ht="12.75">
      <c r="B2806" s="93"/>
    </row>
    <row r="2807" ht="12.75">
      <c r="B2807" s="93"/>
    </row>
    <row r="2808" ht="12.75">
      <c r="B2808" s="93"/>
    </row>
    <row r="2809" ht="12.75">
      <c r="B2809" s="93"/>
    </row>
    <row r="2810" ht="12.75">
      <c r="B2810" s="93"/>
    </row>
    <row r="2811" ht="12.75">
      <c r="B2811" s="93"/>
    </row>
    <row r="2812" ht="12.75">
      <c r="B2812" s="93"/>
    </row>
    <row r="2813" ht="12.75">
      <c r="B2813" s="93"/>
    </row>
    <row r="2814" ht="12.75">
      <c r="B2814" s="93"/>
    </row>
    <row r="2815" ht="12.75">
      <c r="B2815" s="93"/>
    </row>
    <row r="2816" ht="12.75">
      <c r="B2816" s="93"/>
    </row>
    <row r="2817" ht="12.75">
      <c r="B2817" s="93"/>
    </row>
    <row r="2818" ht="12.75">
      <c r="B2818" s="93"/>
    </row>
    <row r="2819" ht="12.75">
      <c r="B2819" s="93"/>
    </row>
    <row r="2820" ht="12.75">
      <c r="B2820" s="93"/>
    </row>
    <row r="2821" ht="12.75">
      <c r="B2821" s="93"/>
    </row>
    <row r="2822" ht="12.75">
      <c r="B2822" s="93"/>
    </row>
    <row r="2823" ht="12.75">
      <c r="B2823" s="93"/>
    </row>
    <row r="2824" ht="12.75">
      <c r="B2824" s="93"/>
    </row>
    <row r="2825" ht="12.75">
      <c r="B2825" s="93"/>
    </row>
    <row r="2826" ht="12.75">
      <c r="B2826" s="93"/>
    </row>
    <row r="2827" ht="12.75">
      <c r="B2827" s="93"/>
    </row>
    <row r="2828" ht="12.75">
      <c r="B2828" s="93"/>
    </row>
    <row r="2829" ht="12.75">
      <c r="B2829" s="93"/>
    </row>
    <row r="2830" ht="12.75">
      <c r="B2830" s="93"/>
    </row>
    <row r="2831" ht="12.75">
      <c r="B2831" s="93"/>
    </row>
    <row r="2832" ht="12.75">
      <c r="B2832" s="93"/>
    </row>
    <row r="2833" ht="12.75">
      <c r="B2833" s="93"/>
    </row>
    <row r="2834" ht="12.75">
      <c r="B2834" s="93"/>
    </row>
    <row r="2835" ht="12.75">
      <c r="B2835" s="93"/>
    </row>
    <row r="2836" ht="12.75">
      <c r="B2836" s="93"/>
    </row>
    <row r="2837" ht="12.75">
      <c r="B2837" s="93"/>
    </row>
    <row r="2838" ht="12.75">
      <c r="B2838" s="93"/>
    </row>
    <row r="2839" ht="12.75">
      <c r="B2839" s="93"/>
    </row>
    <row r="2840" ht="12.75">
      <c r="B2840" s="93"/>
    </row>
    <row r="2841" ht="12.75">
      <c r="B2841" s="93"/>
    </row>
    <row r="2842" ht="12.75">
      <c r="B2842" s="93"/>
    </row>
    <row r="2843" ht="12.75">
      <c r="B2843" s="93"/>
    </row>
    <row r="2844" ht="12.75">
      <c r="B2844" s="93"/>
    </row>
    <row r="2845" ht="12.75">
      <c r="B2845" s="93"/>
    </row>
    <row r="2846" ht="12.75">
      <c r="B2846" s="93"/>
    </row>
    <row r="2847" ht="12.75">
      <c r="B2847" s="93"/>
    </row>
    <row r="2848" ht="12.75">
      <c r="B2848" s="93"/>
    </row>
    <row r="2849" ht="12.75">
      <c r="B2849" s="93"/>
    </row>
    <row r="2850" ht="12.75">
      <c r="B2850" s="93"/>
    </row>
    <row r="2851" ht="12.75">
      <c r="B2851" s="93"/>
    </row>
    <row r="2852" ht="12.75">
      <c r="B2852" s="93"/>
    </row>
    <row r="2853" ht="12.75">
      <c r="B2853" s="93"/>
    </row>
    <row r="2854" ht="12.75">
      <c r="B2854" s="93"/>
    </row>
    <row r="2855" ht="12.75">
      <c r="B2855" s="93"/>
    </row>
    <row r="2856" ht="12.75">
      <c r="B2856" s="93"/>
    </row>
    <row r="2857" ht="12.75">
      <c r="B2857" s="93"/>
    </row>
    <row r="2858" ht="12.75">
      <c r="B2858" s="93"/>
    </row>
    <row r="2859" ht="12.75">
      <c r="B2859" s="93"/>
    </row>
    <row r="2860" ht="12.75">
      <c r="B2860" s="93"/>
    </row>
    <row r="2861" ht="12.75">
      <c r="B2861" s="93"/>
    </row>
    <row r="2862" ht="12.75">
      <c r="B2862" s="93"/>
    </row>
    <row r="2863" ht="12.75">
      <c r="B2863" s="93"/>
    </row>
    <row r="2864" ht="12.75">
      <c r="B2864" s="93"/>
    </row>
    <row r="2865" ht="12.75">
      <c r="B2865" s="93"/>
    </row>
    <row r="2866" ht="12.75">
      <c r="B2866" s="93"/>
    </row>
    <row r="2867" ht="12.75">
      <c r="B2867" s="93"/>
    </row>
    <row r="2868" ht="12.75">
      <c r="B2868" s="93"/>
    </row>
    <row r="2869" ht="12.75">
      <c r="B2869" s="93"/>
    </row>
    <row r="2870" ht="12.75">
      <c r="B2870" s="93"/>
    </row>
    <row r="2871" ht="12.75">
      <c r="B2871" s="93"/>
    </row>
    <row r="2872" ht="12.75">
      <c r="B2872" s="93"/>
    </row>
    <row r="2873" ht="12.75">
      <c r="B2873" s="93"/>
    </row>
    <row r="2874" ht="12.75">
      <c r="B2874" s="93"/>
    </row>
    <row r="2875" ht="12.75">
      <c r="B2875" s="93"/>
    </row>
    <row r="2876" ht="12.75">
      <c r="B2876" s="93"/>
    </row>
    <row r="2877" ht="12.75">
      <c r="B2877" s="93"/>
    </row>
    <row r="2878" ht="12.75">
      <c r="B2878" s="93"/>
    </row>
    <row r="2879" ht="12.75">
      <c r="B2879" s="93"/>
    </row>
    <row r="2880" ht="12.75">
      <c r="B2880" s="93"/>
    </row>
    <row r="2881" ht="12.75">
      <c r="B2881" s="93"/>
    </row>
    <row r="2882" ht="12.75">
      <c r="B2882" s="93"/>
    </row>
    <row r="2883" ht="12.75">
      <c r="B2883" s="93"/>
    </row>
    <row r="2884" ht="12.75">
      <c r="B2884" s="93"/>
    </row>
    <row r="2885" ht="12.75">
      <c r="B2885" s="93"/>
    </row>
    <row r="2886" ht="12.75">
      <c r="B2886" s="93"/>
    </row>
    <row r="2887" ht="12.75">
      <c r="B2887" s="93"/>
    </row>
    <row r="2888" ht="12.75">
      <c r="B2888" s="93"/>
    </row>
    <row r="2889" ht="12.75">
      <c r="B2889" s="93"/>
    </row>
    <row r="2890" ht="12.75">
      <c r="B2890" s="93"/>
    </row>
    <row r="2891" ht="12.75">
      <c r="B2891" s="93"/>
    </row>
    <row r="2892" ht="12.75">
      <c r="B2892" s="93"/>
    </row>
    <row r="2893" ht="12.75">
      <c r="B2893" s="93"/>
    </row>
    <row r="2894" ht="12.75">
      <c r="B2894" s="93"/>
    </row>
    <row r="2895" ht="12.75">
      <c r="B2895" s="93"/>
    </row>
    <row r="2896" ht="12.75">
      <c r="B2896" s="93"/>
    </row>
    <row r="2897" ht="12.75">
      <c r="B2897" s="93"/>
    </row>
    <row r="2898" ht="12.75">
      <c r="B2898" s="93"/>
    </row>
    <row r="2899" ht="12.75">
      <c r="B2899" s="93"/>
    </row>
    <row r="2900" ht="12.75">
      <c r="B2900" s="93"/>
    </row>
    <row r="2901" ht="12.75">
      <c r="B2901" s="93"/>
    </row>
    <row r="2902" ht="12.75">
      <c r="B2902" s="93"/>
    </row>
    <row r="2903" ht="12.75">
      <c r="B2903" s="93"/>
    </row>
    <row r="2904" ht="12.75">
      <c r="B2904" s="93"/>
    </row>
    <row r="2905" ht="12.75">
      <c r="B2905" s="93"/>
    </row>
    <row r="2906" ht="12.75">
      <c r="B2906" s="93"/>
    </row>
    <row r="2907" ht="12.75">
      <c r="B2907" s="93"/>
    </row>
    <row r="2908" ht="12.75">
      <c r="B2908" s="93"/>
    </row>
    <row r="2909" ht="12.75">
      <c r="B2909" s="93"/>
    </row>
    <row r="2910" ht="12.75">
      <c r="B2910" s="93"/>
    </row>
    <row r="2911" ht="12.75">
      <c r="B2911" s="93"/>
    </row>
    <row r="2912" ht="12.75">
      <c r="B2912" s="93"/>
    </row>
    <row r="2913" ht="12.75">
      <c r="B2913" s="93"/>
    </row>
    <row r="2914" ht="12.75">
      <c r="B2914" s="93"/>
    </row>
    <row r="2915" ht="12.75">
      <c r="B2915" s="93"/>
    </row>
    <row r="2916" ht="12.75">
      <c r="B2916" s="93"/>
    </row>
    <row r="2917" ht="12.75">
      <c r="B2917" s="93"/>
    </row>
    <row r="2918" ht="12.75">
      <c r="B2918" s="93"/>
    </row>
    <row r="2919" ht="12.75">
      <c r="B2919" s="93"/>
    </row>
    <row r="2920" ht="12.75">
      <c r="B2920" s="93"/>
    </row>
    <row r="2921" ht="12.75">
      <c r="B2921" s="93"/>
    </row>
    <row r="2922" ht="12.75">
      <c r="B2922" s="93"/>
    </row>
    <row r="2923" ht="12.75">
      <c r="B2923" s="93"/>
    </row>
    <row r="2924" ht="12.75">
      <c r="B2924" s="93"/>
    </row>
    <row r="2925" ht="12.75">
      <c r="B2925" s="93"/>
    </row>
    <row r="2926" ht="12.75">
      <c r="B2926" s="93"/>
    </row>
    <row r="2927" ht="12.75">
      <c r="B2927" s="93"/>
    </row>
    <row r="2928" ht="12.75">
      <c r="B2928" s="93"/>
    </row>
    <row r="2929" ht="12.75">
      <c r="B2929" s="93"/>
    </row>
    <row r="2930" ht="12.75">
      <c r="B2930" s="93"/>
    </row>
    <row r="2931" ht="12.75">
      <c r="B2931" s="93"/>
    </row>
    <row r="2932" ht="12.75">
      <c r="B2932" s="93"/>
    </row>
    <row r="2933" ht="12.75">
      <c r="B2933" s="93"/>
    </row>
    <row r="2934" ht="12.75">
      <c r="B2934" s="93"/>
    </row>
    <row r="2935" ht="12.75">
      <c r="B2935" s="93"/>
    </row>
    <row r="2936" ht="12.75">
      <c r="B2936" s="93"/>
    </row>
    <row r="2937" ht="12.75">
      <c r="B2937" s="93"/>
    </row>
    <row r="2938" ht="12.75">
      <c r="B2938" s="93"/>
    </row>
    <row r="2939" ht="12.75">
      <c r="B2939" s="93"/>
    </row>
    <row r="2940" ht="12.75">
      <c r="B2940" s="93"/>
    </row>
    <row r="2941" ht="12.75">
      <c r="B2941" s="93"/>
    </row>
    <row r="2942" ht="12.75">
      <c r="B2942" s="93"/>
    </row>
    <row r="2943" ht="12.75">
      <c r="B2943" s="93"/>
    </row>
    <row r="2944" ht="12.75">
      <c r="B2944" s="93"/>
    </row>
    <row r="2945" ht="12.75">
      <c r="B2945" s="93"/>
    </row>
    <row r="2946" ht="12.75">
      <c r="B2946" s="93"/>
    </row>
    <row r="2947" ht="12.75">
      <c r="B2947" s="93"/>
    </row>
    <row r="2948" ht="12.75">
      <c r="B2948" s="93"/>
    </row>
    <row r="2949" ht="12.75">
      <c r="B2949" s="93"/>
    </row>
    <row r="2950" ht="12.75">
      <c r="B2950" s="93"/>
    </row>
    <row r="2951" ht="12.75">
      <c r="B2951" s="93"/>
    </row>
    <row r="2952" ht="12.75">
      <c r="B2952" s="93"/>
    </row>
    <row r="2953" ht="12.75">
      <c r="B2953" s="93"/>
    </row>
    <row r="2954" ht="12.75">
      <c r="B2954" s="93"/>
    </row>
    <row r="2955" ht="12.75">
      <c r="B2955" s="93"/>
    </row>
    <row r="2956" ht="12.75">
      <c r="B2956" s="93"/>
    </row>
    <row r="2957" ht="12.75">
      <c r="B2957" s="93"/>
    </row>
    <row r="2958" ht="12.75">
      <c r="B2958" s="93"/>
    </row>
    <row r="2959" ht="12.75">
      <c r="B2959" s="93"/>
    </row>
    <row r="2960" ht="12.75">
      <c r="B2960" s="93"/>
    </row>
    <row r="2961" ht="12.75">
      <c r="B2961" s="93"/>
    </row>
    <row r="2962" ht="12.75">
      <c r="B2962" s="93"/>
    </row>
    <row r="2963" ht="12.75">
      <c r="B2963" s="93"/>
    </row>
    <row r="2964" ht="12.75">
      <c r="B2964" s="93"/>
    </row>
    <row r="2965" ht="12.75">
      <c r="B2965" s="93"/>
    </row>
    <row r="2966" ht="12.75">
      <c r="B2966" s="93"/>
    </row>
    <row r="2967" ht="12.75">
      <c r="B2967" s="93"/>
    </row>
    <row r="2968" ht="12.75">
      <c r="B2968" s="93"/>
    </row>
    <row r="2969" ht="12.75">
      <c r="B2969" s="93"/>
    </row>
    <row r="2970" ht="12.75">
      <c r="B2970" s="93"/>
    </row>
    <row r="2971" ht="12.75">
      <c r="B2971" s="93"/>
    </row>
    <row r="2972" ht="12.75">
      <c r="B2972" s="93"/>
    </row>
    <row r="2973" ht="12.75">
      <c r="B2973" s="93"/>
    </row>
    <row r="2974" ht="12.75">
      <c r="B2974" s="93"/>
    </row>
    <row r="2975" ht="12.75">
      <c r="B2975" s="93"/>
    </row>
    <row r="2976" ht="12.75">
      <c r="B2976" s="93"/>
    </row>
    <row r="2977" ht="12.75">
      <c r="B2977" s="93"/>
    </row>
    <row r="2978" ht="12.75">
      <c r="B2978" s="93"/>
    </row>
    <row r="2979" ht="12.75">
      <c r="B2979" s="93"/>
    </row>
    <row r="2980" ht="12.75">
      <c r="B2980" s="93"/>
    </row>
    <row r="2981" ht="12.75">
      <c r="B2981" s="93"/>
    </row>
    <row r="2982" ht="12.75">
      <c r="B2982" s="93"/>
    </row>
    <row r="2983" ht="12.75">
      <c r="B2983" s="93"/>
    </row>
    <row r="2984" ht="12.75">
      <c r="B2984" s="93"/>
    </row>
    <row r="2985" ht="12.75">
      <c r="B2985" s="93"/>
    </row>
    <row r="2986" ht="12.75">
      <c r="B2986" s="93"/>
    </row>
    <row r="2987" ht="12.75">
      <c r="B2987" s="93"/>
    </row>
    <row r="2988" ht="12.75">
      <c r="B2988" s="93"/>
    </row>
    <row r="2989" ht="12.75">
      <c r="B2989" s="93"/>
    </row>
    <row r="2990" ht="12.75">
      <c r="B2990" s="93"/>
    </row>
    <row r="2991" ht="12.75">
      <c r="B2991" s="93"/>
    </row>
    <row r="2992" ht="12.75">
      <c r="B2992" s="93"/>
    </row>
    <row r="2993" ht="12.75">
      <c r="B2993" s="93"/>
    </row>
    <row r="2994" ht="12.75">
      <c r="B2994" s="93"/>
    </row>
    <row r="2995" ht="12.75">
      <c r="B2995" s="93"/>
    </row>
    <row r="2996" ht="12.75">
      <c r="B2996" s="93"/>
    </row>
    <row r="2997" ht="12.75">
      <c r="B2997" s="93"/>
    </row>
    <row r="2998" ht="12.75">
      <c r="B2998" s="93"/>
    </row>
    <row r="2999" ht="12.75">
      <c r="B2999" s="93"/>
    </row>
    <row r="3000" ht="12.75">
      <c r="B3000" s="93"/>
    </row>
    <row r="3001" ht="12.75">
      <c r="B3001" s="93"/>
    </row>
    <row r="3002" ht="12.75">
      <c r="B3002" s="93"/>
    </row>
    <row r="3003" ht="12.75">
      <c r="B3003" s="93"/>
    </row>
    <row r="3004" ht="12.75">
      <c r="B3004" s="93"/>
    </row>
    <row r="3005" ht="12.75">
      <c r="B3005" s="93"/>
    </row>
    <row r="3006" ht="12.75">
      <c r="B3006" s="93"/>
    </row>
    <row r="3007" ht="12.75">
      <c r="B3007" s="93"/>
    </row>
    <row r="3008" ht="12.75">
      <c r="B3008" s="93"/>
    </row>
    <row r="3009" ht="12.75">
      <c r="B3009" s="93"/>
    </row>
    <row r="3010" ht="12.75">
      <c r="B3010" s="93"/>
    </row>
    <row r="3011" ht="12.75">
      <c r="B3011" s="93"/>
    </row>
    <row r="3012" ht="12.75">
      <c r="B3012" s="93"/>
    </row>
    <row r="3013" ht="12.75">
      <c r="B3013" s="93"/>
    </row>
    <row r="3014" ht="12.75">
      <c r="B3014" s="93"/>
    </row>
    <row r="3015" ht="12.75">
      <c r="B3015" s="93"/>
    </row>
    <row r="3016" ht="12.75">
      <c r="B3016" s="93"/>
    </row>
    <row r="3017" ht="12.75">
      <c r="B3017" s="93"/>
    </row>
    <row r="3018" ht="12.75">
      <c r="B3018" s="93"/>
    </row>
    <row r="3019" ht="12.75">
      <c r="B3019" s="93"/>
    </row>
    <row r="3020" ht="12.75">
      <c r="B3020" s="93"/>
    </row>
    <row r="3021" ht="12.75">
      <c r="B3021" s="93"/>
    </row>
    <row r="3022" ht="12.75">
      <c r="B3022" s="93"/>
    </row>
    <row r="3023" ht="12.75">
      <c r="B3023" s="93"/>
    </row>
    <row r="3024" ht="12.75">
      <c r="B3024" s="93"/>
    </row>
    <row r="3025" ht="12.75">
      <c r="B3025" s="93"/>
    </row>
    <row r="3026" ht="12.75">
      <c r="B3026" s="93"/>
    </row>
    <row r="3027" ht="12.75">
      <c r="B3027" s="93"/>
    </row>
    <row r="3028" ht="12.75">
      <c r="B3028" s="93"/>
    </row>
    <row r="3029" ht="12.75">
      <c r="B3029" s="93"/>
    </row>
    <row r="3030" ht="12.75">
      <c r="B3030" s="93"/>
    </row>
    <row r="3031" ht="12.75">
      <c r="B3031" s="93"/>
    </row>
    <row r="3032" ht="12.75">
      <c r="B3032" s="93"/>
    </row>
    <row r="3033" ht="12.75">
      <c r="B3033" s="93"/>
    </row>
    <row r="3034" ht="12.75">
      <c r="B3034" s="93"/>
    </row>
    <row r="3035" ht="12.75">
      <c r="B3035" s="93"/>
    </row>
    <row r="3036" ht="12.75">
      <c r="B3036" s="93"/>
    </row>
    <row r="3037" ht="12.75">
      <c r="B3037" s="93"/>
    </row>
    <row r="3038" ht="12.75">
      <c r="B3038" s="93"/>
    </row>
    <row r="3039" ht="12.75">
      <c r="B3039" s="93"/>
    </row>
    <row r="3040" ht="12.75">
      <c r="B3040" s="93"/>
    </row>
    <row r="3041" ht="12.75">
      <c r="B3041" s="93"/>
    </row>
    <row r="3042" ht="12.75">
      <c r="B3042" s="93"/>
    </row>
    <row r="3043" ht="12.75">
      <c r="B3043" s="93"/>
    </row>
    <row r="3044" ht="12.75">
      <c r="B3044" s="93"/>
    </row>
    <row r="3045" ht="12.75">
      <c r="B3045" s="93"/>
    </row>
    <row r="3046" ht="12.75">
      <c r="B3046" s="93"/>
    </row>
    <row r="3047" ht="12.75">
      <c r="B3047" s="93"/>
    </row>
    <row r="3048" ht="12.75">
      <c r="B3048" s="93"/>
    </row>
    <row r="3049" ht="12.75">
      <c r="B3049" s="93"/>
    </row>
    <row r="3050" ht="12.75">
      <c r="B3050" s="93"/>
    </row>
    <row r="3051" ht="12.75">
      <c r="B3051" s="93"/>
    </row>
    <row r="3052" ht="12.75">
      <c r="B3052" s="93"/>
    </row>
    <row r="3053" ht="12.75">
      <c r="B3053" s="93"/>
    </row>
    <row r="3054" ht="12.75">
      <c r="B3054" s="93"/>
    </row>
    <row r="3055" ht="12.75">
      <c r="B3055" s="93"/>
    </row>
    <row r="3056" ht="12.75">
      <c r="B3056" s="93"/>
    </row>
    <row r="3057" ht="12.75">
      <c r="B3057" s="93"/>
    </row>
    <row r="3058" ht="12.75">
      <c r="B3058" s="93"/>
    </row>
    <row r="3059" ht="12.75">
      <c r="B3059" s="93"/>
    </row>
    <row r="3060" ht="12.75">
      <c r="B3060" s="93"/>
    </row>
    <row r="3061" ht="12.75">
      <c r="B3061" s="93"/>
    </row>
    <row r="3062" ht="12.75">
      <c r="B3062" s="93"/>
    </row>
    <row r="3063" ht="12.75">
      <c r="B3063" s="93"/>
    </row>
    <row r="3064" ht="12.75">
      <c r="B3064" s="93"/>
    </row>
    <row r="3065" ht="12.75">
      <c r="B3065" s="93"/>
    </row>
    <row r="3066" ht="12.75">
      <c r="B3066" s="93"/>
    </row>
    <row r="3067" ht="12.75">
      <c r="B3067" s="93"/>
    </row>
    <row r="3068" ht="12.75">
      <c r="B3068" s="93"/>
    </row>
    <row r="3069" ht="12.75">
      <c r="B3069" s="93"/>
    </row>
    <row r="3070" ht="12.75">
      <c r="B3070" s="93"/>
    </row>
    <row r="3071" ht="12.75">
      <c r="B3071" s="93"/>
    </row>
    <row r="3072" ht="12.75">
      <c r="B3072" s="93"/>
    </row>
    <row r="3073" ht="12.75">
      <c r="B3073" s="93"/>
    </row>
    <row r="3074" ht="12.75">
      <c r="B3074" s="93"/>
    </row>
    <row r="3075" ht="12.75">
      <c r="B3075" s="93"/>
    </row>
    <row r="3076" ht="12.75">
      <c r="B3076" s="93"/>
    </row>
    <row r="3077" ht="12.75">
      <c r="B3077" s="93"/>
    </row>
    <row r="3078" ht="12.75">
      <c r="B3078" s="93"/>
    </row>
    <row r="3079" ht="12.75">
      <c r="B3079" s="93"/>
    </row>
    <row r="3080" ht="12.75">
      <c r="B3080" s="93"/>
    </row>
    <row r="3081" ht="12.75">
      <c r="B3081" s="93"/>
    </row>
    <row r="3082" ht="12.75">
      <c r="B3082" s="93"/>
    </row>
    <row r="3083" ht="12.75">
      <c r="B3083" s="93"/>
    </row>
    <row r="3084" ht="12.75">
      <c r="B3084" s="93"/>
    </row>
    <row r="3085" ht="12.75">
      <c r="B3085" s="93"/>
    </row>
    <row r="3086" ht="12.75">
      <c r="B3086" s="93"/>
    </row>
    <row r="3087" ht="12.75">
      <c r="B3087" s="93"/>
    </row>
    <row r="3088" ht="12.75">
      <c r="B3088" s="93"/>
    </row>
    <row r="3089" ht="12.75">
      <c r="B3089" s="93"/>
    </row>
    <row r="3090" ht="12.75">
      <c r="B3090" s="93"/>
    </row>
    <row r="3091" ht="12.75">
      <c r="B3091" s="93"/>
    </row>
    <row r="3092" ht="12.75">
      <c r="B3092" s="93"/>
    </row>
    <row r="3093" ht="12.75">
      <c r="B3093" s="93"/>
    </row>
    <row r="3094" ht="12.75">
      <c r="B3094" s="93"/>
    </row>
    <row r="3095" ht="12.75">
      <c r="B3095" s="93"/>
    </row>
    <row r="3096" ht="12.75">
      <c r="B3096" s="93"/>
    </row>
    <row r="3097" ht="12.75">
      <c r="B3097" s="93"/>
    </row>
    <row r="3098" ht="12.75">
      <c r="B3098" s="93"/>
    </row>
    <row r="3099" ht="12.75">
      <c r="B3099" s="93"/>
    </row>
    <row r="3100" ht="12.75">
      <c r="B3100" s="93"/>
    </row>
    <row r="3101" ht="12.75">
      <c r="B3101" s="93"/>
    </row>
    <row r="3102" ht="12.75">
      <c r="B3102" s="93"/>
    </row>
    <row r="3103" ht="12.75">
      <c r="B3103" s="93"/>
    </row>
    <row r="3104" ht="12.75">
      <c r="B3104" s="93"/>
    </row>
    <row r="3105" ht="12.75">
      <c r="B3105" s="93"/>
    </row>
    <row r="3106" ht="12.75">
      <c r="B3106" s="93"/>
    </row>
    <row r="3107" ht="12.75">
      <c r="B3107" s="93"/>
    </row>
    <row r="3108" ht="12.75">
      <c r="B3108" s="93"/>
    </row>
    <row r="3109" ht="12.75">
      <c r="B3109" s="93"/>
    </row>
    <row r="3110" ht="12.75">
      <c r="B3110" s="93"/>
    </row>
    <row r="3111" ht="12.75">
      <c r="B3111" s="93"/>
    </row>
    <row r="3112" ht="12.75">
      <c r="B3112" s="93"/>
    </row>
    <row r="3113" ht="12.75">
      <c r="B3113" s="93"/>
    </row>
    <row r="3114" ht="12.75">
      <c r="B3114" s="93"/>
    </row>
    <row r="3115" ht="12.75">
      <c r="B3115" s="93"/>
    </row>
    <row r="3116" ht="12.75">
      <c r="B3116" s="93"/>
    </row>
    <row r="3117" ht="12.75">
      <c r="B3117" s="93"/>
    </row>
    <row r="3118" ht="12.75">
      <c r="B3118" s="93"/>
    </row>
    <row r="3119" ht="12.75">
      <c r="B3119" s="93"/>
    </row>
    <row r="3120" ht="12.75">
      <c r="B3120" s="93"/>
    </row>
    <row r="3121" ht="12.75">
      <c r="B3121" s="93"/>
    </row>
    <row r="3122" ht="12.75">
      <c r="B3122" s="93"/>
    </row>
    <row r="3123" ht="12.75">
      <c r="B3123" s="93"/>
    </row>
    <row r="3124" ht="12.75">
      <c r="B3124" s="93"/>
    </row>
    <row r="3125" ht="12.75">
      <c r="B3125" s="93"/>
    </row>
    <row r="3126" ht="12.75">
      <c r="B3126" s="93"/>
    </row>
    <row r="3127" ht="12.75">
      <c r="B3127" s="93"/>
    </row>
    <row r="3128" ht="12.75">
      <c r="B3128" s="93"/>
    </row>
    <row r="3129" ht="12.75">
      <c r="B3129" s="93"/>
    </row>
    <row r="3130" ht="12.75">
      <c r="B3130" s="93"/>
    </row>
    <row r="3131" ht="12.75">
      <c r="B3131" s="93"/>
    </row>
    <row r="3132" ht="12.75">
      <c r="B3132" s="93"/>
    </row>
    <row r="3133" ht="12.75">
      <c r="B3133" s="93"/>
    </row>
    <row r="3134" ht="12.75">
      <c r="B3134" s="93"/>
    </row>
    <row r="3135" ht="12.75">
      <c r="B3135" s="93"/>
    </row>
    <row r="3136" ht="12.75">
      <c r="B3136" s="93"/>
    </row>
    <row r="3137" ht="12.75">
      <c r="B3137" s="93"/>
    </row>
    <row r="3138" ht="12.75">
      <c r="B3138" s="93"/>
    </row>
    <row r="3139" ht="12.75">
      <c r="B3139" s="93"/>
    </row>
    <row r="3140" ht="12.75">
      <c r="B3140" s="93"/>
    </row>
    <row r="3141" ht="12.75">
      <c r="B3141" s="93"/>
    </row>
    <row r="3142" ht="12.75">
      <c r="B3142" s="93"/>
    </row>
    <row r="3143" ht="12.75">
      <c r="B3143" s="93"/>
    </row>
    <row r="3144" ht="12.75">
      <c r="B3144" s="93"/>
    </row>
    <row r="3145" ht="12.75">
      <c r="B3145" s="93"/>
    </row>
    <row r="3146" ht="12.75">
      <c r="B3146" s="93"/>
    </row>
    <row r="3147" ht="12.75">
      <c r="B3147" s="93"/>
    </row>
    <row r="3148" ht="12.75">
      <c r="B3148" s="93"/>
    </row>
    <row r="3149" ht="12.75">
      <c r="B3149" s="93"/>
    </row>
    <row r="3150" ht="12.75">
      <c r="B3150" s="93"/>
    </row>
    <row r="3151" ht="12.75">
      <c r="B3151" s="93"/>
    </row>
    <row r="3152" ht="12.75">
      <c r="B3152" s="93"/>
    </row>
    <row r="3153" ht="12.75">
      <c r="B3153" s="93"/>
    </row>
    <row r="3154" ht="12.75">
      <c r="B3154" s="93"/>
    </row>
    <row r="3155" ht="12.75">
      <c r="B3155" s="93"/>
    </row>
    <row r="3156" ht="12.75">
      <c r="B3156" s="93"/>
    </row>
    <row r="3157" ht="12.75">
      <c r="B3157" s="93"/>
    </row>
    <row r="3158" ht="12.75">
      <c r="B3158" s="93"/>
    </row>
    <row r="3159" ht="12.75">
      <c r="B3159" s="93"/>
    </row>
    <row r="3160" ht="12.75">
      <c r="B3160" s="93"/>
    </row>
    <row r="3161" ht="12.75">
      <c r="B3161" s="93"/>
    </row>
    <row r="3162" ht="12.75">
      <c r="B3162" s="93"/>
    </row>
    <row r="3163" ht="12.75">
      <c r="B3163" s="93"/>
    </row>
    <row r="3164" ht="12.75">
      <c r="B3164" s="93"/>
    </row>
    <row r="3165" ht="12.75">
      <c r="B3165" s="93"/>
    </row>
    <row r="3166" ht="12.75">
      <c r="B3166" s="93"/>
    </row>
    <row r="3167" ht="12.75">
      <c r="B3167" s="93"/>
    </row>
    <row r="3168" ht="12.75">
      <c r="B3168" s="93"/>
    </row>
    <row r="3169" ht="12.75">
      <c r="B3169" s="93"/>
    </row>
    <row r="3170" ht="12.75">
      <c r="B3170" s="84"/>
    </row>
    <row r="3171" ht="12.75">
      <c r="B3171" s="84"/>
    </row>
    <row r="3172" ht="12.75">
      <c r="B3172" s="84"/>
    </row>
    <row r="3173" ht="12.75">
      <c r="B3173" s="84"/>
    </row>
    <row r="3174" ht="12.75">
      <c r="B3174" s="84"/>
    </row>
    <row r="3175" ht="12.75">
      <c r="B3175" s="84"/>
    </row>
    <row r="3176" ht="12.75">
      <c r="B3176" s="84"/>
    </row>
    <row r="3177" ht="12.75">
      <c r="B3177" s="84"/>
    </row>
    <row r="3178" ht="12.75">
      <c r="B3178" s="84"/>
    </row>
    <row r="3179" ht="12.75">
      <c r="B3179" s="84"/>
    </row>
    <row r="3180" ht="12.75">
      <c r="B3180" s="84"/>
    </row>
    <row r="3181" ht="12.75">
      <c r="B3181" s="84"/>
    </row>
    <row r="3182" ht="12.75">
      <c r="B3182" s="84"/>
    </row>
    <row r="3183" ht="12.75">
      <c r="B3183" s="84"/>
    </row>
    <row r="3184" ht="12.75">
      <c r="B3184" s="84"/>
    </row>
    <row r="3185" ht="12.75">
      <c r="B3185" s="84"/>
    </row>
    <row r="3186" ht="12.75">
      <c r="B3186" s="84"/>
    </row>
    <row r="3187" ht="12.75">
      <c r="B3187" s="84"/>
    </row>
    <row r="3188" ht="12.75">
      <c r="B3188" s="84"/>
    </row>
    <row r="3189" ht="12.75">
      <c r="B3189" s="84"/>
    </row>
    <row r="3190" ht="12.75">
      <c r="B3190" s="84"/>
    </row>
    <row r="3191" ht="12.75">
      <c r="B3191" s="84"/>
    </row>
    <row r="3192" ht="12.75">
      <c r="B3192" s="84"/>
    </row>
    <row r="3193" ht="12.75">
      <c r="B3193" s="84"/>
    </row>
    <row r="3194" ht="12.75">
      <c r="B3194" s="84"/>
    </row>
    <row r="3195" ht="12.75">
      <c r="B3195" s="84"/>
    </row>
    <row r="3196" ht="12.75">
      <c r="B3196" s="84"/>
    </row>
    <row r="3197" ht="12.75">
      <c r="B3197" s="84"/>
    </row>
    <row r="3198" ht="12.75">
      <c r="B3198" s="84"/>
    </row>
    <row r="3199" ht="12.75">
      <c r="B3199" s="84"/>
    </row>
    <row r="3200" ht="12.75">
      <c r="B3200" s="84"/>
    </row>
    <row r="3201" ht="12.75">
      <c r="B3201" s="84"/>
    </row>
    <row r="3202" ht="12.75">
      <c r="B3202" s="84"/>
    </row>
    <row r="3203" ht="12.75">
      <c r="B3203" s="84"/>
    </row>
    <row r="3204" ht="12.75">
      <c r="B3204" s="84"/>
    </row>
    <row r="3205" ht="12.75">
      <c r="B3205" s="84"/>
    </row>
    <row r="3206" ht="12.75">
      <c r="B3206" s="84"/>
    </row>
    <row r="3207" ht="12.75">
      <c r="B3207" s="84"/>
    </row>
    <row r="3208" ht="12.75">
      <c r="B3208" s="84"/>
    </row>
    <row r="3209" ht="12.75">
      <c r="B3209" s="84"/>
    </row>
    <row r="3210" ht="12.75">
      <c r="B3210" s="84"/>
    </row>
    <row r="3211" ht="12.75">
      <c r="B3211" s="84"/>
    </row>
    <row r="3212" ht="12.75">
      <c r="B3212" s="84"/>
    </row>
    <row r="3213" ht="12.75">
      <c r="B3213" s="84"/>
    </row>
    <row r="3214" ht="12.75">
      <c r="B3214" s="84"/>
    </row>
    <row r="3215" ht="12.75">
      <c r="B3215" s="84"/>
    </row>
    <row r="3216" ht="12.75">
      <c r="B3216" s="84"/>
    </row>
    <row r="3217" ht="12.75">
      <c r="B3217" s="84"/>
    </row>
    <row r="3218" ht="12.75">
      <c r="B3218" s="84"/>
    </row>
    <row r="3219" ht="12.75">
      <c r="B3219" s="84"/>
    </row>
    <row r="3220" ht="12.75">
      <c r="B3220" s="84"/>
    </row>
    <row r="3221" ht="12.75">
      <c r="B3221" s="84"/>
    </row>
    <row r="3222" ht="12.75">
      <c r="B3222" s="84"/>
    </row>
    <row r="3223" ht="12.75">
      <c r="B3223" s="84"/>
    </row>
    <row r="3224" ht="12.75">
      <c r="B3224" s="84"/>
    </row>
    <row r="3225" ht="12.75">
      <c r="B3225" s="84"/>
    </row>
    <row r="3226" ht="12.75">
      <c r="B3226" s="84"/>
    </row>
    <row r="3227" ht="12.75">
      <c r="B3227" s="84"/>
    </row>
    <row r="3228" ht="12.75">
      <c r="B3228" s="84"/>
    </row>
    <row r="3229" ht="12.75">
      <c r="B3229" s="84"/>
    </row>
    <row r="3230" ht="12.75">
      <c r="B3230" s="84"/>
    </row>
    <row r="3231" ht="12.75">
      <c r="B3231" s="84"/>
    </row>
    <row r="3232" ht="12.75">
      <c r="B3232" s="84"/>
    </row>
    <row r="3233" ht="12.75">
      <c r="B3233" s="84"/>
    </row>
    <row r="3234" ht="12.75">
      <c r="B3234" s="84"/>
    </row>
    <row r="3235" ht="12.75">
      <c r="B3235" s="84"/>
    </row>
    <row r="3236" ht="12.75">
      <c r="B3236" s="84"/>
    </row>
    <row r="3237" ht="12.75">
      <c r="B3237" s="84"/>
    </row>
    <row r="3238" ht="12.75">
      <c r="B3238" s="84"/>
    </row>
    <row r="3239" ht="12.75">
      <c r="B3239" s="84"/>
    </row>
    <row r="3240" ht="12.75">
      <c r="B3240" s="84"/>
    </row>
    <row r="3241" ht="12.75">
      <c r="B3241" s="84"/>
    </row>
    <row r="3242" ht="12.75">
      <c r="B3242" s="84"/>
    </row>
    <row r="3243" ht="12.75">
      <c r="B3243" s="84"/>
    </row>
    <row r="3244" ht="12.75">
      <c r="B3244" s="84"/>
    </row>
    <row r="3245" ht="12.75">
      <c r="B3245" s="84"/>
    </row>
    <row r="3246" ht="12.75">
      <c r="B3246" s="84"/>
    </row>
    <row r="3247" ht="12.75">
      <c r="B3247" s="84"/>
    </row>
    <row r="3248" ht="12.75">
      <c r="B3248" s="84"/>
    </row>
    <row r="3249" ht="12.75">
      <c r="B3249" s="84"/>
    </row>
    <row r="3250" ht="12.75">
      <c r="B3250" s="84"/>
    </row>
    <row r="3251" ht="12.75">
      <c r="B3251" s="84"/>
    </row>
    <row r="3252" ht="12.75">
      <c r="B3252" s="84"/>
    </row>
    <row r="3253" ht="12.75">
      <c r="B3253" s="84"/>
    </row>
    <row r="3254" ht="12.75">
      <c r="B3254" s="84"/>
    </row>
    <row r="3255" ht="12.75">
      <c r="B3255" s="84"/>
    </row>
    <row r="3256" ht="12.75">
      <c r="B3256" s="84"/>
    </row>
    <row r="3257" ht="12.75">
      <c r="B3257" s="84"/>
    </row>
    <row r="3258" ht="12.75">
      <c r="B3258" s="84"/>
    </row>
    <row r="3259" ht="12.75">
      <c r="B3259" s="84"/>
    </row>
    <row r="3260" ht="12.75">
      <c r="B3260" s="84"/>
    </row>
    <row r="3261" ht="12.75">
      <c r="B3261" s="84"/>
    </row>
    <row r="3262" ht="12.75">
      <c r="B3262" s="84"/>
    </row>
    <row r="3263" ht="12.75">
      <c r="B3263" s="84"/>
    </row>
    <row r="3264" ht="12.75">
      <c r="B3264" s="84"/>
    </row>
    <row r="3265" ht="12.75">
      <c r="B3265" s="84"/>
    </row>
    <row r="3266" ht="12.75">
      <c r="B3266" s="84"/>
    </row>
    <row r="3267" ht="12.75">
      <c r="B3267" s="84"/>
    </row>
    <row r="3268" ht="12.75">
      <c r="B3268" s="84"/>
    </row>
    <row r="3269" ht="12.75">
      <c r="B3269" s="84"/>
    </row>
    <row r="3270" ht="12.75">
      <c r="B3270" s="84"/>
    </row>
    <row r="3271" ht="12.75">
      <c r="B3271" s="84"/>
    </row>
    <row r="3272" ht="12.75">
      <c r="B3272" s="84"/>
    </row>
    <row r="3273" ht="12.75">
      <c r="B3273" s="84"/>
    </row>
    <row r="3274" ht="12.75">
      <c r="B3274" s="84"/>
    </row>
    <row r="3275" ht="12.75">
      <c r="B3275" s="84"/>
    </row>
    <row r="3276" ht="12.75">
      <c r="B3276" s="84"/>
    </row>
    <row r="3277" ht="12.75">
      <c r="B3277" s="84"/>
    </row>
    <row r="3278" ht="12.75">
      <c r="B3278" s="84"/>
    </row>
    <row r="3279" ht="12.75">
      <c r="B3279" s="84"/>
    </row>
    <row r="3280" ht="12.75">
      <c r="B3280" s="84"/>
    </row>
    <row r="3281" ht="12.75">
      <c r="B3281" s="84"/>
    </row>
    <row r="3282" ht="12.75">
      <c r="B3282" s="84"/>
    </row>
    <row r="3283" ht="12.75">
      <c r="B3283" s="84"/>
    </row>
    <row r="3284" ht="12.75">
      <c r="B3284" s="84"/>
    </row>
    <row r="3285" ht="12.75">
      <c r="B3285" s="84"/>
    </row>
    <row r="3286" ht="12.75">
      <c r="B3286" s="84"/>
    </row>
    <row r="3287" ht="12.75">
      <c r="B3287" s="84"/>
    </row>
    <row r="3288" ht="12.75">
      <c r="B3288" s="84"/>
    </row>
    <row r="3289" ht="12.75">
      <c r="B3289" s="84"/>
    </row>
    <row r="3290" ht="12.75">
      <c r="B3290" s="84"/>
    </row>
    <row r="3291" ht="12.75">
      <c r="B3291" s="84"/>
    </row>
    <row r="3292" ht="12.75">
      <c r="B3292" s="84"/>
    </row>
    <row r="3293" ht="12.75">
      <c r="B3293" s="84"/>
    </row>
    <row r="3294" ht="12.75">
      <c r="B3294" s="84"/>
    </row>
    <row r="3295" ht="12.75">
      <c r="B3295" s="84"/>
    </row>
    <row r="3296" ht="12.75">
      <c r="B3296" s="84"/>
    </row>
    <row r="3297" ht="12.75">
      <c r="B3297" s="84"/>
    </row>
    <row r="3298" ht="12.75">
      <c r="B3298" s="84"/>
    </row>
    <row r="3299" ht="12.75">
      <c r="B3299" s="84"/>
    </row>
    <row r="3300" ht="12.75">
      <c r="B3300" s="84"/>
    </row>
    <row r="3301" ht="12.75">
      <c r="B3301" s="84"/>
    </row>
    <row r="3302" ht="12.75">
      <c r="B3302" s="84"/>
    </row>
    <row r="3303" ht="12.75">
      <c r="B3303" s="84"/>
    </row>
    <row r="3304" ht="12.75">
      <c r="B3304" s="84"/>
    </row>
    <row r="3305" ht="12.75">
      <c r="B3305" s="84"/>
    </row>
    <row r="3306" ht="12.75">
      <c r="B3306" s="84"/>
    </row>
    <row r="3307" ht="12.75">
      <c r="B3307" s="84"/>
    </row>
    <row r="3308" ht="12.75">
      <c r="B3308" s="84"/>
    </row>
    <row r="3309" ht="12.75">
      <c r="B3309" s="84"/>
    </row>
    <row r="3310" ht="12.75">
      <c r="B3310" s="84"/>
    </row>
    <row r="3311" ht="12.75">
      <c r="B3311" s="84"/>
    </row>
    <row r="3312" ht="12.75">
      <c r="B3312" s="84"/>
    </row>
    <row r="3313" ht="12.75">
      <c r="B3313" s="84"/>
    </row>
    <row r="3314" ht="12.75">
      <c r="B3314" s="84"/>
    </row>
    <row r="3315" ht="12.75">
      <c r="B3315" s="84"/>
    </row>
    <row r="3316" ht="12.75">
      <c r="B3316" s="84"/>
    </row>
    <row r="3317" ht="12.75">
      <c r="B3317" s="84"/>
    </row>
    <row r="3318" ht="12.75">
      <c r="B3318" s="84"/>
    </row>
    <row r="3319" ht="12.75">
      <c r="B3319" s="84"/>
    </row>
    <row r="3320" ht="12.75">
      <c r="B3320" s="84"/>
    </row>
    <row r="3321" ht="12.75">
      <c r="B3321" s="84"/>
    </row>
    <row r="3322" ht="12.75">
      <c r="B3322" s="84"/>
    </row>
    <row r="3323" ht="12.75">
      <c r="B3323" s="84"/>
    </row>
    <row r="3324" ht="12.75">
      <c r="B3324" s="84"/>
    </row>
    <row r="3325" ht="12.75">
      <c r="B3325" s="84"/>
    </row>
    <row r="3326" ht="12.75">
      <c r="B3326" s="84"/>
    </row>
    <row r="3327" ht="12.75">
      <c r="B3327" s="84"/>
    </row>
    <row r="3328" ht="12.75">
      <c r="B3328" s="84"/>
    </row>
    <row r="3329" ht="12.75">
      <c r="B3329" s="84"/>
    </row>
    <row r="3330" ht="12.75">
      <c r="B3330" s="84"/>
    </row>
    <row r="3331" ht="12.75">
      <c r="B3331" s="84"/>
    </row>
    <row r="3332" ht="12.75">
      <c r="B3332" s="84"/>
    </row>
    <row r="3333" ht="12.75">
      <c r="B3333" s="84"/>
    </row>
    <row r="3334" ht="12.75">
      <c r="B3334" s="84"/>
    </row>
    <row r="3335" ht="12.75">
      <c r="B3335" s="84"/>
    </row>
    <row r="3336" ht="12.75">
      <c r="B3336" s="84"/>
    </row>
    <row r="3337" ht="12.75">
      <c r="B3337" s="84"/>
    </row>
    <row r="3338" ht="12.75">
      <c r="B3338" s="84"/>
    </row>
    <row r="3339" ht="12.75">
      <c r="B3339" s="84"/>
    </row>
    <row r="3340" ht="12.75">
      <c r="B3340" s="84"/>
    </row>
    <row r="3341" ht="12.75">
      <c r="B3341" s="84"/>
    </row>
    <row r="3342" ht="12.75">
      <c r="B3342" s="84"/>
    </row>
    <row r="3343" ht="12.75">
      <c r="B3343" s="84"/>
    </row>
    <row r="3344" ht="12.75">
      <c r="B3344" s="84"/>
    </row>
    <row r="3345" ht="12.75">
      <c r="B3345" s="84"/>
    </row>
    <row r="3346" ht="12.75">
      <c r="B3346" s="84"/>
    </row>
    <row r="3347" ht="12.75">
      <c r="B3347" s="84"/>
    </row>
    <row r="3348" ht="12.75">
      <c r="B3348" s="84"/>
    </row>
    <row r="3349" ht="12.75">
      <c r="B3349" s="84"/>
    </row>
    <row r="3350" ht="12.75">
      <c r="B3350" s="84"/>
    </row>
    <row r="3351" ht="12.75">
      <c r="B3351" s="84"/>
    </row>
    <row r="3352" ht="12.75">
      <c r="B3352" s="84"/>
    </row>
    <row r="3353" ht="12.75">
      <c r="B3353" s="84"/>
    </row>
    <row r="3354" ht="12.75">
      <c r="B3354" s="84"/>
    </row>
    <row r="3355" ht="12.75">
      <c r="B3355" s="84"/>
    </row>
    <row r="3356" ht="12.75">
      <c r="B3356" s="84"/>
    </row>
    <row r="3357" ht="12.75">
      <c r="B3357" s="84"/>
    </row>
    <row r="3358" ht="12.75">
      <c r="B3358" s="84"/>
    </row>
    <row r="3359" ht="12.75">
      <c r="B3359" s="84"/>
    </row>
    <row r="3360" ht="12.75">
      <c r="B3360" s="84"/>
    </row>
    <row r="3361" ht="12.75">
      <c r="B3361" s="84"/>
    </row>
    <row r="3362" ht="12.75">
      <c r="B3362" s="84"/>
    </row>
    <row r="3363" ht="12.75">
      <c r="B3363" s="84"/>
    </row>
    <row r="3364" ht="12.75">
      <c r="B3364" s="84"/>
    </row>
    <row r="3365" ht="12.75">
      <c r="B3365" s="84"/>
    </row>
    <row r="3366" ht="12.75">
      <c r="B3366" s="84"/>
    </row>
    <row r="3367" ht="12.75">
      <c r="B3367" s="84"/>
    </row>
    <row r="3368" ht="12.75">
      <c r="B3368" s="84"/>
    </row>
    <row r="3369" ht="12.75">
      <c r="B3369" s="84"/>
    </row>
    <row r="3370" ht="12.75">
      <c r="B3370" s="84"/>
    </row>
    <row r="3371" ht="12.75">
      <c r="B3371" s="84"/>
    </row>
    <row r="3372" ht="12.75">
      <c r="B3372" s="84"/>
    </row>
    <row r="3373" ht="12.75">
      <c r="B3373" s="84"/>
    </row>
    <row r="3374" ht="12.75">
      <c r="B3374" s="84"/>
    </row>
    <row r="3375" ht="12.75">
      <c r="B3375" s="84"/>
    </row>
    <row r="3376" ht="12.75">
      <c r="B3376" s="84"/>
    </row>
    <row r="3377" ht="12.75">
      <c r="B3377" s="84"/>
    </row>
    <row r="3378" ht="12.75">
      <c r="B3378" s="84"/>
    </row>
    <row r="3379" ht="12.75">
      <c r="B3379" s="84"/>
    </row>
    <row r="3380" ht="12.75">
      <c r="B3380" s="84"/>
    </row>
    <row r="3381" ht="12.75">
      <c r="B3381" s="84"/>
    </row>
    <row r="3382" ht="12.75">
      <c r="B3382" s="84"/>
    </row>
    <row r="3383" ht="12.75">
      <c r="B3383" s="84"/>
    </row>
    <row r="3384" ht="12.75">
      <c r="B3384" s="84"/>
    </row>
    <row r="3385" ht="12.75">
      <c r="B3385" s="84"/>
    </row>
    <row r="3386" ht="12.75">
      <c r="B3386" s="84"/>
    </row>
    <row r="3387" ht="12.75">
      <c r="B3387" s="84"/>
    </row>
    <row r="3388" ht="12.75">
      <c r="B3388" s="84"/>
    </row>
    <row r="3389" ht="12.75">
      <c r="B3389" s="84"/>
    </row>
    <row r="3390" ht="12.75">
      <c r="B3390" s="84"/>
    </row>
    <row r="3391" ht="12.75">
      <c r="B3391" s="84"/>
    </row>
    <row r="3392" ht="12.75">
      <c r="B3392" s="84"/>
    </row>
    <row r="3393" ht="12.75">
      <c r="B3393" s="84"/>
    </row>
    <row r="3394" ht="12.75">
      <c r="B3394" s="84"/>
    </row>
    <row r="3395" ht="12.75">
      <c r="B3395" s="84"/>
    </row>
    <row r="3396" ht="12.75">
      <c r="B3396" s="84"/>
    </row>
    <row r="3397" ht="12.75">
      <c r="B3397" s="84"/>
    </row>
    <row r="3398" ht="12.75">
      <c r="B3398" s="84"/>
    </row>
    <row r="3399" ht="12.75">
      <c r="B3399" s="84"/>
    </row>
    <row r="3400" ht="12.75">
      <c r="B3400" s="84"/>
    </row>
    <row r="3401" ht="12.75">
      <c r="B3401" s="84"/>
    </row>
    <row r="3402" ht="12.75">
      <c r="B3402" s="84"/>
    </row>
    <row r="3403" ht="12.75">
      <c r="B3403" s="84"/>
    </row>
    <row r="3404" ht="12.75">
      <c r="B3404" s="84"/>
    </row>
    <row r="3405" ht="12.75">
      <c r="B3405" s="84"/>
    </row>
    <row r="3406" ht="12.75">
      <c r="B3406" s="84"/>
    </row>
    <row r="3407" ht="12.75">
      <c r="B3407" s="84"/>
    </row>
    <row r="3408" ht="12.75">
      <c r="B3408" s="84"/>
    </row>
    <row r="3457" ht="12.75">
      <c r="B3457" s="84"/>
    </row>
    <row r="3458" ht="12.75">
      <c r="B3458" s="84"/>
    </row>
    <row r="3459" ht="12.75">
      <c r="B3459" s="84"/>
    </row>
    <row r="3460" ht="12.75">
      <c r="B3460" s="84"/>
    </row>
    <row r="3461" ht="12.75">
      <c r="B3461" s="84"/>
    </row>
    <row r="3462" ht="12.75">
      <c r="B3462" s="84"/>
    </row>
    <row r="3463" ht="12.75">
      <c r="B3463" s="84"/>
    </row>
    <row r="3464" ht="12.75">
      <c r="B3464" s="84"/>
    </row>
    <row r="3465" ht="12.75">
      <c r="B3465" s="84"/>
    </row>
    <row r="3466" ht="12.75">
      <c r="B3466" s="84"/>
    </row>
    <row r="3467" ht="12.75">
      <c r="B3467" s="84"/>
    </row>
    <row r="3468" ht="12.75">
      <c r="B3468" s="84"/>
    </row>
    <row r="3469" ht="12.75">
      <c r="B3469" s="84"/>
    </row>
    <row r="3470" ht="12.75">
      <c r="B3470" s="84"/>
    </row>
    <row r="3471" ht="12.75">
      <c r="B3471" s="84"/>
    </row>
    <row r="3472" ht="12.75">
      <c r="B3472" s="84"/>
    </row>
    <row r="3473" ht="12.75">
      <c r="B3473" s="84"/>
    </row>
    <row r="3474" ht="12.75">
      <c r="B3474" s="84"/>
    </row>
    <row r="3475" ht="12.75">
      <c r="B3475" s="84"/>
    </row>
    <row r="3476" ht="12.75">
      <c r="B3476" s="84"/>
    </row>
    <row r="3477" ht="12.75">
      <c r="B3477" s="84"/>
    </row>
    <row r="3478" ht="12.75">
      <c r="B3478" s="84"/>
    </row>
    <row r="3479" ht="12.75">
      <c r="B3479" s="84"/>
    </row>
    <row r="3480" ht="12.75">
      <c r="B3480" s="84"/>
    </row>
    <row r="3481" ht="12.75">
      <c r="B3481" s="84"/>
    </row>
    <row r="3482" ht="12.75">
      <c r="B3482" s="84"/>
    </row>
    <row r="3483" ht="12.75">
      <c r="B3483" s="84"/>
    </row>
    <row r="3484" ht="12.75">
      <c r="B3484" s="84"/>
    </row>
    <row r="3485" ht="12.75">
      <c r="B3485" s="84"/>
    </row>
    <row r="3486" ht="12.75">
      <c r="B3486" s="84"/>
    </row>
    <row r="3487" ht="12.75">
      <c r="B3487" s="84"/>
    </row>
    <row r="3488" ht="12.75">
      <c r="B3488" s="84"/>
    </row>
    <row r="3489" ht="12.75">
      <c r="B3489" s="84"/>
    </row>
    <row r="3490" ht="12.75">
      <c r="B3490" s="84"/>
    </row>
    <row r="3491" ht="12.75">
      <c r="B3491" s="84"/>
    </row>
    <row r="3492" ht="12.75">
      <c r="B3492" s="84"/>
    </row>
    <row r="3493" ht="12.75">
      <c r="B3493" s="84"/>
    </row>
    <row r="3494" ht="12.75">
      <c r="B3494" s="84"/>
    </row>
    <row r="3495" ht="12.75">
      <c r="B3495" s="84"/>
    </row>
    <row r="3496" ht="12.75">
      <c r="B3496" s="84"/>
    </row>
    <row r="3497" ht="12.75">
      <c r="B3497" s="84"/>
    </row>
    <row r="3498" ht="12.75">
      <c r="B3498" s="84"/>
    </row>
    <row r="3499" ht="12.75">
      <c r="B3499" s="84"/>
    </row>
    <row r="3500" ht="12.75">
      <c r="B3500" s="84"/>
    </row>
    <row r="3501" ht="12.75">
      <c r="B3501" s="84"/>
    </row>
    <row r="3502" ht="12.75">
      <c r="B3502" s="84"/>
    </row>
    <row r="3503" ht="12.75">
      <c r="B3503" s="84"/>
    </row>
    <row r="3504" ht="12.75">
      <c r="B3504" s="84"/>
    </row>
    <row r="3505" ht="12.75">
      <c r="B3505" s="84"/>
    </row>
    <row r="3506" ht="12.75">
      <c r="B3506" s="84"/>
    </row>
    <row r="3507" ht="12.75">
      <c r="B3507" s="84"/>
    </row>
    <row r="3508" ht="12.75">
      <c r="B3508" s="84"/>
    </row>
    <row r="3509" ht="12.75">
      <c r="B3509" s="84"/>
    </row>
    <row r="3510" ht="12.75">
      <c r="B3510" s="84"/>
    </row>
    <row r="3511" ht="12.75">
      <c r="B3511" s="84"/>
    </row>
    <row r="3512" ht="12.75">
      <c r="B3512" s="84"/>
    </row>
    <row r="3513" ht="12.75">
      <c r="B3513" s="84"/>
    </row>
    <row r="3514" ht="12.75">
      <c r="B3514" s="84"/>
    </row>
    <row r="3515" ht="12.75">
      <c r="B3515" s="84"/>
    </row>
    <row r="3516" ht="12.75">
      <c r="B3516" s="84"/>
    </row>
    <row r="3517" ht="12.75">
      <c r="B3517" s="84"/>
    </row>
    <row r="3518" ht="12.75">
      <c r="B3518" s="84"/>
    </row>
    <row r="3519" ht="12.75">
      <c r="B3519" s="84"/>
    </row>
    <row r="3520" ht="12.75">
      <c r="B3520" s="84"/>
    </row>
    <row r="3521" ht="12.75">
      <c r="B3521" s="84"/>
    </row>
    <row r="3522" ht="12.75">
      <c r="B3522" s="84"/>
    </row>
    <row r="3523" ht="12.75">
      <c r="B3523" s="84"/>
    </row>
    <row r="3524" ht="12.75">
      <c r="B3524" s="84"/>
    </row>
    <row r="3525" ht="12.75">
      <c r="B3525" s="84"/>
    </row>
    <row r="3526" ht="12.75">
      <c r="B3526" s="84"/>
    </row>
    <row r="3527" ht="12.75">
      <c r="B3527" s="84"/>
    </row>
    <row r="3528" ht="12.75">
      <c r="B3528" s="84"/>
    </row>
    <row r="3529" ht="12.75">
      <c r="B3529" s="84"/>
    </row>
    <row r="3530" ht="12.75">
      <c r="B3530" s="84"/>
    </row>
    <row r="3531" ht="12.75">
      <c r="B3531" s="84"/>
    </row>
    <row r="3532" ht="12.75">
      <c r="B3532" s="84"/>
    </row>
    <row r="3533" ht="12.75">
      <c r="B3533" s="84"/>
    </row>
    <row r="3534" ht="12.75">
      <c r="B3534" s="84"/>
    </row>
    <row r="3535" ht="12.75">
      <c r="B3535" s="84"/>
    </row>
    <row r="3536" ht="12.75">
      <c r="B3536" s="84"/>
    </row>
    <row r="3537" ht="12.75">
      <c r="B3537" s="84"/>
    </row>
    <row r="3538" ht="12.75">
      <c r="B3538" s="84"/>
    </row>
    <row r="3539" ht="12.75">
      <c r="B3539" s="84"/>
    </row>
    <row r="3540" ht="12.75">
      <c r="B3540" s="84"/>
    </row>
    <row r="3541" ht="12.75">
      <c r="B3541" s="84"/>
    </row>
    <row r="3542" ht="12.75">
      <c r="B3542" s="84"/>
    </row>
    <row r="3543" ht="12.75">
      <c r="B3543" s="84"/>
    </row>
    <row r="3544" ht="12.75">
      <c r="B3544" s="84"/>
    </row>
    <row r="3545" ht="12.75">
      <c r="B3545" s="84"/>
    </row>
    <row r="3546" ht="12.75">
      <c r="B3546" s="84"/>
    </row>
    <row r="3547" ht="12.75">
      <c r="B3547" s="84"/>
    </row>
    <row r="3548" ht="12.75">
      <c r="B3548" s="84"/>
    </row>
    <row r="3549" ht="12.75">
      <c r="B3549" s="84"/>
    </row>
    <row r="3550" ht="12.75">
      <c r="B3550" s="84"/>
    </row>
    <row r="3551" ht="12.75">
      <c r="B3551" s="84"/>
    </row>
    <row r="3552" ht="12.75">
      <c r="B3552" s="84"/>
    </row>
    <row r="3553" ht="12.75">
      <c r="B3553" s="84"/>
    </row>
    <row r="3554" ht="12.75">
      <c r="B3554" s="84"/>
    </row>
    <row r="3555" ht="12.75">
      <c r="B3555" s="84"/>
    </row>
    <row r="3556" ht="12.75">
      <c r="B3556" s="84"/>
    </row>
    <row r="3557" ht="12.75">
      <c r="B3557" s="84"/>
    </row>
    <row r="3558" ht="12.75">
      <c r="B3558" s="84"/>
    </row>
    <row r="3559" ht="12.75">
      <c r="B3559" s="84"/>
    </row>
    <row r="3560" ht="12.75">
      <c r="B3560" s="84"/>
    </row>
    <row r="3561" ht="12.75">
      <c r="B3561" s="84"/>
    </row>
    <row r="3562" ht="12.75">
      <c r="B3562" s="84"/>
    </row>
    <row r="3563" ht="12.75">
      <c r="B3563" s="84"/>
    </row>
    <row r="3564" ht="12.75">
      <c r="B3564" s="84"/>
    </row>
    <row r="3565" ht="12.75">
      <c r="B3565" s="84"/>
    </row>
    <row r="3566" ht="12.75">
      <c r="B3566" s="84"/>
    </row>
    <row r="3567" ht="12.75">
      <c r="B3567" s="84"/>
    </row>
    <row r="3568" ht="12.75">
      <c r="B3568" s="84"/>
    </row>
    <row r="3569" ht="12.75">
      <c r="B3569" s="84"/>
    </row>
    <row r="3570" ht="12.75">
      <c r="B3570" s="84"/>
    </row>
    <row r="3571" ht="12.75">
      <c r="B3571" s="84"/>
    </row>
    <row r="3572" ht="12.75">
      <c r="B3572" s="84"/>
    </row>
    <row r="3573" ht="12.75">
      <c r="B3573" s="84"/>
    </row>
    <row r="3574" ht="12.75">
      <c r="B3574" s="84"/>
    </row>
    <row r="3575" ht="12.75">
      <c r="B3575" s="84"/>
    </row>
    <row r="3576" ht="12.75">
      <c r="B3576" s="84"/>
    </row>
    <row r="3577" ht="12.75">
      <c r="B3577" s="84"/>
    </row>
    <row r="3578" ht="12.75">
      <c r="B3578" s="84"/>
    </row>
    <row r="3579" ht="12.75">
      <c r="B3579" s="84"/>
    </row>
    <row r="3580" ht="12.75">
      <c r="B3580" s="84"/>
    </row>
    <row r="3581" ht="12.75">
      <c r="B3581" s="84"/>
    </row>
    <row r="3582" ht="12.75">
      <c r="B3582" s="84"/>
    </row>
    <row r="3583" ht="12.75">
      <c r="B3583" s="84"/>
    </row>
    <row r="3584" ht="12.75">
      <c r="B3584" s="84"/>
    </row>
    <row r="3585" ht="12.75">
      <c r="B3585" s="84"/>
    </row>
    <row r="3586" ht="12.75">
      <c r="B3586" s="84"/>
    </row>
    <row r="3587" ht="12.75">
      <c r="B3587" s="84"/>
    </row>
    <row r="3588" ht="12.75">
      <c r="B3588" s="84"/>
    </row>
    <row r="3589" ht="12.75">
      <c r="B3589" s="84"/>
    </row>
    <row r="3590" ht="12.75">
      <c r="B3590" s="84"/>
    </row>
    <row r="3591" ht="12.75">
      <c r="B3591" s="84"/>
    </row>
    <row r="3592" ht="12.75">
      <c r="B3592" s="84"/>
    </row>
    <row r="3593" ht="12.75">
      <c r="B3593" s="84"/>
    </row>
    <row r="3594" ht="12.75">
      <c r="B3594" s="84"/>
    </row>
    <row r="3595" ht="12.75">
      <c r="B3595" s="84"/>
    </row>
    <row r="3596" ht="12.75">
      <c r="B3596" s="84"/>
    </row>
    <row r="3597" ht="12.75">
      <c r="B3597" s="84"/>
    </row>
    <row r="3598" ht="12.75">
      <c r="B3598" s="84"/>
    </row>
    <row r="3599" ht="12.75">
      <c r="B3599" s="84"/>
    </row>
    <row r="3600" ht="12.75">
      <c r="B3600" s="84"/>
    </row>
    <row r="3601" ht="12.75">
      <c r="B3601" s="84"/>
    </row>
    <row r="3602" ht="12.75">
      <c r="B3602" s="84"/>
    </row>
    <row r="3603" ht="12.75">
      <c r="B3603" s="84"/>
    </row>
    <row r="3604" ht="12.75">
      <c r="B3604" s="84"/>
    </row>
    <row r="3605" ht="12.75">
      <c r="B3605" s="84"/>
    </row>
    <row r="3606" ht="12.75">
      <c r="B3606" s="84"/>
    </row>
    <row r="3607" ht="12.75">
      <c r="B3607" s="84"/>
    </row>
    <row r="3608" ht="12.75">
      <c r="B3608" s="84"/>
    </row>
    <row r="3609" ht="12.75">
      <c r="B3609" s="84"/>
    </row>
    <row r="3610" ht="12.75">
      <c r="B3610" s="84"/>
    </row>
    <row r="3611" ht="12.75">
      <c r="B3611" s="84"/>
    </row>
    <row r="3612" ht="12.75">
      <c r="B3612" s="84"/>
    </row>
    <row r="3613" ht="12.75">
      <c r="B3613" s="84"/>
    </row>
    <row r="3614" ht="12.75">
      <c r="B3614" s="84"/>
    </row>
    <row r="3615" ht="12.75">
      <c r="B3615" s="84"/>
    </row>
    <row r="3616" ht="12.75">
      <c r="B3616" s="84"/>
    </row>
    <row r="3617" ht="12.75">
      <c r="B3617" s="84"/>
    </row>
    <row r="3618" ht="12.75">
      <c r="B3618" s="84"/>
    </row>
    <row r="3619" ht="12.75">
      <c r="B3619" s="84"/>
    </row>
    <row r="3620" ht="12.75">
      <c r="B3620" s="84"/>
    </row>
    <row r="3621" ht="12.75">
      <c r="B3621" s="84"/>
    </row>
    <row r="3622" ht="12.75">
      <c r="B3622" s="84"/>
    </row>
    <row r="3623" ht="12.75">
      <c r="B3623" s="84"/>
    </row>
    <row r="3624" ht="12.75">
      <c r="B3624" s="84"/>
    </row>
    <row r="3625" ht="12.75">
      <c r="B3625" s="84"/>
    </row>
    <row r="3626" ht="12.75">
      <c r="B3626" s="84"/>
    </row>
    <row r="3627" ht="12.75">
      <c r="B3627" s="84"/>
    </row>
    <row r="3628" ht="12.75">
      <c r="B3628" s="84"/>
    </row>
    <row r="3629" ht="12.75">
      <c r="B3629" s="84"/>
    </row>
    <row r="3630" ht="12.75">
      <c r="B3630" s="84"/>
    </row>
    <row r="3631" ht="12.75">
      <c r="B3631" s="84"/>
    </row>
    <row r="3632" ht="12.75">
      <c r="B3632" s="84"/>
    </row>
    <row r="3633" ht="12.75">
      <c r="B3633" s="84"/>
    </row>
    <row r="3634" ht="12.75">
      <c r="B3634" s="84"/>
    </row>
    <row r="3635" ht="12.75">
      <c r="B3635" s="84"/>
    </row>
    <row r="3636" ht="12.75">
      <c r="B3636" s="84"/>
    </row>
    <row r="3637" ht="12.75">
      <c r="B3637" s="84"/>
    </row>
    <row r="3638" ht="12.75">
      <c r="B3638" s="84"/>
    </row>
    <row r="3639" ht="12.75">
      <c r="B3639" s="84"/>
    </row>
    <row r="3640" ht="12.75">
      <c r="B3640" s="84"/>
    </row>
    <row r="3641" ht="12.75">
      <c r="B3641" s="84"/>
    </row>
    <row r="3642" ht="12.75">
      <c r="B3642" s="84"/>
    </row>
    <row r="3643" ht="12.75">
      <c r="B3643" s="84"/>
    </row>
    <row r="3644" ht="12.75">
      <c r="B3644" s="84"/>
    </row>
    <row r="3645" ht="12.75">
      <c r="B3645" s="84"/>
    </row>
    <row r="3646" ht="12.75">
      <c r="B3646" s="84"/>
    </row>
    <row r="3647" ht="12.75">
      <c r="B3647" s="84"/>
    </row>
    <row r="3648" ht="12.75">
      <c r="B3648" s="84"/>
    </row>
    <row r="3649" ht="12.75">
      <c r="B3649" s="84"/>
    </row>
    <row r="3650" ht="12.75">
      <c r="B3650" s="84"/>
    </row>
    <row r="3651" ht="12.75">
      <c r="B3651" s="84"/>
    </row>
    <row r="3652" ht="12.75">
      <c r="B3652" s="84"/>
    </row>
    <row r="3653" ht="12.75">
      <c r="B3653" s="84"/>
    </row>
    <row r="3654" ht="12.75">
      <c r="B3654" s="84"/>
    </row>
    <row r="3655" ht="12.75">
      <c r="B3655" s="84"/>
    </row>
    <row r="3656" ht="12.75">
      <c r="B3656" s="84"/>
    </row>
    <row r="3657" ht="12.75">
      <c r="B3657" s="84"/>
    </row>
    <row r="3658" ht="12.75">
      <c r="B3658" s="84"/>
    </row>
    <row r="3659" ht="12.75">
      <c r="B3659" s="84"/>
    </row>
    <row r="3660" ht="12.75">
      <c r="B3660" s="84"/>
    </row>
    <row r="3661" ht="12.75">
      <c r="B3661" s="84"/>
    </row>
    <row r="3662" ht="12.75">
      <c r="B3662" s="84"/>
    </row>
    <row r="3663" ht="12.75">
      <c r="B3663" s="84"/>
    </row>
    <row r="3664" ht="12.75">
      <c r="B3664" s="84"/>
    </row>
    <row r="3665" ht="12.75">
      <c r="B3665" s="84"/>
    </row>
    <row r="3666" ht="12.75">
      <c r="B3666" s="84"/>
    </row>
    <row r="3667" ht="12.75">
      <c r="B3667" s="84"/>
    </row>
    <row r="3668" ht="12.75">
      <c r="B3668" s="84"/>
    </row>
    <row r="3669" ht="12.75">
      <c r="B3669" s="84"/>
    </row>
    <row r="3670" ht="12.75">
      <c r="B3670" s="84"/>
    </row>
    <row r="3671" ht="12.75">
      <c r="B3671" s="84"/>
    </row>
    <row r="3672" ht="12.75">
      <c r="B3672" s="84"/>
    </row>
    <row r="3673" ht="12.75">
      <c r="B3673" s="84"/>
    </row>
    <row r="3674" ht="12.75">
      <c r="B3674" s="84"/>
    </row>
    <row r="3675" ht="12.75">
      <c r="B3675" s="84"/>
    </row>
    <row r="3676" ht="12.75">
      <c r="B3676" s="84"/>
    </row>
    <row r="3677" ht="12.75">
      <c r="B3677" s="84"/>
    </row>
    <row r="3678" ht="12.75">
      <c r="B3678" s="84"/>
    </row>
    <row r="3679" ht="12.75">
      <c r="B3679" s="84"/>
    </row>
    <row r="3680" ht="12.75">
      <c r="B3680" s="84"/>
    </row>
    <row r="3681" ht="12.75">
      <c r="B3681" s="84"/>
    </row>
    <row r="3682" ht="12.75">
      <c r="B3682" s="84"/>
    </row>
    <row r="3683" ht="12.75">
      <c r="B3683" s="84"/>
    </row>
    <row r="3684" ht="12.75">
      <c r="B3684" s="84"/>
    </row>
    <row r="3685" ht="12.75">
      <c r="B3685" s="84"/>
    </row>
    <row r="3686" ht="12.75">
      <c r="B3686" s="84"/>
    </row>
    <row r="3687" ht="12.75">
      <c r="B3687" s="84"/>
    </row>
    <row r="3688" ht="12.75">
      <c r="B3688" s="84"/>
    </row>
    <row r="3689" ht="12.75">
      <c r="B3689" s="84"/>
    </row>
    <row r="3690" ht="12.75">
      <c r="B3690" s="84"/>
    </row>
    <row r="3691" ht="12.75">
      <c r="B3691" s="84"/>
    </row>
    <row r="3692" ht="12.75">
      <c r="B3692" s="84"/>
    </row>
    <row r="3693" ht="12.75">
      <c r="B3693" s="84"/>
    </row>
    <row r="3694" ht="12.75">
      <c r="B3694" s="84"/>
    </row>
    <row r="3695" ht="12.75">
      <c r="B3695" s="84"/>
    </row>
    <row r="3696" ht="12.75">
      <c r="B3696" s="84"/>
    </row>
    <row r="3697" ht="12.75">
      <c r="B3697" s="84"/>
    </row>
    <row r="3698" ht="12.75">
      <c r="B3698" s="84"/>
    </row>
    <row r="3699" ht="12.75">
      <c r="B3699" s="84"/>
    </row>
    <row r="3700" ht="12.75">
      <c r="B3700" s="84"/>
    </row>
    <row r="3701" ht="12.75">
      <c r="B3701" s="84"/>
    </row>
    <row r="3702" ht="12.75">
      <c r="B3702" s="84"/>
    </row>
    <row r="3703" ht="12.75">
      <c r="B3703" s="84"/>
    </row>
    <row r="3704" ht="12.75">
      <c r="B3704" s="84"/>
    </row>
    <row r="3705" ht="12.75">
      <c r="B3705" s="84"/>
    </row>
    <row r="3706" ht="12.75">
      <c r="B3706" s="84"/>
    </row>
    <row r="3707" ht="12.75">
      <c r="B3707" s="84"/>
    </row>
    <row r="3708" ht="12.75">
      <c r="B3708" s="84"/>
    </row>
    <row r="3709" ht="12.75">
      <c r="B3709" s="84"/>
    </row>
    <row r="3710" ht="12.75">
      <c r="B3710" s="84"/>
    </row>
    <row r="3711" ht="12.75">
      <c r="B3711" s="84"/>
    </row>
    <row r="3712" ht="12.75">
      <c r="B3712" s="84"/>
    </row>
    <row r="3713" ht="12.75">
      <c r="B3713" s="84"/>
    </row>
    <row r="3714" ht="12.75">
      <c r="B3714" s="84"/>
    </row>
    <row r="3715" ht="12.75">
      <c r="B3715" s="84"/>
    </row>
    <row r="3716" ht="12.75">
      <c r="B3716" s="84"/>
    </row>
    <row r="3717" ht="12.75">
      <c r="B3717" s="84"/>
    </row>
    <row r="3718" ht="12.75">
      <c r="B3718" s="84"/>
    </row>
    <row r="3719" ht="12.75">
      <c r="B3719" s="84"/>
    </row>
    <row r="3720" ht="12.75">
      <c r="B3720" s="84"/>
    </row>
    <row r="3721" ht="12.75">
      <c r="B3721" s="84"/>
    </row>
    <row r="3722" ht="12.75">
      <c r="B3722" s="84"/>
    </row>
    <row r="3723" ht="12.75">
      <c r="B3723" s="84"/>
    </row>
    <row r="3724" ht="12.75">
      <c r="B3724" s="84"/>
    </row>
    <row r="3725" ht="12.75">
      <c r="B3725" s="84"/>
    </row>
    <row r="3726" ht="12.75">
      <c r="B3726" s="84"/>
    </row>
    <row r="3727" ht="12.75">
      <c r="B3727" s="84"/>
    </row>
    <row r="3728" ht="12.75">
      <c r="B3728" s="84"/>
    </row>
    <row r="3729" ht="12.75">
      <c r="B3729" s="84"/>
    </row>
    <row r="3730" ht="12.75">
      <c r="B3730" s="84"/>
    </row>
    <row r="3731" ht="12.75">
      <c r="B3731" s="84"/>
    </row>
    <row r="3732" ht="12.75">
      <c r="B3732" s="84"/>
    </row>
    <row r="3733" ht="12.75">
      <c r="B3733" s="84"/>
    </row>
    <row r="3734" ht="12.75">
      <c r="B3734" s="84"/>
    </row>
    <row r="3735" ht="12.75">
      <c r="B3735" s="84"/>
    </row>
    <row r="3736" ht="12.75">
      <c r="B3736" s="84"/>
    </row>
    <row r="3737" ht="12.75">
      <c r="B3737" s="84"/>
    </row>
    <row r="3738" ht="12.75">
      <c r="B3738" s="84"/>
    </row>
    <row r="3739" ht="12.75">
      <c r="B3739" s="84"/>
    </row>
    <row r="3740" ht="12.75">
      <c r="B3740" s="84"/>
    </row>
    <row r="3741" ht="12.75">
      <c r="B3741" s="84"/>
    </row>
    <row r="3742" ht="12.75">
      <c r="B3742" s="84"/>
    </row>
    <row r="3743" ht="12.75">
      <c r="B3743" s="84"/>
    </row>
    <row r="3744" ht="12.75">
      <c r="B3744" s="84"/>
    </row>
    <row r="3745" ht="12.75">
      <c r="B3745" s="84"/>
    </row>
    <row r="3746" ht="12.75">
      <c r="B3746" s="84"/>
    </row>
    <row r="3747" ht="12.75">
      <c r="B3747" s="84"/>
    </row>
    <row r="3748" ht="12.75">
      <c r="B3748" s="84"/>
    </row>
    <row r="3749" ht="12.75">
      <c r="B3749" s="84"/>
    </row>
    <row r="3750" ht="12.75">
      <c r="B3750" s="84"/>
    </row>
    <row r="3751" ht="12.75">
      <c r="B3751" s="84"/>
    </row>
    <row r="3752" ht="12.75">
      <c r="B3752" s="84"/>
    </row>
    <row r="3753" ht="12.75">
      <c r="B3753" s="84"/>
    </row>
    <row r="3754" ht="12.75">
      <c r="B3754" s="84"/>
    </row>
    <row r="3755" ht="12.75">
      <c r="B3755" s="84"/>
    </row>
    <row r="3756" ht="12.75">
      <c r="B3756" s="84"/>
    </row>
    <row r="3757" ht="12.75">
      <c r="B3757" s="84"/>
    </row>
    <row r="3758" ht="12.75">
      <c r="B3758" s="84"/>
    </row>
    <row r="3759" ht="12.75">
      <c r="B3759" s="84"/>
    </row>
    <row r="3760" ht="12.75">
      <c r="B3760" s="84"/>
    </row>
    <row r="3761" ht="12.75">
      <c r="B3761" s="84"/>
    </row>
    <row r="3762" ht="12.75">
      <c r="B3762" s="84"/>
    </row>
    <row r="3763" ht="12.75">
      <c r="B3763" s="84"/>
    </row>
    <row r="3764" ht="12.75">
      <c r="B3764" s="84"/>
    </row>
    <row r="3765" ht="12.75">
      <c r="B3765" s="84"/>
    </row>
    <row r="3766" ht="12.75">
      <c r="B3766" s="84"/>
    </row>
    <row r="3767" ht="12.75">
      <c r="B3767" s="84"/>
    </row>
    <row r="3768" ht="12.75">
      <c r="B3768" s="84"/>
    </row>
    <row r="3769" ht="12.75">
      <c r="B3769" s="84"/>
    </row>
    <row r="3770" ht="12.75">
      <c r="B3770" s="84"/>
    </row>
    <row r="3771" ht="12.75">
      <c r="B3771" s="84"/>
    </row>
    <row r="3772" ht="12.75">
      <c r="B3772" s="84"/>
    </row>
    <row r="3773" ht="12.75">
      <c r="B3773" s="84"/>
    </row>
    <row r="3774" ht="12.75">
      <c r="B3774" s="84"/>
    </row>
    <row r="3775" ht="12.75">
      <c r="B3775" s="84"/>
    </row>
    <row r="3776" ht="12.75">
      <c r="B3776" s="84"/>
    </row>
    <row r="3777" ht="12.75">
      <c r="B3777" s="84"/>
    </row>
    <row r="3778" ht="12.75">
      <c r="B3778" s="84"/>
    </row>
    <row r="3779" ht="12.75">
      <c r="B3779" s="84"/>
    </row>
    <row r="3780" ht="12.75">
      <c r="B3780" s="84"/>
    </row>
    <row r="3781" ht="12.75">
      <c r="B3781" s="84"/>
    </row>
    <row r="3782" ht="12.75">
      <c r="B3782" s="84"/>
    </row>
    <row r="3783" ht="12.75">
      <c r="B3783" s="84"/>
    </row>
    <row r="3784" ht="12.75">
      <c r="B3784" s="84"/>
    </row>
    <row r="3785" ht="12.75">
      <c r="B3785" s="84"/>
    </row>
    <row r="3786" ht="12.75">
      <c r="B3786" s="84"/>
    </row>
    <row r="3787" ht="12.75">
      <c r="B3787" s="84"/>
    </row>
    <row r="3788" ht="12.75">
      <c r="B3788" s="84"/>
    </row>
    <row r="3789" ht="12.75">
      <c r="B3789" s="84"/>
    </row>
    <row r="3790" ht="12.75">
      <c r="B3790" s="84"/>
    </row>
    <row r="3791" ht="12.75">
      <c r="B3791" s="84"/>
    </row>
    <row r="3792" ht="12.75">
      <c r="B3792" s="84"/>
    </row>
    <row r="3841" ht="12.75">
      <c r="B3841" s="84"/>
    </row>
    <row r="3842" ht="12.75">
      <c r="B3842" s="84"/>
    </row>
    <row r="3843" ht="12.75">
      <c r="B3843" s="84"/>
    </row>
    <row r="3844" ht="12.75">
      <c r="B3844" s="84"/>
    </row>
    <row r="3845" ht="12.75">
      <c r="B3845" s="84"/>
    </row>
    <row r="3846" ht="12.75">
      <c r="B3846" s="84"/>
    </row>
    <row r="3847" ht="12.75">
      <c r="B3847" s="84"/>
    </row>
    <row r="3848" ht="12.75">
      <c r="B3848" s="84"/>
    </row>
    <row r="3849" ht="12.75">
      <c r="B3849" s="84"/>
    </row>
    <row r="3850" ht="12.75">
      <c r="B3850" s="84"/>
    </row>
    <row r="3851" ht="12.75">
      <c r="B3851" s="84"/>
    </row>
    <row r="3852" ht="12.75">
      <c r="B3852" s="84"/>
    </row>
    <row r="3853" ht="12.75">
      <c r="B3853" s="84"/>
    </row>
    <row r="3854" ht="12.75">
      <c r="B3854" s="84"/>
    </row>
    <row r="3855" ht="12.75">
      <c r="B3855" s="84"/>
    </row>
    <row r="3856" ht="12.75">
      <c r="B3856" s="84"/>
    </row>
    <row r="3857" ht="12.75">
      <c r="B3857" s="84"/>
    </row>
    <row r="3858" ht="12.75">
      <c r="B3858" s="84"/>
    </row>
    <row r="3859" ht="12.75">
      <c r="B3859" s="84"/>
    </row>
    <row r="3860" ht="12.75">
      <c r="B3860" s="84"/>
    </row>
    <row r="3861" ht="12.75">
      <c r="B3861" s="84"/>
    </row>
    <row r="3862" ht="12.75">
      <c r="B3862" s="84"/>
    </row>
    <row r="3863" ht="12.75">
      <c r="B3863" s="84"/>
    </row>
    <row r="3864" ht="12.75">
      <c r="B3864" s="84"/>
    </row>
    <row r="3865" ht="12.75">
      <c r="B3865" s="84"/>
    </row>
    <row r="3866" ht="12.75">
      <c r="B3866" s="84"/>
    </row>
    <row r="3867" ht="12.75">
      <c r="B3867" s="84"/>
    </row>
    <row r="3868" ht="12.75">
      <c r="B3868" s="84"/>
    </row>
    <row r="3869" ht="12.75">
      <c r="B3869" s="84"/>
    </row>
    <row r="3870" ht="12.75">
      <c r="B3870" s="84"/>
    </row>
    <row r="3871" ht="12.75">
      <c r="B3871" s="84"/>
    </row>
    <row r="3872" ht="12.75">
      <c r="B3872" s="84"/>
    </row>
    <row r="3873" ht="12.75">
      <c r="B3873" s="84"/>
    </row>
    <row r="3874" ht="12.75">
      <c r="B3874" s="84"/>
    </row>
    <row r="3875" ht="12.75">
      <c r="B3875" s="84"/>
    </row>
    <row r="3876" ht="12.75">
      <c r="B3876" s="84"/>
    </row>
    <row r="3877" ht="12.75">
      <c r="B3877" s="84"/>
    </row>
    <row r="3878" ht="12.75">
      <c r="B3878" s="84"/>
    </row>
    <row r="3879" ht="12.75">
      <c r="B3879" s="84"/>
    </row>
    <row r="3880" ht="12.75">
      <c r="B3880" s="84"/>
    </row>
    <row r="3881" ht="12.75">
      <c r="B3881" s="84"/>
    </row>
    <row r="3882" ht="12.75">
      <c r="B3882" s="84"/>
    </row>
    <row r="3883" ht="12.75">
      <c r="B3883" s="84"/>
    </row>
    <row r="3884" ht="12.75">
      <c r="B3884" s="84"/>
    </row>
    <row r="3885" ht="12.75">
      <c r="B3885" s="84"/>
    </row>
    <row r="3886" ht="12.75">
      <c r="B3886" s="84"/>
    </row>
    <row r="3887" ht="12.75">
      <c r="B3887" s="84"/>
    </row>
    <row r="3888" ht="12.75">
      <c r="B3888" s="84"/>
    </row>
    <row r="3889" ht="12.75">
      <c r="B3889" s="84"/>
    </row>
    <row r="3890" ht="12.75">
      <c r="B3890" s="84"/>
    </row>
    <row r="3891" ht="12.75">
      <c r="B3891" s="84"/>
    </row>
    <row r="3892" ht="12.75">
      <c r="B3892" s="84"/>
    </row>
    <row r="3893" ht="12.75">
      <c r="B3893" s="84"/>
    </row>
    <row r="3894" ht="12.75">
      <c r="B3894" s="84"/>
    </row>
    <row r="3895" ht="12.75">
      <c r="B3895" s="84"/>
    </row>
    <row r="3896" ht="12.75">
      <c r="B3896" s="84"/>
    </row>
    <row r="3897" ht="12.75">
      <c r="B3897" s="84"/>
    </row>
    <row r="3898" ht="12.75">
      <c r="B3898" s="84"/>
    </row>
    <row r="3899" ht="12.75">
      <c r="B3899" s="84"/>
    </row>
    <row r="3900" ht="12.75">
      <c r="B3900" s="84"/>
    </row>
    <row r="3901" ht="12.75">
      <c r="B3901" s="84"/>
    </row>
    <row r="3902" ht="12.75">
      <c r="B3902" s="84"/>
    </row>
    <row r="3903" ht="12.75">
      <c r="B3903" s="84"/>
    </row>
    <row r="3904" ht="12.75">
      <c r="B3904" s="84"/>
    </row>
    <row r="3905" ht="12.75">
      <c r="B3905" s="84"/>
    </row>
    <row r="3906" ht="12.75">
      <c r="B3906" s="84"/>
    </row>
    <row r="3907" ht="12.75">
      <c r="B3907" s="84"/>
    </row>
    <row r="3908" ht="12.75">
      <c r="B3908" s="84"/>
    </row>
    <row r="3909" ht="12.75">
      <c r="B3909" s="84"/>
    </row>
    <row r="3910" ht="12.75">
      <c r="B3910" s="84"/>
    </row>
    <row r="3911" ht="12.75">
      <c r="B3911" s="84"/>
    </row>
    <row r="3912" ht="12.75">
      <c r="B3912" s="84"/>
    </row>
    <row r="3913" ht="12.75">
      <c r="B3913" s="84"/>
    </row>
    <row r="3914" ht="12.75">
      <c r="B3914" s="84"/>
    </row>
    <row r="3915" ht="12.75">
      <c r="B3915" s="84"/>
    </row>
    <row r="3916" ht="12.75">
      <c r="B3916" s="84"/>
    </row>
    <row r="3917" ht="12.75">
      <c r="B3917" s="84"/>
    </row>
    <row r="3918" ht="12.75">
      <c r="B3918" s="84"/>
    </row>
    <row r="3919" ht="12.75">
      <c r="B3919" s="84"/>
    </row>
    <row r="3920" ht="12.75">
      <c r="B3920" s="84"/>
    </row>
    <row r="3921" ht="12.75">
      <c r="B3921" s="84"/>
    </row>
    <row r="3922" ht="12.75">
      <c r="B3922" s="84"/>
    </row>
    <row r="3923" ht="12.75">
      <c r="B3923" s="84"/>
    </row>
    <row r="3924" ht="12.75">
      <c r="B3924" s="84"/>
    </row>
    <row r="3925" ht="12.75">
      <c r="B3925" s="84"/>
    </row>
    <row r="3926" ht="12.75">
      <c r="B3926" s="84"/>
    </row>
    <row r="3927" ht="12.75">
      <c r="B3927" s="84"/>
    </row>
    <row r="3928" ht="12.75">
      <c r="B3928" s="84"/>
    </row>
    <row r="3929" ht="12.75">
      <c r="B3929" s="84"/>
    </row>
    <row r="3930" ht="12.75">
      <c r="B3930" s="84"/>
    </row>
    <row r="3931" ht="12.75">
      <c r="B3931" s="84"/>
    </row>
    <row r="3932" ht="12.75">
      <c r="B3932" s="84"/>
    </row>
    <row r="3933" ht="12.75">
      <c r="B3933" s="84"/>
    </row>
    <row r="3934" ht="12.75">
      <c r="B3934" s="84"/>
    </row>
    <row r="3935" ht="12.75">
      <c r="B3935" s="84"/>
    </row>
    <row r="3936" ht="12.75">
      <c r="B3936" s="84"/>
    </row>
    <row r="3937" ht="12.75">
      <c r="B3937" s="84"/>
    </row>
    <row r="3938" ht="12.75">
      <c r="B3938" s="84"/>
    </row>
    <row r="3939" ht="12.75">
      <c r="B3939" s="84"/>
    </row>
    <row r="3940" ht="12.75">
      <c r="B3940" s="84"/>
    </row>
    <row r="3941" ht="12.75">
      <c r="B3941" s="84"/>
    </row>
    <row r="3942" ht="12.75">
      <c r="B3942" s="84"/>
    </row>
    <row r="3943" ht="12.75">
      <c r="B3943" s="84"/>
    </row>
    <row r="3944" ht="12.75">
      <c r="B3944" s="84"/>
    </row>
    <row r="3945" ht="12.75">
      <c r="B3945" s="84"/>
    </row>
    <row r="3946" ht="12.75">
      <c r="B3946" s="84"/>
    </row>
    <row r="3947" ht="12.75">
      <c r="B3947" s="84"/>
    </row>
    <row r="3948" ht="12.75">
      <c r="B3948" s="84"/>
    </row>
    <row r="3949" ht="12.75">
      <c r="B3949" s="84"/>
    </row>
    <row r="3950" ht="12.75">
      <c r="B3950" s="84"/>
    </row>
    <row r="3951" ht="12.75">
      <c r="B3951" s="84"/>
    </row>
    <row r="3952" ht="12.75">
      <c r="B3952" s="84"/>
    </row>
    <row r="3953" ht="12.75">
      <c r="B3953" s="84"/>
    </row>
    <row r="3954" ht="12.75">
      <c r="B3954" s="84"/>
    </row>
    <row r="3955" ht="12.75">
      <c r="B3955" s="84"/>
    </row>
    <row r="3956" ht="12.75">
      <c r="B3956" s="84"/>
    </row>
    <row r="3957" ht="12.75">
      <c r="B3957" s="84"/>
    </row>
    <row r="3958" ht="12.75">
      <c r="B3958" s="84"/>
    </row>
    <row r="3959" ht="12.75">
      <c r="B3959" s="84"/>
    </row>
    <row r="3960" ht="12.75">
      <c r="B3960" s="84"/>
    </row>
    <row r="3961" ht="12.75">
      <c r="B3961" s="84"/>
    </row>
    <row r="3962" ht="12.75">
      <c r="B3962" s="84"/>
    </row>
    <row r="3963" ht="12.75">
      <c r="B3963" s="84"/>
    </row>
    <row r="3964" ht="12.75">
      <c r="B3964" s="84"/>
    </row>
    <row r="3965" ht="12.75">
      <c r="B3965" s="84"/>
    </row>
    <row r="3966" ht="12.75">
      <c r="B3966" s="84"/>
    </row>
    <row r="3967" ht="12.75">
      <c r="B3967" s="84"/>
    </row>
    <row r="3968" ht="12.75">
      <c r="B3968" s="84"/>
    </row>
    <row r="3969" ht="12.75">
      <c r="B3969" s="84"/>
    </row>
    <row r="3970" ht="12.75">
      <c r="B3970" s="84"/>
    </row>
    <row r="3971" ht="12.75">
      <c r="B3971" s="84"/>
    </row>
    <row r="3972" ht="12.75">
      <c r="B3972" s="84"/>
    </row>
    <row r="3973" ht="12.75">
      <c r="B3973" s="84"/>
    </row>
    <row r="3974" ht="12.75">
      <c r="B3974" s="84"/>
    </row>
    <row r="3975" ht="12.75">
      <c r="B3975" s="84"/>
    </row>
    <row r="3976" ht="12.75">
      <c r="B3976" s="84"/>
    </row>
    <row r="3977" ht="12.75">
      <c r="B3977" s="84"/>
    </row>
    <row r="3978" ht="12.75">
      <c r="B3978" s="84"/>
    </row>
    <row r="3979" ht="12.75">
      <c r="B3979" s="84"/>
    </row>
    <row r="3980" ht="12.75">
      <c r="B3980" s="84"/>
    </row>
    <row r="3981" ht="12.75">
      <c r="B3981" s="84"/>
    </row>
    <row r="3982" ht="12.75">
      <c r="B3982" s="84"/>
    </row>
    <row r="3983" ht="12.75">
      <c r="B3983" s="84"/>
    </row>
    <row r="3984" ht="12.75">
      <c r="B3984" s="84"/>
    </row>
    <row r="3985" ht="12.75">
      <c r="B3985" s="84"/>
    </row>
    <row r="3986" ht="12.75">
      <c r="B3986" s="84"/>
    </row>
    <row r="3987" ht="12.75">
      <c r="B3987" s="84"/>
    </row>
    <row r="3988" ht="12.75">
      <c r="B3988" s="84"/>
    </row>
    <row r="3989" ht="12.75">
      <c r="B3989" s="84"/>
    </row>
    <row r="3990" ht="12.75">
      <c r="B3990" s="84"/>
    </row>
    <row r="3991" ht="12.75">
      <c r="B3991" s="84"/>
    </row>
    <row r="3992" ht="12.75">
      <c r="B3992" s="84"/>
    </row>
    <row r="3993" ht="12.75">
      <c r="B3993" s="84"/>
    </row>
    <row r="3994" ht="12.75">
      <c r="B3994" s="84"/>
    </row>
    <row r="3995" ht="12.75">
      <c r="B3995" s="84"/>
    </row>
    <row r="3996" ht="12.75">
      <c r="B3996" s="84"/>
    </row>
    <row r="3997" ht="12.75">
      <c r="B3997" s="84"/>
    </row>
    <row r="3998" ht="12.75">
      <c r="B3998" s="84"/>
    </row>
    <row r="3999" ht="12.75">
      <c r="B3999" s="84"/>
    </row>
    <row r="4000" ht="12.75">
      <c r="B4000" s="84"/>
    </row>
    <row r="4001" ht="12.75">
      <c r="B4001" s="84"/>
    </row>
    <row r="4002" ht="12.75">
      <c r="B4002" s="84"/>
    </row>
    <row r="4003" ht="12.75">
      <c r="B4003" s="84"/>
    </row>
    <row r="4004" ht="12.75">
      <c r="B4004" s="84"/>
    </row>
    <row r="4005" ht="12.75">
      <c r="B4005" s="84"/>
    </row>
    <row r="4006" ht="12.75">
      <c r="B4006" s="84"/>
    </row>
    <row r="4007" ht="12.75">
      <c r="B4007" s="84"/>
    </row>
    <row r="4008" ht="12.75">
      <c r="B4008" s="84"/>
    </row>
    <row r="4009" ht="12.75">
      <c r="B4009" s="84"/>
    </row>
    <row r="4010" ht="12.75">
      <c r="B4010" s="84"/>
    </row>
    <row r="4011" ht="12.75">
      <c r="B4011" s="84"/>
    </row>
    <row r="4012" ht="12.75">
      <c r="B4012" s="84"/>
    </row>
    <row r="4013" ht="12.75">
      <c r="B4013" s="84"/>
    </row>
    <row r="4014" ht="12.75">
      <c r="B4014" s="84"/>
    </row>
    <row r="4015" ht="12.75">
      <c r="B4015" s="84"/>
    </row>
    <row r="4016" ht="12.75">
      <c r="B4016" s="84"/>
    </row>
    <row r="4017" ht="12.75">
      <c r="B4017" s="84"/>
    </row>
    <row r="4018" ht="12.75">
      <c r="B4018" s="84"/>
    </row>
    <row r="4019" ht="12.75">
      <c r="B4019" s="84"/>
    </row>
    <row r="4020" ht="12.75">
      <c r="B4020" s="84"/>
    </row>
    <row r="4021" ht="12.75">
      <c r="B4021" s="84"/>
    </row>
    <row r="4022" ht="12.75">
      <c r="B4022" s="84"/>
    </row>
    <row r="4023" ht="12.75">
      <c r="B4023" s="84"/>
    </row>
    <row r="4024" ht="12.75">
      <c r="B4024" s="84"/>
    </row>
    <row r="4025" ht="12.75">
      <c r="B4025" s="84"/>
    </row>
    <row r="4026" ht="12.75">
      <c r="B4026" s="84"/>
    </row>
    <row r="4027" ht="12.75">
      <c r="B4027" s="84"/>
    </row>
    <row r="4028" ht="12.75">
      <c r="B4028" s="84"/>
    </row>
    <row r="4029" ht="12.75">
      <c r="B4029" s="84"/>
    </row>
    <row r="4030" ht="12.75">
      <c r="B4030" s="84"/>
    </row>
    <row r="4031" ht="12.75">
      <c r="B4031" s="84"/>
    </row>
    <row r="4032" ht="12.75">
      <c r="B4032" s="84"/>
    </row>
    <row r="4033" ht="12.75">
      <c r="B4033" s="84"/>
    </row>
    <row r="4034" ht="12.75">
      <c r="B4034" s="84"/>
    </row>
    <row r="4035" ht="12.75">
      <c r="B4035" s="84"/>
    </row>
    <row r="4036" ht="12.75">
      <c r="B4036" s="84"/>
    </row>
    <row r="4037" ht="12.75">
      <c r="B4037" s="84"/>
    </row>
    <row r="4038" ht="12.75">
      <c r="B4038" s="84"/>
    </row>
    <row r="4039" ht="12.75">
      <c r="B4039" s="84"/>
    </row>
    <row r="4040" ht="12.75">
      <c r="B4040" s="84"/>
    </row>
    <row r="4041" ht="12.75">
      <c r="B4041" s="84"/>
    </row>
    <row r="4042" ht="12.75">
      <c r="B4042" s="84"/>
    </row>
    <row r="4043" ht="12.75">
      <c r="B4043" s="84"/>
    </row>
    <row r="4044" ht="12.75">
      <c r="B4044" s="84"/>
    </row>
    <row r="4045" ht="12.75">
      <c r="B4045" s="84"/>
    </row>
    <row r="4046" ht="12.75">
      <c r="B4046" s="84"/>
    </row>
    <row r="4047" ht="12.75">
      <c r="B4047" s="84"/>
    </row>
    <row r="4048" ht="12.75">
      <c r="B4048" s="84"/>
    </row>
    <row r="4049" ht="12.75">
      <c r="B4049" s="84"/>
    </row>
    <row r="4050" ht="12.75">
      <c r="B4050" s="84"/>
    </row>
    <row r="4051" ht="12.75">
      <c r="B4051" s="84"/>
    </row>
    <row r="4052" ht="12.75">
      <c r="B4052" s="84"/>
    </row>
    <row r="4053" ht="12.75">
      <c r="B4053" s="84"/>
    </row>
    <row r="4054" ht="12.75">
      <c r="B4054" s="84"/>
    </row>
    <row r="4055" ht="12.75">
      <c r="B4055" s="84"/>
    </row>
    <row r="4056" ht="12.75">
      <c r="B4056" s="84"/>
    </row>
    <row r="4057" ht="12.75">
      <c r="B4057" s="84"/>
    </row>
    <row r="4058" ht="12.75">
      <c r="B4058" s="84"/>
    </row>
    <row r="4059" ht="12.75">
      <c r="B4059" s="84"/>
    </row>
    <row r="4060" ht="12.75">
      <c r="B4060" s="84"/>
    </row>
    <row r="4061" ht="12.75">
      <c r="B4061" s="84"/>
    </row>
    <row r="4062" ht="12.75">
      <c r="B4062" s="84"/>
    </row>
    <row r="4063" ht="12.75">
      <c r="B4063" s="84"/>
    </row>
    <row r="4064" ht="12.75">
      <c r="B4064" s="84"/>
    </row>
    <row r="4065" ht="12.75">
      <c r="B4065" s="84"/>
    </row>
    <row r="4066" ht="12.75">
      <c r="B4066" s="84"/>
    </row>
    <row r="4067" ht="12.75">
      <c r="B4067" s="84"/>
    </row>
    <row r="4068" ht="12.75">
      <c r="B4068" s="84"/>
    </row>
    <row r="4069" ht="12.75">
      <c r="B4069" s="84"/>
    </row>
    <row r="4070" ht="12.75">
      <c r="B4070" s="84"/>
    </row>
    <row r="4071" ht="12.75">
      <c r="B4071" s="84"/>
    </row>
    <row r="4072" ht="12.75">
      <c r="B4072" s="84"/>
    </row>
    <row r="4073" ht="12.75">
      <c r="B4073" s="84"/>
    </row>
    <row r="4074" ht="12.75">
      <c r="B4074" s="84"/>
    </row>
    <row r="4075" ht="12.75">
      <c r="B4075" s="84"/>
    </row>
    <row r="4076" ht="12.75">
      <c r="B4076" s="84"/>
    </row>
    <row r="4077" ht="12.75">
      <c r="B4077" s="84"/>
    </row>
    <row r="4078" ht="12.75">
      <c r="B4078" s="84"/>
    </row>
    <row r="4079" ht="12.75">
      <c r="B4079" s="84"/>
    </row>
    <row r="4080" ht="12.75">
      <c r="B4080" s="84"/>
    </row>
    <row r="4081" ht="12.75">
      <c r="B4081" s="84"/>
    </row>
    <row r="4082" ht="12.75">
      <c r="B4082" s="84"/>
    </row>
    <row r="4083" ht="12.75">
      <c r="B4083" s="84"/>
    </row>
    <row r="4084" ht="12.75">
      <c r="B4084" s="84"/>
    </row>
    <row r="4085" ht="12.75">
      <c r="B4085" s="84"/>
    </row>
    <row r="4086" ht="12.75">
      <c r="B4086" s="84"/>
    </row>
    <row r="4087" ht="12.75">
      <c r="B4087" s="84"/>
    </row>
    <row r="4088" ht="12.75">
      <c r="B4088" s="84"/>
    </row>
    <row r="4089" ht="12.75">
      <c r="B4089" s="84"/>
    </row>
    <row r="4090" ht="12.75">
      <c r="B4090" s="84"/>
    </row>
    <row r="4091" ht="12.75">
      <c r="B4091" s="84"/>
    </row>
    <row r="4092" ht="12.75">
      <c r="B4092" s="84"/>
    </row>
    <row r="4093" ht="12.75">
      <c r="B4093" s="84"/>
    </row>
    <row r="4094" ht="12.75">
      <c r="B4094" s="84"/>
    </row>
    <row r="4095" ht="12.75">
      <c r="B4095" s="84"/>
    </row>
    <row r="4096" ht="12.75">
      <c r="B4096" s="84"/>
    </row>
    <row r="4097" ht="12.75">
      <c r="B4097" s="84"/>
    </row>
    <row r="4098" ht="12.75">
      <c r="B4098" s="84"/>
    </row>
    <row r="4099" ht="12.75">
      <c r="B4099" s="84"/>
    </row>
    <row r="4100" ht="12.75">
      <c r="B4100" s="84"/>
    </row>
    <row r="4101" ht="12.75">
      <c r="B4101" s="84"/>
    </row>
    <row r="4102" ht="12.75">
      <c r="B4102" s="84"/>
    </row>
    <row r="4103" ht="12.75">
      <c r="B4103" s="84"/>
    </row>
    <row r="4104" ht="12.75">
      <c r="B4104" s="84"/>
    </row>
    <row r="4105" ht="12.75">
      <c r="B4105" s="84"/>
    </row>
    <row r="4106" ht="12.75">
      <c r="B4106" s="84"/>
    </row>
    <row r="4107" ht="12.75">
      <c r="B4107" s="84"/>
    </row>
    <row r="4108" ht="12.75">
      <c r="B4108" s="84"/>
    </row>
    <row r="4109" ht="12.75">
      <c r="B4109" s="84"/>
    </row>
    <row r="4110" ht="12.75">
      <c r="B4110" s="84"/>
    </row>
    <row r="4111" ht="12.75">
      <c r="B4111" s="84"/>
    </row>
    <row r="4112" ht="12.75">
      <c r="B4112" s="84"/>
    </row>
    <row r="4113" ht="12.75">
      <c r="B4113" s="84"/>
    </row>
    <row r="4114" ht="12.75">
      <c r="B4114" s="84"/>
    </row>
    <row r="4115" ht="12.75">
      <c r="B4115" s="84"/>
    </row>
    <row r="4116" ht="12.75">
      <c r="B4116" s="84"/>
    </row>
    <row r="4117" ht="12.75">
      <c r="B4117" s="84"/>
    </row>
    <row r="4118" ht="12.75">
      <c r="B4118" s="84"/>
    </row>
    <row r="4119" ht="12.75">
      <c r="B4119" s="84"/>
    </row>
    <row r="4120" ht="12.75">
      <c r="B4120" s="84"/>
    </row>
    <row r="4121" ht="12.75">
      <c r="B4121" s="84"/>
    </row>
    <row r="4122" ht="12.75">
      <c r="B4122" s="84"/>
    </row>
    <row r="4123" ht="12.75">
      <c r="B4123" s="84"/>
    </row>
    <row r="4124" ht="12.75">
      <c r="B4124" s="84"/>
    </row>
    <row r="4125" ht="12.75">
      <c r="B4125" s="84"/>
    </row>
    <row r="4126" ht="12.75">
      <c r="B4126" s="84"/>
    </row>
    <row r="4127" ht="12.75">
      <c r="B4127" s="84"/>
    </row>
    <row r="4128" ht="12.75">
      <c r="B4128" s="84"/>
    </row>
    <row r="4129" ht="12.75">
      <c r="B4129" s="84"/>
    </row>
    <row r="4130" ht="12.75">
      <c r="B4130" s="84"/>
    </row>
    <row r="4131" ht="12.75">
      <c r="B4131" s="84"/>
    </row>
    <row r="4132" ht="12.75">
      <c r="B4132" s="84"/>
    </row>
    <row r="4133" ht="12.75">
      <c r="B4133" s="84"/>
    </row>
    <row r="4134" ht="12.75">
      <c r="B4134" s="84"/>
    </row>
    <row r="4135" ht="12.75">
      <c r="B4135" s="84"/>
    </row>
    <row r="4136" ht="12.75">
      <c r="B4136" s="84"/>
    </row>
    <row r="4137" ht="12.75">
      <c r="B4137" s="84"/>
    </row>
    <row r="4138" ht="12.75">
      <c r="B4138" s="84"/>
    </row>
    <row r="4139" ht="12.75">
      <c r="B4139" s="84"/>
    </row>
    <row r="4140" ht="12.75">
      <c r="B4140" s="84"/>
    </row>
    <row r="4141" ht="12.75">
      <c r="B4141" s="84"/>
    </row>
    <row r="4142" ht="12.75">
      <c r="B4142" s="84"/>
    </row>
    <row r="4143" ht="12.75">
      <c r="B4143" s="84"/>
    </row>
    <row r="4144" ht="12.75">
      <c r="B4144" s="84"/>
    </row>
    <row r="4145" ht="12.75">
      <c r="B4145" s="84"/>
    </row>
    <row r="4146" ht="12.75">
      <c r="B4146" s="84"/>
    </row>
    <row r="4147" ht="12.75">
      <c r="B4147" s="84"/>
    </row>
    <row r="4148" ht="12.75">
      <c r="B4148" s="84"/>
    </row>
    <row r="4149" ht="12.75">
      <c r="B4149" s="84"/>
    </row>
    <row r="4150" ht="12.75">
      <c r="B4150" s="84"/>
    </row>
    <row r="4151" ht="12.75">
      <c r="B4151" s="84"/>
    </row>
    <row r="4152" ht="12.75">
      <c r="B4152" s="84"/>
    </row>
    <row r="4153" ht="12.75">
      <c r="B4153" s="84"/>
    </row>
    <row r="4154" ht="12.75">
      <c r="B4154" s="84"/>
    </row>
    <row r="4155" ht="12.75">
      <c r="B4155" s="84"/>
    </row>
    <row r="4156" ht="12.75">
      <c r="B4156" s="84"/>
    </row>
    <row r="4157" ht="12.75">
      <c r="B4157" s="84"/>
    </row>
    <row r="4158" ht="12.75">
      <c r="B4158" s="84"/>
    </row>
    <row r="4159" ht="12.75">
      <c r="B4159" s="84"/>
    </row>
    <row r="4160" ht="12.75">
      <c r="B4160" s="84"/>
    </row>
    <row r="4161" ht="12.75">
      <c r="B4161" s="84"/>
    </row>
    <row r="4162" ht="12.75">
      <c r="B4162" s="84"/>
    </row>
    <row r="4163" ht="12.75">
      <c r="B4163" s="84"/>
    </row>
    <row r="4164" ht="12.75">
      <c r="B4164" s="84"/>
    </row>
    <row r="4165" ht="12.75">
      <c r="B4165" s="84"/>
    </row>
    <row r="4166" ht="12.75">
      <c r="B4166" s="84"/>
    </row>
    <row r="4167" ht="12.75">
      <c r="B4167" s="84"/>
    </row>
    <row r="4168" ht="12.75">
      <c r="B4168" s="84"/>
    </row>
    <row r="4169" ht="12.75">
      <c r="B4169" s="84"/>
    </row>
    <row r="4170" ht="12.75">
      <c r="B4170" s="84"/>
    </row>
    <row r="4171" ht="12.75">
      <c r="B4171" s="84"/>
    </row>
    <row r="4172" ht="12.75">
      <c r="B4172" s="84"/>
    </row>
    <row r="4173" ht="12.75">
      <c r="B4173" s="84"/>
    </row>
    <row r="4174" ht="12.75">
      <c r="B4174" s="84"/>
    </row>
    <row r="4175" ht="12.75">
      <c r="B4175" s="84"/>
    </row>
    <row r="4176" ht="12.75">
      <c r="B4176" s="84"/>
    </row>
    <row r="4225" ht="12.75">
      <c r="B4225" s="84"/>
    </row>
    <row r="4226" ht="12.75">
      <c r="B4226" s="84"/>
    </row>
    <row r="4227" ht="12.75">
      <c r="B4227" s="84"/>
    </row>
    <row r="4228" ht="12.75">
      <c r="B4228" s="84"/>
    </row>
    <row r="4229" ht="12.75">
      <c r="B4229" s="84"/>
    </row>
    <row r="4230" ht="12.75">
      <c r="B4230" s="84"/>
    </row>
    <row r="4231" ht="12.75">
      <c r="B4231" s="84"/>
    </row>
    <row r="4232" ht="12.75">
      <c r="B4232" s="84"/>
    </row>
    <row r="4233" ht="12.75">
      <c r="B4233" s="84"/>
    </row>
    <row r="4234" ht="12.75">
      <c r="B4234" s="84"/>
    </row>
    <row r="4235" ht="12.75">
      <c r="B4235" s="84"/>
    </row>
    <row r="4236" ht="12.75">
      <c r="B4236" s="84"/>
    </row>
    <row r="4237" ht="12.75">
      <c r="B4237" s="84"/>
    </row>
    <row r="4238" ht="12.75">
      <c r="B4238" s="84"/>
    </row>
    <row r="4239" ht="12.75">
      <c r="B4239" s="84"/>
    </row>
    <row r="4240" ht="12.75">
      <c r="B4240" s="84"/>
    </row>
    <row r="4241" ht="12.75">
      <c r="B4241" s="84"/>
    </row>
    <row r="4242" ht="12.75">
      <c r="B4242" s="84"/>
    </row>
    <row r="4243" ht="12.75">
      <c r="B4243" s="84"/>
    </row>
    <row r="4244" ht="12.75">
      <c r="B4244" s="84"/>
    </row>
    <row r="4245" ht="12.75">
      <c r="B4245" s="84"/>
    </row>
    <row r="4246" ht="12.75">
      <c r="B4246" s="84"/>
    </row>
    <row r="4247" ht="12.75">
      <c r="B4247" s="84"/>
    </row>
    <row r="4248" ht="12.75">
      <c r="B4248" s="84"/>
    </row>
    <row r="4249" ht="12.75">
      <c r="B4249" s="84"/>
    </row>
    <row r="4250" ht="12.75">
      <c r="B4250" s="84"/>
    </row>
    <row r="4251" ht="12.75">
      <c r="B4251" s="84"/>
    </row>
    <row r="4252" ht="12.75">
      <c r="B4252" s="84"/>
    </row>
    <row r="4253" ht="12.75">
      <c r="B4253" s="84"/>
    </row>
    <row r="4254" ht="12.75">
      <c r="B4254" s="84"/>
    </row>
    <row r="4255" ht="12.75">
      <c r="B4255" s="84"/>
    </row>
    <row r="4256" ht="12.75">
      <c r="B4256" s="84"/>
    </row>
    <row r="4257" ht="12.75">
      <c r="B4257" s="84"/>
    </row>
    <row r="4258" ht="12.75">
      <c r="B4258" s="84"/>
    </row>
    <row r="4259" ht="12.75">
      <c r="B4259" s="84"/>
    </row>
    <row r="4260" ht="12.75">
      <c r="B4260" s="84"/>
    </row>
    <row r="4261" ht="12.75">
      <c r="B4261" s="84"/>
    </row>
    <row r="4262" ht="12.75">
      <c r="B4262" s="84"/>
    </row>
    <row r="4263" ht="12.75">
      <c r="B4263" s="84"/>
    </row>
    <row r="4264" ht="12.75">
      <c r="B4264" s="84"/>
    </row>
    <row r="4265" ht="12.75">
      <c r="B4265" s="84"/>
    </row>
    <row r="4266" ht="12.75">
      <c r="B4266" s="84"/>
    </row>
    <row r="4267" ht="12.75">
      <c r="B4267" s="84"/>
    </row>
    <row r="4268" ht="12.75">
      <c r="B4268" s="84"/>
    </row>
    <row r="4269" ht="12.75">
      <c r="B4269" s="84"/>
    </row>
    <row r="4270" ht="12.75">
      <c r="B4270" s="84"/>
    </row>
    <row r="4271" ht="12.75">
      <c r="B4271" s="84"/>
    </row>
    <row r="4272" ht="12.75">
      <c r="B4272" s="84"/>
    </row>
    <row r="4273" ht="12.75">
      <c r="B4273" s="84"/>
    </row>
    <row r="4274" ht="12.75">
      <c r="B4274" s="84"/>
    </row>
    <row r="4275" ht="12.75">
      <c r="B4275" s="84"/>
    </row>
    <row r="4276" ht="12.75">
      <c r="B4276" s="84"/>
    </row>
    <row r="4277" ht="12.75">
      <c r="B4277" s="84"/>
    </row>
    <row r="4278" ht="12.75">
      <c r="B4278" s="84"/>
    </row>
    <row r="4279" ht="12.75">
      <c r="B4279" s="84"/>
    </row>
    <row r="4280" ht="12.75">
      <c r="B4280" s="84"/>
    </row>
    <row r="4281" ht="12.75">
      <c r="B4281" s="84"/>
    </row>
    <row r="4282" ht="12.75">
      <c r="B4282" s="84"/>
    </row>
    <row r="4283" ht="12.75">
      <c r="B4283" s="84"/>
    </row>
    <row r="4284" ht="12.75">
      <c r="B4284" s="84"/>
    </row>
    <row r="4285" ht="12.75">
      <c r="B4285" s="84"/>
    </row>
    <row r="4286" ht="12.75">
      <c r="B4286" s="84"/>
    </row>
    <row r="4287" ht="12.75">
      <c r="B4287" s="84"/>
    </row>
    <row r="4288" ht="12.75">
      <c r="B4288" s="84"/>
    </row>
    <row r="4289" ht="12.75">
      <c r="B4289" s="84"/>
    </row>
    <row r="4290" ht="12.75">
      <c r="B4290" s="84"/>
    </row>
    <row r="4291" ht="12.75">
      <c r="B4291" s="84"/>
    </row>
    <row r="4292" ht="12.75">
      <c r="B4292" s="84"/>
    </row>
    <row r="4293" ht="12.75">
      <c r="B4293" s="84"/>
    </row>
    <row r="4294" ht="12.75">
      <c r="B4294" s="84"/>
    </row>
    <row r="4295" ht="12.75">
      <c r="B4295" s="84"/>
    </row>
    <row r="4296" ht="12.75">
      <c r="B4296" s="84"/>
    </row>
    <row r="4297" ht="12.75">
      <c r="B4297" s="84"/>
    </row>
    <row r="4298" ht="12.75">
      <c r="B4298" s="84"/>
    </row>
    <row r="4299" ht="12.75">
      <c r="B4299" s="84"/>
    </row>
    <row r="4300" ht="12.75">
      <c r="B4300" s="84"/>
    </row>
    <row r="4301" ht="12.75">
      <c r="B4301" s="84"/>
    </row>
    <row r="4302" ht="12.75">
      <c r="B4302" s="84"/>
    </row>
    <row r="4303" ht="12.75">
      <c r="B4303" s="84"/>
    </row>
    <row r="4304" ht="12.75">
      <c r="B4304" s="84"/>
    </row>
    <row r="4305" ht="12.75">
      <c r="B4305" s="84"/>
    </row>
    <row r="4306" ht="12.75">
      <c r="B4306" s="84"/>
    </row>
    <row r="4307" ht="12.75">
      <c r="B4307" s="84"/>
    </row>
    <row r="4308" ht="12.75">
      <c r="B4308" s="84"/>
    </row>
    <row r="4309" ht="12.75">
      <c r="B4309" s="84"/>
    </row>
    <row r="4310" ht="12.75">
      <c r="B4310" s="84"/>
    </row>
    <row r="4311" ht="12.75">
      <c r="B4311" s="84"/>
    </row>
    <row r="4312" ht="12.75">
      <c r="B4312" s="84"/>
    </row>
    <row r="4313" ht="12.75">
      <c r="B4313" s="84"/>
    </row>
    <row r="4314" ht="12.75">
      <c r="B4314" s="84"/>
    </row>
    <row r="4315" ht="12.75">
      <c r="B4315" s="84"/>
    </row>
    <row r="4316" ht="12.75">
      <c r="B4316" s="84"/>
    </row>
    <row r="4317" ht="12.75">
      <c r="B4317" s="84"/>
    </row>
    <row r="4318" ht="12.75">
      <c r="B4318" s="84"/>
    </row>
    <row r="4319" ht="12.75">
      <c r="B4319" s="84"/>
    </row>
    <row r="4320" ht="12.75">
      <c r="B4320" s="84"/>
    </row>
    <row r="4321" ht="12.75">
      <c r="B4321" s="84"/>
    </row>
    <row r="4322" ht="12.75">
      <c r="B4322" s="84"/>
    </row>
    <row r="4323" ht="12.75">
      <c r="B4323" s="84"/>
    </row>
    <row r="4324" ht="12.75">
      <c r="B4324" s="84"/>
    </row>
    <row r="4325" ht="12.75">
      <c r="B4325" s="84"/>
    </row>
    <row r="4326" ht="12.75">
      <c r="B4326" s="84"/>
    </row>
    <row r="4327" ht="12.75">
      <c r="B4327" s="84"/>
    </row>
    <row r="4328" ht="12.75">
      <c r="B4328" s="84"/>
    </row>
    <row r="4329" ht="12.75">
      <c r="B4329" s="84"/>
    </row>
    <row r="4330" ht="12.75">
      <c r="B4330" s="84"/>
    </row>
    <row r="4331" ht="12.75">
      <c r="B4331" s="84"/>
    </row>
    <row r="4332" ht="12.75">
      <c r="B4332" s="84"/>
    </row>
    <row r="4333" ht="12.75">
      <c r="B4333" s="84"/>
    </row>
    <row r="4334" ht="12.75">
      <c r="B4334" s="84"/>
    </row>
    <row r="4335" ht="12.75">
      <c r="B4335" s="84"/>
    </row>
    <row r="4336" ht="12.75">
      <c r="B4336" s="84"/>
    </row>
    <row r="4337" ht="12.75">
      <c r="B4337" s="84"/>
    </row>
    <row r="4338" ht="12.75">
      <c r="B4338" s="84"/>
    </row>
    <row r="4339" ht="12.75">
      <c r="B4339" s="84"/>
    </row>
    <row r="4340" ht="12.75">
      <c r="B4340" s="84"/>
    </row>
    <row r="4341" ht="12.75">
      <c r="B4341" s="84"/>
    </row>
    <row r="4342" ht="12.75">
      <c r="B4342" s="84"/>
    </row>
    <row r="4343" ht="12.75">
      <c r="B4343" s="84"/>
    </row>
    <row r="4344" ht="12.75">
      <c r="B4344" s="84"/>
    </row>
    <row r="4345" ht="12.75">
      <c r="B4345" s="84"/>
    </row>
    <row r="4346" ht="12.75">
      <c r="B4346" s="84"/>
    </row>
    <row r="4347" ht="12.75">
      <c r="B4347" s="84"/>
    </row>
    <row r="4348" ht="12.75">
      <c r="B4348" s="84"/>
    </row>
    <row r="4349" ht="12.75">
      <c r="B4349" s="84"/>
    </row>
    <row r="4350" ht="12.75">
      <c r="B4350" s="84"/>
    </row>
    <row r="4351" ht="12.75">
      <c r="B4351" s="84"/>
    </row>
    <row r="4352" ht="12.75">
      <c r="B4352" s="84"/>
    </row>
    <row r="4353" ht="12.75">
      <c r="B4353" s="84"/>
    </row>
    <row r="4354" ht="12.75">
      <c r="B4354" s="84"/>
    </row>
    <row r="4355" ht="12.75">
      <c r="B4355" s="84"/>
    </row>
    <row r="4356" ht="12.75">
      <c r="B4356" s="84"/>
    </row>
    <row r="4357" ht="12.75">
      <c r="B4357" s="84"/>
    </row>
    <row r="4358" ht="12.75">
      <c r="B4358" s="84"/>
    </row>
    <row r="4359" ht="12.75">
      <c r="B4359" s="84"/>
    </row>
    <row r="4360" ht="12.75">
      <c r="B4360" s="84"/>
    </row>
    <row r="4361" ht="12.75">
      <c r="B4361" s="84"/>
    </row>
    <row r="4362" ht="12.75">
      <c r="B4362" s="84"/>
    </row>
    <row r="4363" ht="12.75">
      <c r="B4363" s="84"/>
    </row>
    <row r="4364" ht="12.75">
      <c r="B4364" s="84"/>
    </row>
    <row r="4365" ht="12.75">
      <c r="B4365" s="84"/>
    </row>
    <row r="4366" ht="12.75">
      <c r="B4366" s="84"/>
    </row>
    <row r="4367" ht="12.75">
      <c r="B4367" s="84"/>
    </row>
    <row r="4368" ht="12.75">
      <c r="B4368" s="84"/>
    </row>
    <row r="4369" ht="12.75">
      <c r="B4369" s="84"/>
    </row>
    <row r="4370" ht="12.75">
      <c r="B4370" s="84"/>
    </row>
    <row r="4371" ht="12.75">
      <c r="B4371" s="84"/>
    </row>
    <row r="4372" ht="12.75">
      <c r="B4372" s="84"/>
    </row>
    <row r="4373" ht="12.75">
      <c r="B4373" s="84"/>
    </row>
    <row r="4374" ht="12.75">
      <c r="B4374" s="84"/>
    </row>
    <row r="4375" ht="12.75">
      <c r="B4375" s="84"/>
    </row>
    <row r="4376" ht="12.75">
      <c r="B4376" s="84"/>
    </row>
    <row r="4377" ht="12.75">
      <c r="B4377" s="84"/>
    </row>
    <row r="4378" ht="12.75">
      <c r="B4378" s="84"/>
    </row>
    <row r="4379" ht="12.75">
      <c r="B4379" s="84"/>
    </row>
    <row r="4380" ht="12.75">
      <c r="B4380" s="84"/>
    </row>
    <row r="4381" ht="12.75">
      <c r="B4381" s="84"/>
    </row>
    <row r="4382" ht="12.75">
      <c r="B4382" s="84"/>
    </row>
    <row r="4383" ht="12.75">
      <c r="B4383" s="84"/>
    </row>
    <row r="4384" ht="12.75">
      <c r="B4384" s="84"/>
    </row>
    <row r="4385" ht="12.75">
      <c r="B4385" s="84"/>
    </row>
    <row r="4386" ht="12.75">
      <c r="B4386" s="84"/>
    </row>
    <row r="4387" ht="12.75">
      <c r="B4387" s="84"/>
    </row>
    <row r="4388" ht="12.75">
      <c r="B4388" s="84"/>
    </row>
    <row r="4389" ht="12.75">
      <c r="B4389" s="84"/>
    </row>
    <row r="4390" ht="12.75">
      <c r="B4390" s="84"/>
    </row>
    <row r="4391" ht="12.75">
      <c r="B4391" s="84"/>
    </row>
    <row r="4392" ht="12.75">
      <c r="B4392" s="84"/>
    </row>
    <row r="4393" ht="12.75">
      <c r="B4393" s="84"/>
    </row>
    <row r="4394" ht="12.75">
      <c r="B4394" s="84"/>
    </row>
    <row r="4395" ht="12.75">
      <c r="B4395" s="84"/>
    </row>
    <row r="4396" ht="12.75">
      <c r="B4396" s="84"/>
    </row>
    <row r="4397" ht="12.75">
      <c r="B4397" s="84"/>
    </row>
    <row r="4398" ht="12.75">
      <c r="B4398" s="84"/>
    </row>
    <row r="4399" ht="12.75">
      <c r="B4399" s="84"/>
    </row>
    <row r="4400" ht="12.75">
      <c r="B4400" s="84"/>
    </row>
    <row r="4401" ht="12.75">
      <c r="B4401" s="84"/>
    </row>
    <row r="4402" ht="12.75">
      <c r="B4402" s="84"/>
    </row>
    <row r="4403" ht="12.75">
      <c r="B4403" s="84"/>
    </row>
    <row r="4404" ht="12.75">
      <c r="B4404" s="84"/>
    </row>
    <row r="4405" ht="12.75">
      <c r="B4405" s="84"/>
    </row>
    <row r="4406" ht="12.75">
      <c r="B4406" s="84"/>
    </row>
    <row r="4407" ht="12.75">
      <c r="B4407" s="84"/>
    </row>
    <row r="4408" ht="12.75">
      <c r="B4408" s="84"/>
    </row>
    <row r="4409" ht="12.75">
      <c r="B4409" s="84"/>
    </row>
    <row r="4410" ht="12.75">
      <c r="B4410" s="84"/>
    </row>
    <row r="4411" ht="12.75">
      <c r="B4411" s="84"/>
    </row>
    <row r="4412" ht="12.75">
      <c r="B4412" s="84"/>
    </row>
    <row r="4413" ht="12.75">
      <c r="B4413" s="84"/>
    </row>
    <row r="4414" ht="12.75">
      <c r="B4414" s="84"/>
    </row>
    <row r="4415" ht="12.75">
      <c r="B4415" s="84"/>
    </row>
    <row r="4416" ht="12.75">
      <c r="B4416" s="84"/>
    </row>
    <row r="4417" ht="12.75">
      <c r="B4417" s="84"/>
    </row>
    <row r="4418" ht="12.75">
      <c r="B4418" s="84"/>
    </row>
    <row r="4419" ht="12.75">
      <c r="B4419" s="84"/>
    </row>
    <row r="4420" ht="12.75">
      <c r="B4420" s="84"/>
    </row>
    <row r="4421" ht="12.75">
      <c r="B4421" s="84"/>
    </row>
    <row r="4422" ht="12.75">
      <c r="B4422" s="84"/>
    </row>
    <row r="4423" ht="12.75">
      <c r="B4423" s="84"/>
    </row>
    <row r="4424" ht="12.75">
      <c r="B4424" s="84"/>
    </row>
    <row r="4425" ht="12.75">
      <c r="B4425" s="84"/>
    </row>
    <row r="4426" ht="12.75">
      <c r="B4426" s="84"/>
    </row>
    <row r="4427" ht="12.75">
      <c r="B4427" s="84"/>
    </row>
    <row r="4428" ht="12.75">
      <c r="B4428" s="84"/>
    </row>
    <row r="4429" ht="12.75">
      <c r="B4429" s="84"/>
    </row>
    <row r="4430" ht="12.75">
      <c r="B4430" s="84"/>
    </row>
    <row r="4431" ht="12.75">
      <c r="B4431" s="84"/>
    </row>
    <row r="4432" ht="12.75">
      <c r="B4432" s="84"/>
    </row>
    <row r="4433" ht="12.75">
      <c r="B4433" s="84"/>
    </row>
    <row r="4434" ht="12.75">
      <c r="B4434" s="84"/>
    </row>
    <row r="4435" ht="12.75">
      <c r="B4435" s="84"/>
    </row>
    <row r="4436" ht="12.75">
      <c r="B4436" s="84"/>
    </row>
    <row r="4437" ht="12.75">
      <c r="B4437" s="84"/>
    </row>
    <row r="4438" ht="12.75">
      <c r="B4438" s="84"/>
    </row>
    <row r="4439" ht="12.75">
      <c r="B4439" s="84"/>
    </row>
    <row r="4440" ht="12.75">
      <c r="B4440" s="84"/>
    </row>
    <row r="4441" ht="12.75">
      <c r="B4441" s="84"/>
    </row>
    <row r="4442" ht="12.75">
      <c r="B4442" s="84"/>
    </row>
    <row r="4443" ht="12.75">
      <c r="B4443" s="84"/>
    </row>
    <row r="4444" ht="12.75">
      <c r="B4444" s="84"/>
    </row>
    <row r="4445" ht="12.75">
      <c r="B4445" s="84"/>
    </row>
    <row r="4446" ht="12.75">
      <c r="B4446" s="84"/>
    </row>
    <row r="4447" ht="12.75">
      <c r="B4447" s="84"/>
    </row>
    <row r="4448" ht="12.75">
      <c r="B4448" s="84"/>
    </row>
    <row r="4449" ht="12.75">
      <c r="B4449" s="84"/>
    </row>
    <row r="4450" ht="12.75">
      <c r="B4450" s="84"/>
    </row>
    <row r="4451" ht="12.75">
      <c r="B4451" s="84"/>
    </row>
    <row r="4452" ht="12.75">
      <c r="B4452" s="84"/>
    </row>
    <row r="4453" ht="12.75">
      <c r="B4453" s="84"/>
    </row>
    <row r="4454" ht="12.75">
      <c r="B4454" s="84"/>
    </row>
    <row r="4455" ht="12.75">
      <c r="B4455" s="84"/>
    </row>
    <row r="4456" ht="12.75">
      <c r="B4456" s="84"/>
    </row>
    <row r="4457" ht="12.75">
      <c r="B4457" s="84"/>
    </row>
    <row r="4458" ht="12.75">
      <c r="B4458" s="84"/>
    </row>
    <row r="4459" ht="12.75">
      <c r="B4459" s="84"/>
    </row>
    <row r="4460" ht="12.75">
      <c r="B4460" s="84"/>
    </row>
    <row r="4461" ht="12.75">
      <c r="B4461" s="84"/>
    </row>
    <row r="4462" ht="12.75">
      <c r="B4462" s="84"/>
    </row>
    <row r="4463" ht="12.75">
      <c r="B4463" s="84"/>
    </row>
    <row r="4464" ht="12.75">
      <c r="B4464" s="84"/>
    </row>
    <row r="4465" ht="12.75">
      <c r="B4465" s="84"/>
    </row>
    <row r="4466" ht="12.75">
      <c r="B4466" s="84"/>
    </row>
    <row r="4467" ht="12.75">
      <c r="B4467" s="84"/>
    </row>
    <row r="4468" ht="12.75">
      <c r="B4468" s="84"/>
    </row>
    <row r="4469" ht="12.75">
      <c r="B4469" s="84"/>
    </row>
    <row r="4470" ht="12.75">
      <c r="B4470" s="84"/>
    </row>
    <row r="4471" ht="12.75">
      <c r="B4471" s="84"/>
    </row>
    <row r="4472" ht="12.75">
      <c r="B4472" s="84"/>
    </row>
    <row r="4473" ht="12.75">
      <c r="B4473" s="84"/>
    </row>
    <row r="4474" ht="12.75">
      <c r="B4474" s="84"/>
    </row>
    <row r="4475" ht="12.75">
      <c r="B4475" s="84"/>
    </row>
    <row r="4476" ht="12.75">
      <c r="B4476" s="84"/>
    </row>
    <row r="4477" ht="12.75">
      <c r="B4477" s="84"/>
    </row>
    <row r="4478" ht="12.75">
      <c r="B4478" s="84"/>
    </row>
    <row r="4479" ht="12.75">
      <c r="B4479" s="84"/>
    </row>
    <row r="4480" ht="12.75">
      <c r="B4480" s="84"/>
    </row>
    <row r="4481" ht="12.75">
      <c r="B4481" s="84"/>
    </row>
    <row r="4482" ht="12.75">
      <c r="B4482" s="84"/>
    </row>
    <row r="4483" ht="12.75">
      <c r="B4483" s="84"/>
    </row>
    <row r="4484" ht="12.75">
      <c r="B4484" s="84"/>
    </row>
    <row r="4485" ht="12.75">
      <c r="B4485" s="84"/>
    </row>
    <row r="4486" ht="12.75">
      <c r="B4486" s="84"/>
    </row>
    <row r="4487" ht="12.75">
      <c r="B4487" s="84"/>
    </row>
    <row r="4488" ht="12.75">
      <c r="B4488" s="84"/>
    </row>
    <row r="4489" ht="12.75">
      <c r="B4489" s="84"/>
    </row>
    <row r="4490" ht="12.75">
      <c r="B4490" s="84"/>
    </row>
    <row r="4491" ht="12.75">
      <c r="B4491" s="84"/>
    </row>
    <row r="4492" ht="12.75">
      <c r="B4492" s="84"/>
    </row>
    <row r="4493" ht="12.75">
      <c r="B4493" s="84"/>
    </row>
    <row r="4494" ht="12.75">
      <c r="B4494" s="84"/>
    </row>
    <row r="4495" ht="12.75">
      <c r="B4495" s="84"/>
    </row>
    <row r="4496" ht="12.75">
      <c r="B4496" s="84"/>
    </row>
    <row r="4497" ht="12.75">
      <c r="B4497" s="84"/>
    </row>
    <row r="4498" ht="12.75">
      <c r="B4498" s="84"/>
    </row>
    <row r="4499" ht="12.75">
      <c r="B4499" s="84"/>
    </row>
    <row r="4500" ht="12.75">
      <c r="B4500" s="84"/>
    </row>
    <row r="4501" ht="12.75">
      <c r="B4501" s="84"/>
    </row>
    <row r="4502" ht="12.75">
      <c r="B4502" s="84"/>
    </row>
    <row r="4503" ht="12.75">
      <c r="B4503" s="84"/>
    </row>
    <row r="4504" ht="12.75">
      <c r="B4504" s="84"/>
    </row>
    <row r="4505" ht="12.75">
      <c r="B4505" s="84"/>
    </row>
    <row r="4506" ht="12.75">
      <c r="B4506" s="84"/>
    </row>
    <row r="4507" ht="12.75">
      <c r="B4507" s="84"/>
    </row>
    <row r="4508" ht="12.75">
      <c r="B4508" s="84"/>
    </row>
    <row r="4509" ht="12.75">
      <c r="B4509" s="84"/>
    </row>
    <row r="4510" ht="12.75">
      <c r="B4510" s="84"/>
    </row>
    <row r="4511" ht="12.75">
      <c r="B4511" s="84"/>
    </row>
    <row r="4512" ht="12.75">
      <c r="B4512" s="84"/>
    </row>
    <row r="4513" ht="12.75">
      <c r="B4513" s="84"/>
    </row>
    <row r="4514" ht="12.75">
      <c r="B4514" s="84"/>
    </row>
    <row r="4515" ht="12.75">
      <c r="B4515" s="84"/>
    </row>
    <row r="4516" ht="12.75">
      <c r="B4516" s="84"/>
    </row>
    <row r="4517" ht="12.75">
      <c r="B4517" s="84"/>
    </row>
    <row r="4518" ht="12.75">
      <c r="B4518" s="84"/>
    </row>
    <row r="4519" ht="12.75">
      <c r="B4519" s="84"/>
    </row>
    <row r="4520" ht="12.75">
      <c r="B4520" s="84"/>
    </row>
    <row r="4521" ht="12.75">
      <c r="B4521" s="84"/>
    </row>
    <row r="4522" ht="12.75">
      <c r="B4522" s="84"/>
    </row>
    <row r="4523" ht="12.75">
      <c r="B4523" s="84"/>
    </row>
    <row r="4524" ht="12.75">
      <c r="B4524" s="84"/>
    </row>
    <row r="4525" ht="12.75">
      <c r="B4525" s="84"/>
    </row>
    <row r="4526" ht="12.75">
      <c r="B4526" s="84"/>
    </row>
    <row r="4527" ht="12.75">
      <c r="B4527" s="84"/>
    </row>
    <row r="4528" ht="12.75">
      <c r="B4528" s="84"/>
    </row>
    <row r="4529" ht="12.75">
      <c r="B4529" s="84"/>
    </row>
    <row r="4530" ht="12.75">
      <c r="B4530" s="84"/>
    </row>
    <row r="4531" ht="12.75">
      <c r="B4531" s="84"/>
    </row>
    <row r="4532" ht="12.75">
      <c r="B4532" s="84"/>
    </row>
    <row r="4533" ht="12.75">
      <c r="B4533" s="84"/>
    </row>
    <row r="4534" ht="12.75">
      <c r="B4534" s="84"/>
    </row>
    <row r="4535" ht="12.75">
      <c r="B4535" s="84"/>
    </row>
    <row r="4536" ht="12.75">
      <c r="B4536" s="84"/>
    </row>
    <row r="4537" ht="12.75">
      <c r="B4537" s="84"/>
    </row>
    <row r="4538" ht="12.75">
      <c r="B4538" s="84"/>
    </row>
    <row r="4539" ht="12.75">
      <c r="B4539" s="84"/>
    </row>
    <row r="4540" ht="12.75">
      <c r="B4540" s="84"/>
    </row>
    <row r="4541" ht="12.75">
      <c r="B4541" s="84"/>
    </row>
    <row r="4542" ht="12.75">
      <c r="B4542" s="84"/>
    </row>
    <row r="4543" ht="12.75">
      <c r="B4543" s="84"/>
    </row>
    <row r="4544" ht="12.75">
      <c r="B4544" s="84"/>
    </row>
    <row r="4545" ht="12.75">
      <c r="B4545" s="84"/>
    </row>
    <row r="4546" ht="12.75">
      <c r="B4546" s="84"/>
    </row>
    <row r="4547" ht="12.75">
      <c r="B4547" s="84"/>
    </row>
    <row r="4548" ht="12.75">
      <c r="B4548" s="84"/>
    </row>
    <row r="4549" ht="12.75">
      <c r="B4549" s="84"/>
    </row>
    <row r="4550" ht="12.75">
      <c r="B4550" s="84"/>
    </row>
    <row r="4551" ht="12.75">
      <c r="B4551" s="84"/>
    </row>
    <row r="4552" ht="12.75">
      <c r="B4552" s="84"/>
    </row>
    <row r="4553" ht="12.75">
      <c r="B4553" s="84"/>
    </row>
    <row r="4554" ht="12.75">
      <c r="B4554" s="84"/>
    </row>
    <row r="4555" ht="12.75">
      <c r="B4555" s="84"/>
    </row>
    <row r="4556" ht="12.75">
      <c r="B4556" s="84"/>
    </row>
    <row r="4557" ht="12.75">
      <c r="B4557" s="84"/>
    </row>
    <row r="4558" ht="12.75">
      <c r="B4558" s="84"/>
    </row>
    <row r="4559" ht="12.75">
      <c r="B4559" s="84"/>
    </row>
    <row r="4560" ht="12.75">
      <c r="B4560" s="84"/>
    </row>
    <row r="4609" ht="12.75">
      <c r="B4609" s="84"/>
    </row>
    <row r="4610" ht="12.75">
      <c r="B4610" s="84"/>
    </row>
    <row r="4611" ht="12.75">
      <c r="B4611" s="84"/>
    </row>
    <row r="4612" ht="12.75">
      <c r="B4612" s="84"/>
    </row>
    <row r="4613" ht="12.75">
      <c r="B4613" s="84"/>
    </row>
    <row r="4614" ht="12.75">
      <c r="B4614" s="84"/>
    </row>
    <row r="4615" ht="12.75">
      <c r="B4615" s="84"/>
    </row>
    <row r="4616" ht="12.75">
      <c r="B4616" s="84"/>
    </row>
    <row r="4617" ht="12.75">
      <c r="B4617" s="84"/>
    </row>
    <row r="4618" ht="12.75">
      <c r="B4618" s="84"/>
    </row>
    <row r="4619" ht="12.75">
      <c r="B4619" s="84"/>
    </row>
    <row r="4620" ht="12.75">
      <c r="B4620" s="84"/>
    </row>
    <row r="4621" ht="12.75">
      <c r="B4621" s="84"/>
    </row>
    <row r="4622" ht="12.75">
      <c r="B4622" s="84"/>
    </row>
    <row r="4623" ht="12.75">
      <c r="B4623" s="84"/>
    </row>
    <row r="4624" ht="12.75">
      <c r="B4624" s="84"/>
    </row>
    <row r="4625" ht="12.75">
      <c r="B4625" s="84"/>
    </row>
    <row r="4626" ht="12.75">
      <c r="B4626" s="84"/>
    </row>
    <row r="4627" ht="12.75">
      <c r="B4627" s="84"/>
    </row>
    <row r="4628" ht="12.75">
      <c r="B4628" s="84"/>
    </row>
    <row r="4629" ht="12.75">
      <c r="B4629" s="84"/>
    </row>
    <row r="4630" ht="12.75">
      <c r="B4630" s="84"/>
    </row>
    <row r="4631" ht="12.75">
      <c r="B4631" s="84"/>
    </row>
    <row r="4632" ht="12.75">
      <c r="B4632" s="84"/>
    </row>
    <row r="4633" ht="12.75">
      <c r="B4633" s="84"/>
    </row>
    <row r="4634" ht="12.75">
      <c r="B4634" s="84"/>
    </row>
    <row r="4635" ht="12.75">
      <c r="B4635" s="84"/>
    </row>
    <row r="4636" ht="12.75">
      <c r="B4636" s="84"/>
    </row>
    <row r="4637" ht="12.75">
      <c r="B4637" s="84"/>
    </row>
    <row r="4638" ht="12.75">
      <c r="B4638" s="84"/>
    </row>
    <row r="4639" ht="12.75">
      <c r="B4639" s="84"/>
    </row>
    <row r="4640" ht="12.75">
      <c r="B4640" s="84"/>
    </row>
    <row r="4641" ht="12.75">
      <c r="B4641" s="84"/>
    </row>
    <row r="4642" ht="12.75">
      <c r="B4642" s="84"/>
    </row>
    <row r="4643" ht="12.75">
      <c r="B4643" s="84"/>
    </row>
    <row r="4644" ht="12.75">
      <c r="B4644" s="84"/>
    </row>
    <row r="4645" ht="12.75">
      <c r="B4645" s="84"/>
    </row>
    <row r="4646" ht="12.75">
      <c r="B4646" s="84"/>
    </row>
    <row r="4647" ht="12.75">
      <c r="B4647" s="84"/>
    </row>
    <row r="4648" ht="12.75">
      <c r="B4648" s="84"/>
    </row>
    <row r="4649" ht="12.75">
      <c r="B4649" s="84"/>
    </row>
    <row r="4650" ht="12.75">
      <c r="B4650" s="84"/>
    </row>
    <row r="4651" ht="12.75">
      <c r="B4651" s="84"/>
    </row>
    <row r="4652" ht="12.75">
      <c r="B4652" s="84"/>
    </row>
    <row r="4653" ht="12.75">
      <c r="B4653" s="84"/>
    </row>
    <row r="4654" ht="12.75">
      <c r="B4654" s="84"/>
    </row>
    <row r="4655" ht="12.75">
      <c r="B4655" s="84"/>
    </row>
    <row r="4656" ht="12.75">
      <c r="B4656" s="84"/>
    </row>
    <row r="4657" ht="12.75">
      <c r="B4657" s="84"/>
    </row>
    <row r="4658" ht="12.75">
      <c r="B4658" s="84"/>
    </row>
    <row r="4659" ht="12.75">
      <c r="B4659" s="84"/>
    </row>
    <row r="4660" ht="12.75">
      <c r="B4660" s="84"/>
    </row>
    <row r="4661" ht="12.75">
      <c r="B4661" s="84"/>
    </row>
    <row r="4662" ht="12.75">
      <c r="B4662" s="84"/>
    </row>
    <row r="4663" ht="12.75">
      <c r="B4663" s="84"/>
    </row>
    <row r="4664" ht="12.75">
      <c r="B4664" s="84"/>
    </row>
    <row r="4665" ht="12.75">
      <c r="B4665" s="84"/>
    </row>
    <row r="4666" ht="12.75">
      <c r="B4666" s="84"/>
    </row>
    <row r="4667" ht="12.75">
      <c r="B4667" s="84"/>
    </row>
    <row r="4668" ht="12.75">
      <c r="B4668" s="84"/>
    </row>
    <row r="4669" ht="12.75">
      <c r="B4669" s="84"/>
    </row>
    <row r="4670" ht="12.75">
      <c r="B4670" s="84"/>
    </row>
    <row r="4671" ht="12.75">
      <c r="B4671" s="84"/>
    </row>
    <row r="4672" ht="12.75">
      <c r="B4672" s="84"/>
    </row>
    <row r="4673" ht="12.75">
      <c r="B4673" s="84"/>
    </row>
    <row r="4674" ht="12.75">
      <c r="B4674" s="84"/>
    </row>
    <row r="4675" ht="12.75">
      <c r="B4675" s="84"/>
    </row>
    <row r="4676" ht="12.75">
      <c r="B4676" s="84"/>
    </row>
    <row r="4677" ht="12.75">
      <c r="B4677" s="84"/>
    </row>
    <row r="4678" ht="12.75">
      <c r="B4678" s="84"/>
    </row>
    <row r="4679" ht="12.75">
      <c r="B4679" s="84"/>
    </row>
    <row r="4680" ht="12.75">
      <c r="B4680" s="84"/>
    </row>
    <row r="4681" ht="12.75">
      <c r="B4681" s="84"/>
    </row>
    <row r="4682" ht="12.75">
      <c r="B4682" s="84"/>
    </row>
    <row r="4683" ht="12.75">
      <c r="B4683" s="84"/>
    </row>
    <row r="4684" ht="12.75">
      <c r="B4684" s="84"/>
    </row>
    <row r="4685" ht="12.75">
      <c r="B4685" s="84"/>
    </row>
    <row r="4686" ht="12.75">
      <c r="B4686" s="84"/>
    </row>
    <row r="4687" ht="12.75">
      <c r="B4687" s="84"/>
    </row>
    <row r="4688" ht="12.75">
      <c r="B4688" s="84"/>
    </row>
    <row r="4689" ht="12.75">
      <c r="B4689" s="84"/>
    </row>
    <row r="4690" ht="12.75">
      <c r="B4690" s="84"/>
    </row>
    <row r="4691" ht="12.75">
      <c r="B4691" s="84"/>
    </row>
    <row r="4692" ht="12.75">
      <c r="B4692" s="84"/>
    </row>
    <row r="4693" ht="12.75">
      <c r="B4693" s="84"/>
    </row>
    <row r="4694" ht="12.75">
      <c r="B4694" s="84"/>
    </row>
    <row r="4695" ht="12.75">
      <c r="B4695" s="84"/>
    </row>
    <row r="4696" ht="12.75">
      <c r="B4696" s="84"/>
    </row>
    <row r="4697" ht="12.75">
      <c r="B4697" s="84"/>
    </row>
    <row r="4698" ht="12.75">
      <c r="B4698" s="84"/>
    </row>
    <row r="4699" ht="12.75">
      <c r="B4699" s="84"/>
    </row>
    <row r="4700" ht="12.75">
      <c r="B4700" s="84"/>
    </row>
    <row r="4701" ht="12.75">
      <c r="B4701" s="84"/>
    </row>
    <row r="4702" ht="12.75">
      <c r="B4702" s="84"/>
    </row>
    <row r="4703" ht="12.75">
      <c r="B4703" s="84"/>
    </row>
    <row r="4704" ht="12.75">
      <c r="B4704" s="84"/>
    </row>
    <row r="4705" ht="12.75">
      <c r="B4705" s="84"/>
    </row>
    <row r="4706" ht="12.75">
      <c r="B4706" s="84"/>
    </row>
    <row r="4707" ht="12.75">
      <c r="B4707" s="84"/>
    </row>
    <row r="4708" ht="12.75">
      <c r="B4708" s="84"/>
    </row>
    <row r="4709" ht="12.75">
      <c r="B4709" s="84"/>
    </row>
    <row r="4710" ht="12.75">
      <c r="B4710" s="84"/>
    </row>
    <row r="4711" ht="12.75">
      <c r="B4711" s="84"/>
    </row>
    <row r="4712" ht="12.75">
      <c r="B4712" s="84"/>
    </row>
    <row r="4713" ht="12.75">
      <c r="B4713" s="84"/>
    </row>
    <row r="4714" ht="12.75">
      <c r="B4714" s="84"/>
    </row>
    <row r="4715" ht="12.75">
      <c r="B4715" s="84"/>
    </row>
    <row r="4716" ht="12.75">
      <c r="B4716" s="84"/>
    </row>
    <row r="4717" ht="12.75">
      <c r="B4717" s="84"/>
    </row>
    <row r="4718" ht="12.75">
      <c r="B4718" s="84"/>
    </row>
    <row r="4719" ht="12.75">
      <c r="B4719" s="84"/>
    </row>
    <row r="4720" ht="12.75">
      <c r="B4720" s="84"/>
    </row>
    <row r="4721" ht="12.75">
      <c r="B4721" s="84"/>
    </row>
    <row r="4722" ht="12.75">
      <c r="B4722" s="84"/>
    </row>
    <row r="4723" ht="12.75">
      <c r="B4723" s="84"/>
    </row>
    <row r="4724" ht="12.75">
      <c r="B4724" s="84"/>
    </row>
    <row r="4725" ht="12.75">
      <c r="B4725" s="84"/>
    </row>
    <row r="4726" ht="12.75">
      <c r="B4726" s="84"/>
    </row>
    <row r="4727" ht="12.75">
      <c r="B4727" s="84"/>
    </row>
    <row r="4728" ht="12.75">
      <c r="B4728" s="84"/>
    </row>
    <row r="4729" ht="12.75">
      <c r="B4729" s="84"/>
    </row>
    <row r="4730" ht="12.75">
      <c r="B4730" s="84"/>
    </row>
    <row r="4731" ht="12.75">
      <c r="B4731" s="84"/>
    </row>
    <row r="4732" ht="12.75">
      <c r="B4732" s="84"/>
    </row>
    <row r="4733" ht="12.75">
      <c r="B4733" s="84"/>
    </row>
    <row r="4734" ht="12.75">
      <c r="B4734" s="84"/>
    </row>
    <row r="4735" ht="12.75">
      <c r="B4735" s="84"/>
    </row>
    <row r="4736" ht="12.75">
      <c r="B4736" s="84"/>
    </row>
    <row r="4737" ht="12.75">
      <c r="B4737" s="84"/>
    </row>
    <row r="4738" ht="12.75">
      <c r="B4738" s="84"/>
    </row>
    <row r="4739" ht="12.75">
      <c r="B4739" s="84"/>
    </row>
    <row r="4740" ht="12.75">
      <c r="B4740" s="84"/>
    </row>
    <row r="4741" ht="12.75">
      <c r="B4741" s="84"/>
    </row>
    <row r="4742" ht="12.75">
      <c r="B4742" s="84"/>
    </row>
    <row r="4743" ht="12.75">
      <c r="B4743" s="84"/>
    </row>
    <row r="4744" ht="12.75">
      <c r="B4744" s="84"/>
    </row>
    <row r="4745" ht="12.75">
      <c r="B4745" s="84"/>
    </row>
    <row r="4746" ht="12.75">
      <c r="B4746" s="84"/>
    </row>
    <row r="4747" ht="12.75">
      <c r="B4747" s="84"/>
    </row>
    <row r="4748" ht="12.75">
      <c r="B4748" s="84"/>
    </row>
    <row r="4749" ht="12.75">
      <c r="B4749" s="84"/>
    </row>
    <row r="4750" ht="12.75">
      <c r="B4750" s="84"/>
    </row>
    <row r="4751" ht="12.75">
      <c r="B4751" s="84"/>
    </row>
    <row r="4752" ht="12.75">
      <c r="B4752" s="84"/>
    </row>
    <row r="4753" ht="12.75">
      <c r="B4753" s="84"/>
    </row>
    <row r="4754" ht="12.75">
      <c r="B4754" s="84"/>
    </row>
    <row r="4755" ht="12.75">
      <c r="B4755" s="84"/>
    </row>
    <row r="4756" ht="12.75">
      <c r="B4756" s="84"/>
    </row>
    <row r="4757" ht="12.75">
      <c r="B4757" s="84"/>
    </row>
    <row r="4758" ht="12.75">
      <c r="B4758" s="84"/>
    </row>
    <row r="4759" ht="12.75">
      <c r="B4759" s="84"/>
    </row>
    <row r="4760" ht="12.75">
      <c r="B4760" s="84"/>
    </row>
    <row r="4761" ht="12.75">
      <c r="B4761" s="84"/>
    </row>
    <row r="4762" ht="12.75">
      <c r="B4762" s="84"/>
    </row>
    <row r="4763" ht="12.75">
      <c r="B4763" s="84"/>
    </row>
    <row r="4764" ht="12.75">
      <c r="B4764" s="84"/>
    </row>
    <row r="4765" ht="12.75">
      <c r="B4765" s="84"/>
    </row>
    <row r="4766" ht="12.75">
      <c r="B4766" s="84"/>
    </row>
    <row r="4767" ht="12.75">
      <c r="B4767" s="84"/>
    </row>
    <row r="4768" ht="12.75">
      <c r="B4768" s="84"/>
    </row>
    <row r="4769" ht="12.75">
      <c r="B4769" s="84"/>
    </row>
    <row r="4770" ht="12.75">
      <c r="B4770" s="84"/>
    </row>
    <row r="4771" ht="12.75">
      <c r="B4771" s="84"/>
    </row>
    <row r="4772" ht="12.75">
      <c r="B4772" s="84"/>
    </row>
    <row r="4773" ht="12.75">
      <c r="B4773" s="84"/>
    </row>
    <row r="4774" ht="12.75">
      <c r="B4774" s="84"/>
    </row>
    <row r="4775" ht="12.75">
      <c r="B4775" s="84"/>
    </row>
    <row r="4776" ht="12.75">
      <c r="B4776" s="84"/>
    </row>
    <row r="4777" ht="12.75">
      <c r="B4777" s="84"/>
    </row>
    <row r="4778" ht="12.75">
      <c r="B4778" s="84"/>
    </row>
    <row r="4779" ht="12.75">
      <c r="B4779" s="84"/>
    </row>
    <row r="4780" ht="12.75">
      <c r="B4780" s="84"/>
    </row>
    <row r="4781" ht="12.75">
      <c r="B4781" s="84"/>
    </row>
    <row r="4782" ht="12.75">
      <c r="B4782" s="84"/>
    </row>
    <row r="4783" ht="12.75">
      <c r="B4783" s="84"/>
    </row>
    <row r="4784" ht="12.75">
      <c r="B4784" s="84"/>
    </row>
    <row r="4785" ht="12.75">
      <c r="B4785" s="84"/>
    </row>
    <row r="4786" ht="12.75">
      <c r="B4786" s="84"/>
    </row>
    <row r="4787" ht="12.75">
      <c r="B4787" s="84"/>
    </row>
    <row r="4788" ht="12.75">
      <c r="B4788" s="84"/>
    </row>
    <row r="4789" ht="12.75">
      <c r="B4789" s="84"/>
    </row>
    <row r="4790" ht="12.75">
      <c r="B4790" s="84"/>
    </row>
    <row r="4791" ht="12.75">
      <c r="B4791" s="84"/>
    </row>
    <row r="4792" ht="12.75">
      <c r="B4792" s="84"/>
    </row>
    <row r="4793" ht="12.75">
      <c r="B4793" s="84"/>
    </row>
    <row r="4794" ht="12.75">
      <c r="B4794" s="84"/>
    </row>
    <row r="4795" ht="12.75">
      <c r="B4795" s="84"/>
    </row>
    <row r="4796" ht="12.75">
      <c r="B4796" s="84"/>
    </row>
    <row r="4797" ht="12.75">
      <c r="B4797" s="84"/>
    </row>
    <row r="4798" ht="12.75">
      <c r="B4798" s="84"/>
    </row>
    <row r="4799" ht="12.75">
      <c r="B4799" s="84"/>
    </row>
    <row r="4800" ht="12.75">
      <c r="B4800" s="84"/>
    </row>
    <row r="4801" ht="12.75">
      <c r="B4801" s="84"/>
    </row>
    <row r="4802" ht="12.75">
      <c r="B4802" s="84"/>
    </row>
    <row r="4803" ht="12.75">
      <c r="B4803" s="84"/>
    </row>
    <row r="4804" ht="12.75">
      <c r="B4804" s="84"/>
    </row>
    <row r="4805" ht="12.75">
      <c r="B4805" s="84"/>
    </row>
    <row r="4806" ht="12.75">
      <c r="B4806" s="84"/>
    </row>
    <row r="4807" ht="12.75">
      <c r="B4807" s="84"/>
    </row>
    <row r="4808" ht="12.75">
      <c r="B4808" s="84"/>
    </row>
    <row r="4809" ht="12.75">
      <c r="B4809" s="84"/>
    </row>
    <row r="4810" ht="12.75">
      <c r="B4810" s="84"/>
    </row>
    <row r="4811" ht="12.75">
      <c r="B4811" s="84"/>
    </row>
    <row r="4812" ht="12.75">
      <c r="B4812" s="84"/>
    </row>
    <row r="4813" ht="12.75">
      <c r="B4813" s="84"/>
    </row>
    <row r="4814" ht="12.75">
      <c r="B4814" s="84"/>
    </row>
    <row r="4815" ht="12.75">
      <c r="B4815" s="84"/>
    </row>
    <row r="4816" ht="12.75">
      <c r="B4816" s="84"/>
    </row>
    <row r="4817" ht="12.75">
      <c r="B4817" s="84"/>
    </row>
    <row r="4818" ht="12.75">
      <c r="B4818" s="84"/>
    </row>
    <row r="4819" ht="12.75">
      <c r="B4819" s="84"/>
    </row>
    <row r="4820" ht="12.75">
      <c r="B4820" s="84"/>
    </row>
    <row r="4821" ht="12.75">
      <c r="B4821" s="84"/>
    </row>
    <row r="4822" ht="12.75">
      <c r="B4822" s="84"/>
    </row>
    <row r="4823" ht="12.75">
      <c r="B4823" s="84"/>
    </row>
    <row r="4824" ht="12.75">
      <c r="B4824" s="84"/>
    </row>
    <row r="4825" ht="12.75">
      <c r="B4825" s="84"/>
    </row>
    <row r="4826" ht="12.75">
      <c r="B4826" s="84"/>
    </row>
    <row r="4827" ht="12.75">
      <c r="B4827" s="84"/>
    </row>
    <row r="4828" ht="12.75">
      <c r="B4828" s="84"/>
    </row>
    <row r="4829" ht="12.75">
      <c r="B4829" s="84"/>
    </row>
    <row r="4830" ht="12.75">
      <c r="B4830" s="84"/>
    </row>
    <row r="4831" ht="12.75">
      <c r="B4831" s="84"/>
    </row>
    <row r="4832" ht="12.75">
      <c r="B4832" s="84"/>
    </row>
    <row r="4833" ht="12.75">
      <c r="B4833" s="84"/>
    </row>
    <row r="4834" ht="12.75">
      <c r="B4834" s="84"/>
    </row>
    <row r="4835" ht="12.75">
      <c r="B4835" s="84"/>
    </row>
    <row r="4836" ht="12.75">
      <c r="B4836" s="84"/>
    </row>
    <row r="4837" ht="12.75">
      <c r="B4837" s="84"/>
    </row>
    <row r="4838" ht="12.75">
      <c r="B4838" s="84"/>
    </row>
    <row r="4839" ht="12.75">
      <c r="B4839" s="84"/>
    </row>
    <row r="4840" ht="12.75">
      <c r="B4840" s="84"/>
    </row>
    <row r="4841" ht="12.75">
      <c r="B4841" s="84"/>
    </row>
    <row r="4842" ht="12.75">
      <c r="B4842" s="84"/>
    </row>
    <row r="4843" ht="12.75">
      <c r="B4843" s="84"/>
    </row>
    <row r="4844" ht="12.75">
      <c r="B4844" s="84"/>
    </row>
    <row r="4845" ht="12.75">
      <c r="B4845" s="84"/>
    </row>
    <row r="4846" ht="12.75">
      <c r="B4846" s="84"/>
    </row>
    <row r="4847" ht="12.75">
      <c r="B4847" s="84"/>
    </row>
    <row r="4848" ht="12.75">
      <c r="B4848" s="84"/>
    </row>
    <row r="4849" ht="12.75">
      <c r="B4849" s="84"/>
    </row>
    <row r="4850" ht="12.75">
      <c r="B4850" s="84"/>
    </row>
    <row r="4851" ht="12.75">
      <c r="B4851" s="84"/>
    </row>
    <row r="4852" ht="12.75">
      <c r="B4852" s="84"/>
    </row>
    <row r="4853" ht="12.75">
      <c r="B4853" s="84"/>
    </row>
    <row r="4854" ht="12.75">
      <c r="B4854" s="84"/>
    </row>
    <row r="4855" ht="12.75">
      <c r="B4855" s="84"/>
    </row>
    <row r="4856" ht="12.75">
      <c r="B4856" s="84"/>
    </row>
    <row r="4857" ht="12.75">
      <c r="B4857" s="84"/>
    </row>
    <row r="4858" ht="12.75">
      <c r="B4858" s="84"/>
    </row>
    <row r="4859" ht="12.75">
      <c r="B4859" s="84"/>
    </row>
    <row r="4860" ht="12.75">
      <c r="B4860" s="84"/>
    </row>
    <row r="4861" ht="12.75">
      <c r="B4861" s="84"/>
    </row>
    <row r="4862" ht="12.75">
      <c r="B4862" s="84"/>
    </row>
    <row r="4863" ht="12.75">
      <c r="B4863" s="84"/>
    </row>
    <row r="4864" ht="12.75">
      <c r="B4864" s="84"/>
    </row>
    <row r="4865" ht="12.75">
      <c r="B4865" s="84"/>
    </row>
    <row r="4866" ht="12.75">
      <c r="B4866" s="84"/>
    </row>
    <row r="4867" ht="12.75">
      <c r="B4867" s="84"/>
    </row>
    <row r="4868" ht="12.75">
      <c r="B4868" s="84"/>
    </row>
    <row r="4869" ht="12.75">
      <c r="B4869" s="84"/>
    </row>
    <row r="4870" ht="12.75">
      <c r="B4870" s="84"/>
    </row>
    <row r="4871" ht="12.75">
      <c r="B4871" s="84"/>
    </row>
    <row r="4872" ht="12.75">
      <c r="B4872" s="84"/>
    </row>
    <row r="4873" ht="12.75">
      <c r="B4873" s="84"/>
    </row>
    <row r="4874" ht="12.75">
      <c r="B4874" s="84"/>
    </row>
    <row r="4875" ht="12.75">
      <c r="B4875" s="84"/>
    </row>
    <row r="4876" ht="12.75">
      <c r="B4876" s="84"/>
    </row>
    <row r="4877" ht="12.75">
      <c r="B4877" s="84"/>
    </row>
    <row r="4878" ht="12.75">
      <c r="B4878" s="84"/>
    </row>
    <row r="4879" ht="12.75">
      <c r="B4879" s="84"/>
    </row>
    <row r="4880" ht="12.75">
      <c r="B4880" s="84"/>
    </row>
    <row r="4881" ht="12.75">
      <c r="B4881" s="84"/>
    </row>
    <row r="4882" ht="12.75">
      <c r="B4882" s="84"/>
    </row>
    <row r="4883" ht="12.75">
      <c r="B4883" s="84"/>
    </row>
    <row r="4884" ht="12.75">
      <c r="B4884" s="84"/>
    </row>
    <row r="4885" ht="12.75">
      <c r="B4885" s="84"/>
    </row>
    <row r="4886" ht="12.75">
      <c r="B4886" s="84"/>
    </row>
    <row r="4887" ht="12.75">
      <c r="B4887" s="84"/>
    </row>
    <row r="4888" ht="12.75">
      <c r="B4888" s="84"/>
    </row>
    <row r="4889" ht="12.75">
      <c r="B4889" s="84"/>
    </row>
    <row r="4890" ht="12.75">
      <c r="B4890" s="84"/>
    </row>
    <row r="4891" ht="12.75">
      <c r="B4891" s="84"/>
    </row>
    <row r="4892" ht="12.75">
      <c r="B4892" s="84"/>
    </row>
    <row r="4893" ht="12.75">
      <c r="B4893" s="84"/>
    </row>
    <row r="4894" ht="12.75">
      <c r="B4894" s="84"/>
    </row>
    <row r="4895" ht="12.75">
      <c r="B4895" s="84"/>
    </row>
    <row r="4896" ht="12.75">
      <c r="B4896" s="84"/>
    </row>
    <row r="4897" ht="12.75">
      <c r="B4897" s="84"/>
    </row>
    <row r="4898" ht="12.75">
      <c r="B4898" s="84"/>
    </row>
    <row r="4899" ht="12.75">
      <c r="B4899" s="84"/>
    </row>
    <row r="4900" ht="12.75">
      <c r="B4900" s="84"/>
    </row>
    <row r="4901" ht="12.75">
      <c r="B4901" s="84"/>
    </row>
    <row r="4902" ht="12.75">
      <c r="B4902" s="84"/>
    </row>
    <row r="4903" ht="12.75">
      <c r="B4903" s="84"/>
    </row>
    <row r="4904" ht="12.75">
      <c r="B4904" s="84"/>
    </row>
    <row r="4905" ht="12.75">
      <c r="B4905" s="84"/>
    </row>
    <row r="4906" ht="12.75">
      <c r="B4906" s="84"/>
    </row>
    <row r="4907" ht="12.75">
      <c r="B4907" s="84"/>
    </row>
    <row r="4908" ht="12.75">
      <c r="B4908" s="84"/>
    </row>
    <row r="4909" ht="12.75">
      <c r="B4909" s="84"/>
    </row>
    <row r="4910" ht="12.75">
      <c r="B4910" s="84"/>
    </row>
    <row r="4911" ht="12.75">
      <c r="B4911" s="84"/>
    </row>
    <row r="4912" ht="12.75">
      <c r="B4912" s="84"/>
    </row>
    <row r="4913" ht="12.75">
      <c r="B4913" s="84"/>
    </row>
    <row r="4914" ht="12.75">
      <c r="B4914" s="84"/>
    </row>
    <row r="4915" ht="12.75">
      <c r="B4915" s="84"/>
    </row>
    <row r="4916" ht="12.75">
      <c r="B4916" s="84"/>
    </row>
    <row r="4917" ht="12.75">
      <c r="B4917" s="84"/>
    </row>
    <row r="4918" ht="12.75">
      <c r="B4918" s="84"/>
    </row>
    <row r="4919" ht="12.75">
      <c r="B4919" s="84"/>
    </row>
    <row r="4920" ht="12.75">
      <c r="B4920" s="84"/>
    </row>
    <row r="4921" ht="12.75">
      <c r="B4921" s="84"/>
    </row>
    <row r="4922" ht="12.75">
      <c r="B4922" s="84"/>
    </row>
    <row r="4923" ht="12.75">
      <c r="B4923" s="84"/>
    </row>
    <row r="4924" ht="12.75">
      <c r="B4924" s="84"/>
    </row>
    <row r="4925" ht="12.75">
      <c r="B4925" s="84"/>
    </row>
    <row r="4926" ht="12.75">
      <c r="B4926" s="84"/>
    </row>
    <row r="4927" ht="12.75">
      <c r="B4927" s="84"/>
    </row>
    <row r="4928" ht="12.75">
      <c r="B4928" s="84"/>
    </row>
    <row r="4929" ht="12.75">
      <c r="B4929" s="84"/>
    </row>
    <row r="4930" ht="12.75">
      <c r="B4930" s="84"/>
    </row>
    <row r="4931" ht="12.75">
      <c r="B4931" s="84"/>
    </row>
    <row r="4932" ht="12.75">
      <c r="B4932" s="84"/>
    </row>
    <row r="4933" ht="12.75">
      <c r="B4933" s="84"/>
    </row>
    <row r="4934" ht="12.75">
      <c r="B4934" s="84"/>
    </row>
    <row r="4935" ht="12.75">
      <c r="B4935" s="84"/>
    </row>
    <row r="4936" ht="12.75">
      <c r="B4936" s="84"/>
    </row>
    <row r="4937" ht="12.75">
      <c r="B4937" s="84"/>
    </row>
    <row r="4938" ht="12.75">
      <c r="B4938" s="84"/>
    </row>
    <row r="4939" ht="12.75">
      <c r="B4939" s="84"/>
    </row>
    <row r="4940" ht="12.75">
      <c r="B4940" s="84"/>
    </row>
    <row r="4941" ht="12.75">
      <c r="B4941" s="84"/>
    </row>
    <row r="4942" ht="12.75">
      <c r="B4942" s="84"/>
    </row>
    <row r="4943" ht="12.75">
      <c r="B4943" s="84"/>
    </row>
    <row r="4944" ht="12.75">
      <c r="B4944" s="84"/>
    </row>
    <row r="4993" ht="12.75">
      <c r="B4993" s="84"/>
    </row>
    <row r="4994" ht="12.75">
      <c r="B4994" s="84"/>
    </row>
    <row r="4995" ht="12.75">
      <c r="B4995" s="84"/>
    </row>
    <row r="4996" ht="12.75">
      <c r="B4996" s="84"/>
    </row>
    <row r="4997" ht="12.75">
      <c r="B4997" s="84"/>
    </row>
    <row r="4998" ht="12.75">
      <c r="B4998" s="84"/>
    </row>
    <row r="4999" ht="12.75">
      <c r="B4999" s="84"/>
    </row>
    <row r="5000" ht="12.75">
      <c r="B5000" s="84"/>
    </row>
    <row r="5001" ht="12.75">
      <c r="B5001" s="84"/>
    </row>
    <row r="5002" ht="12.75">
      <c r="B5002" s="84"/>
    </row>
    <row r="5003" ht="12.75">
      <c r="B5003" s="84"/>
    </row>
    <row r="5004" ht="12.75">
      <c r="B5004" s="84"/>
    </row>
    <row r="5005" ht="12.75">
      <c r="B5005" s="84"/>
    </row>
    <row r="5006" ht="12.75">
      <c r="B5006" s="84"/>
    </row>
    <row r="5007" ht="12.75">
      <c r="B5007" s="84"/>
    </row>
    <row r="5008" ht="12.75">
      <c r="B5008" s="84"/>
    </row>
    <row r="5009" ht="12.75">
      <c r="B5009" s="84"/>
    </row>
    <row r="5010" ht="12.75">
      <c r="B5010" s="84"/>
    </row>
    <row r="5011" ht="12.75">
      <c r="B5011" s="84"/>
    </row>
    <row r="5012" ht="12.75">
      <c r="B5012" s="84"/>
    </row>
    <row r="5013" ht="12.75">
      <c r="B5013" s="84"/>
    </row>
    <row r="5014" ht="12.75">
      <c r="B5014" s="84"/>
    </row>
    <row r="5015" ht="12.75">
      <c r="B5015" s="84"/>
    </row>
    <row r="5016" ht="12.75">
      <c r="B5016" s="84"/>
    </row>
    <row r="5017" ht="12.75">
      <c r="B5017" s="84"/>
    </row>
    <row r="5018" ht="12.75">
      <c r="B5018" s="84"/>
    </row>
    <row r="5019" ht="12.75">
      <c r="B5019" s="84"/>
    </row>
    <row r="5020" ht="12.75">
      <c r="B5020" s="84"/>
    </row>
    <row r="5021" ht="12.75">
      <c r="B5021" s="84"/>
    </row>
    <row r="5022" ht="12.75">
      <c r="B5022" s="84"/>
    </row>
    <row r="5023" ht="12.75">
      <c r="B5023" s="84"/>
    </row>
    <row r="5024" ht="12.75">
      <c r="B5024" s="84"/>
    </row>
    <row r="5025" ht="12.75">
      <c r="B5025" s="84"/>
    </row>
    <row r="5026" ht="12.75">
      <c r="B5026" s="84"/>
    </row>
    <row r="5027" ht="12.75">
      <c r="B5027" s="84"/>
    </row>
    <row r="5028" ht="12.75">
      <c r="B5028" s="84"/>
    </row>
    <row r="5029" ht="12.75">
      <c r="B5029" s="84"/>
    </row>
    <row r="5030" ht="12.75">
      <c r="B5030" s="84"/>
    </row>
    <row r="5031" ht="12.75">
      <c r="B5031" s="84"/>
    </row>
    <row r="5032" ht="12.75">
      <c r="B5032" s="84"/>
    </row>
    <row r="5033" ht="12.75">
      <c r="B5033" s="84"/>
    </row>
    <row r="5034" ht="12.75">
      <c r="B5034" s="84"/>
    </row>
    <row r="5035" ht="12.75">
      <c r="B5035" s="84"/>
    </row>
    <row r="5036" ht="12.75">
      <c r="B5036" s="84"/>
    </row>
    <row r="5037" ht="12.75">
      <c r="B5037" s="84"/>
    </row>
    <row r="5038" ht="12.75">
      <c r="B5038" s="84"/>
    </row>
    <row r="5039" ht="12.75">
      <c r="B5039" s="84"/>
    </row>
    <row r="5040" ht="12.75">
      <c r="B5040" s="84"/>
    </row>
    <row r="5041" ht="12.75">
      <c r="B5041" s="84"/>
    </row>
    <row r="5042" ht="12.75">
      <c r="B5042" s="84"/>
    </row>
    <row r="5043" ht="12.75">
      <c r="B5043" s="84"/>
    </row>
    <row r="5044" ht="12.75">
      <c r="B5044" s="84"/>
    </row>
    <row r="5045" ht="12.75">
      <c r="B5045" s="84"/>
    </row>
    <row r="5046" ht="12.75">
      <c r="B5046" s="84"/>
    </row>
    <row r="5047" ht="12.75">
      <c r="B5047" s="84"/>
    </row>
    <row r="5048" ht="12.75">
      <c r="B5048" s="84"/>
    </row>
    <row r="5049" ht="12.75">
      <c r="B5049" s="84"/>
    </row>
    <row r="5050" ht="12.75">
      <c r="B5050" s="84"/>
    </row>
    <row r="5051" ht="12.75">
      <c r="B5051" s="84"/>
    </row>
    <row r="5052" ht="12.75">
      <c r="B5052" s="84"/>
    </row>
    <row r="5053" ht="12.75">
      <c r="B5053" s="84"/>
    </row>
    <row r="5054" ht="12.75">
      <c r="B5054" s="84"/>
    </row>
    <row r="5055" ht="12.75">
      <c r="B5055" s="84"/>
    </row>
    <row r="5056" ht="12.75">
      <c r="B5056" s="84"/>
    </row>
    <row r="5057" ht="12.75">
      <c r="B5057" s="84"/>
    </row>
    <row r="5058" ht="12.75">
      <c r="B5058" s="84"/>
    </row>
    <row r="5059" ht="12.75">
      <c r="B5059" s="84"/>
    </row>
    <row r="5060" ht="12.75">
      <c r="B5060" s="84"/>
    </row>
    <row r="5061" ht="12.75">
      <c r="B5061" s="84"/>
    </row>
    <row r="5062" ht="12.75">
      <c r="B5062" s="84"/>
    </row>
    <row r="5063" ht="12.75">
      <c r="B5063" s="84"/>
    </row>
    <row r="5064" ht="12.75">
      <c r="B5064" s="84"/>
    </row>
    <row r="5065" ht="12.75">
      <c r="B5065" s="84"/>
    </row>
    <row r="5066" ht="12.75">
      <c r="B5066" s="84"/>
    </row>
    <row r="5067" ht="12.75">
      <c r="B5067" s="84"/>
    </row>
    <row r="5068" ht="12.75">
      <c r="B5068" s="84"/>
    </row>
    <row r="5069" ht="12.75">
      <c r="B5069" s="84"/>
    </row>
    <row r="5070" ht="12.75">
      <c r="B5070" s="84"/>
    </row>
    <row r="5071" ht="12.75">
      <c r="B5071" s="84"/>
    </row>
    <row r="5072" ht="12.75">
      <c r="B5072" s="84"/>
    </row>
    <row r="5073" ht="12.75">
      <c r="B5073" s="84"/>
    </row>
    <row r="5074" ht="12.75">
      <c r="B5074" s="84"/>
    </row>
    <row r="5075" ht="12.75">
      <c r="B5075" s="84"/>
    </row>
    <row r="5076" ht="12.75">
      <c r="B5076" s="84"/>
    </row>
    <row r="5077" ht="12.75">
      <c r="B5077" s="84"/>
    </row>
    <row r="5078" ht="12.75">
      <c r="B5078" s="84"/>
    </row>
    <row r="5079" ht="12.75">
      <c r="B5079" s="84"/>
    </row>
    <row r="5080" ht="12.75">
      <c r="B5080" s="84"/>
    </row>
    <row r="5081" ht="12.75">
      <c r="B5081" s="84"/>
    </row>
    <row r="5082" ht="12.75">
      <c r="B5082" s="84"/>
    </row>
    <row r="5083" ht="12.75">
      <c r="B5083" s="84"/>
    </row>
    <row r="5084" ht="12.75">
      <c r="B5084" s="84"/>
    </row>
    <row r="5085" ht="12.75">
      <c r="B5085" s="84"/>
    </row>
    <row r="5086" ht="12.75">
      <c r="B5086" s="84"/>
    </row>
    <row r="5087" ht="12.75">
      <c r="B5087" s="84"/>
    </row>
    <row r="5088" ht="12.75">
      <c r="B5088" s="84"/>
    </row>
    <row r="5089" ht="12.75">
      <c r="B5089" s="84"/>
    </row>
    <row r="5090" ht="12.75">
      <c r="B5090" s="84"/>
    </row>
    <row r="5091" ht="12.75">
      <c r="B5091" s="84"/>
    </row>
    <row r="5092" ht="12.75">
      <c r="B5092" s="84"/>
    </row>
    <row r="5093" ht="12.75">
      <c r="B5093" s="84"/>
    </row>
    <row r="5094" ht="12.75">
      <c r="B5094" s="84"/>
    </row>
    <row r="5095" ht="12.75">
      <c r="B5095" s="84"/>
    </row>
    <row r="5096" ht="12.75">
      <c r="B5096" s="84"/>
    </row>
    <row r="5097" ht="12.75">
      <c r="B5097" s="84"/>
    </row>
    <row r="5098" ht="12.75">
      <c r="B5098" s="84"/>
    </row>
    <row r="5099" ht="12.75">
      <c r="B5099" s="84"/>
    </row>
    <row r="5100" ht="12.75">
      <c r="B5100" s="84"/>
    </row>
    <row r="5101" ht="12.75">
      <c r="B5101" s="84"/>
    </row>
    <row r="5102" ht="12.75">
      <c r="B5102" s="84"/>
    </row>
    <row r="5103" ht="12.75">
      <c r="B5103" s="84"/>
    </row>
    <row r="5104" ht="12.75">
      <c r="B5104" s="84"/>
    </row>
    <row r="5105" ht="12.75">
      <c r="B5105" s="84"/>
    </row>
    <row r="5106" ht="12.75">
      <c r="B5106" s="84"/>
    </row>
    <row r="5107" ht="12.75">
      <c r="B5107" s="84"/>
    </row>
    <row r="5108" ht="12.75">
      <c r="B5108" s="84"/>
    </row>
    <row r="5109" ht="12.75">
      <c r="B5109" s="84"/>
    </row>
    <row r="5110" ht="12.75">
      <c r="B5110" s="84"/>
    </row>
    <row r="5111" ht="12.75">
      <c r="B5111" s="84"/>
    </row>
    <row r="5112" ht="12.75">
      <c r="B5112" s="84"/>
    </row>
    <row r="5113" ht="12.75">
      <c r="B5113" s="84"/>
    </row>
    <row r="5114" ht="12.75">
      <c r="B5114" s="84"/>
    </row>
    <row r="5115" ht="12.75">
      <c r="B5115" s="84"/>
    </row>
    <row r="5116" ht="12.75">
      <c r="B5116" s="84"/>
    </row>
    <row r="5117" ht="12.75">
      <c r="B5117" s="84"/>
    </row>
    <row r="5118" ht="12.75">
      <c r="B5118" s="84"/>
    </row>
    <row r="5119" ht="12.75">
      <c r="B5119" s="84"/>
    </row>
    <row r="5120" ht="12.75">
      <c r="B5120" s="84"/>
    </row>
    <row r="5121" ht="12.75">
      <c r="B5121" s="84"/>
    </row>
    <row r="5122" ht="12.75">
      <c r="B5122" s="84"/>
    </row>
    <row r="5123" ht="12.75">
      <c r="B5123" s="84"/>
    </row>
    <row r="5124" ht="12.75">
      <c r="B5124" s="84"/>
    </row>
    <row r="5125" ht="12.75">
      <c r="B5125" s="84"/>
    </row>
    <row r="5126" ht="12.75">
      <c r="B5126" s="84"/>
    </row>
    <row r="5127" ht="12.75">
      <c r="B5127" s="84"/>
    </row>
    <row r="5128" ht="12.75">
      <c r="B5128" s="84"/>
    </row>
    <row r="5129" ht="12.75">
      <c r="B5129" s="84"/>
    </row>
    <row r="5130" ht="12.75">
      <c r="B5130" s="84"/>
    </row>
    <row r="5131" ht="12.75">
      <c r="B5131" s="84"/>
    </row>
    <row r="5132" ht="12.75">
      <c r="B5132" s="84"/>
    </row>
    <row r="5133" ht="12.75">
      <c r="B5133" s="84"/>
    </row>
    <row r="5134" ht="12.75">
      <c r="B5134" s="84"/>
    </row>
    <row r="5135" ht="12.75">
      <c r="B5135" s="84"/>
    </row>
    <row r="5136" ht="12.75">
      <c r="B5136" s="84"/>
    </row>
    <row r="5137" ht="12.75">
      <c r="B5137" s="84"/>
    </row>
    <row r="5138" ht="12.75">
      <c r="B5138" s="84"/>
    </row>
    <row r="5139" ht="12.75">
      <c r="B5139" s="84"/>
    </row>
    <row r="5140" ht="12.75">
      <c r="B5140" s="84"/>
    </row>
    <row r="5141" ht="12.75">
      <c r="B5141" s="84"/>
    </row>
    <row r="5142" ht="12.75">
      <c r="B5142" s="84"/>
    </row>
    <row r="5143" ht="12.75">
      <c r="B5143" s="84"/>
    </row>
    <row r="5144" ht="12.75">
      <c r="B5144" s="84"/>
    </row>
    <row r="5145" ht="12.75">
      <c r="B5145" s="84"/>
    </row>
    <row r="5146" ht="12.75">
      <c r="B5146" s="84"/>
    </row>
    <row r="5147" ht="12.75">
      <c r="B5147" s="84"/>
    </row>
    <row r="5148" ht="12.75">
      <c r="B5148" s="84"/>
    </row>
    <row r="5149" ht="12.75">
      <c r="B5149" s="84"/>
    </row>
    <row r="5150" ht="12.75">
      <c r="B5150" s="84"/>
    </row>
    <row r="5151" ht="12.75">
      <c r="B5151" s="84"/>
    </row>
    <row r="5152" ht="12.75">
      <c r="B5152" s="84"/>
    </row>
    <row r="5153" ht="12.75">
      <c r="B5153" s="84"/>
    </row>
    <row r="5154" ht="12.75">
      <c r="B5154" s="84"/>
    </row>
    <row r="5155" ht="12.75">
      <c r="B5155" s="84"/>
    </row>
    <row r="5156" ht="12.75">
      <c r="B5156" s="84"/>
    </row>
    <row r="5157" ht="12.75">
      <c r="B5157" s="84"/>
    </row>
    <row r="5158" ht="12.75">
      <c r="B5158" s="84"/>
    </row>
    <row r="5159" ht="12.75">
      <c r="B5159" s="84"/>
    </row>
    <row r="5160" ht="12.75">
      <c r="B5160" s="84"/>
    </row>
    <row r="5161" ht="12.75">
      <c r="B5161" s="84"/>
    </row>
    <row r="5162" ht="12.75">
      <c r="B5162" s="84"/>
    </row>
    <row r="5163" ht="12.75">
      <c r="B5163" s="84"/>
    </row>
    <row r="5164" ht="12.75">
      <c r="B5164" s="84"/>
    </row>
    <row r="5165" ht="12.75">
      <c r="B5165" s="84"/>
    </row>
    <row r="5166" ht="12.75">
      <c r="B5166" s="84"/>
    </row>
    <row r="5167" ht="12.75">
      <c r="B5167" s="84"/>
    </row>
    <row r="5168" ht="12.75">
      <c r="B5168" s="84"/>
    </row>
    <row r="5169" ht="12.75">
      <c r="B5169" s="84"/>
    </row>
    <row r="5170" ht="12.75">
      <c r="B5170" s="84"/>
    </row>
    <row r="5171" ht="12.75">
      <c r="B5171" s="84"/>
    </row>
    <row r="5172" ht="12.75">
      <c r="B5172" s="84"/>
    </row>
    <row r="5173" ht="12.75">
      <c r="B5173" s="84"/>
    </row>
    <row r="5174" ht="12.75">
      <c r="B5174" s="84"/>
    </row>
    <row r="5175" ht="12.75">
      <c r="B5175" s="84"/>
    </row>
    <row r="5176" ht="12.75">
      <c r="B5176" s="84"/>
    </row>
    <row r="5177" ht="12.75">
      <c r="B5177" s="84"/>
    </row>
    <row r="5178" ht="12.75">
      <c r="B5178" s="84"/>
    </row>
    <row r="5179" ht="12.75">
      <c r="B5179" s="84"/>
    </row>
    <row r="5180" ht="12.75">
      <c r="B5180" s="84"/>
    </row>
    <row r="5181" ht="12.75">
      <c r="B5181" s="84"/>
    </row>
    <row r="5182" ht="12.75">
      <c r="B5182" s="84"/>
    </row>
    <row r="5183" ht="12.75">
      <c r="B5183" s="84"/>
    </row>
    <row r="5184" ht="12.75">
      <c r="B5184" s="84"/>
    </row>
    <row r="5185" ht="12.75">
      <c r="B5185" s="84"/>
    </row>
    <row r="5186" ht="12.75">
      <c r="B5186" s="84"/>
    </row>
    <row r="5187" ht="12.75">
      <c r="B5187" s="84"/>
    </row>
    <row r="5188" ht="12.75">
      <c r="B5188" s="84"/>
    </row>
    <row r="5189" ht="12.75">
      <c r="B5189" s="84"/>
    </row>
    <row r="5190" ht="12.75">
      <c r="B5190" s="84"/>
    </row>
    <row r="5191" ht="12.75">
      <c r="B5191" s="84"/>
    </row>
    <row r="5192" ht="12.75">
      <c r="B5192" s="84"/>
    </row>
    <row r="5193" ht="12.75">
      <c r="B5193" s="84"/>
    </row>
    <row r="5194" ht="12.75">
      <c r="B5194" s="84"/>
    </row>
    <row r="5195" ht="12.75">
      <c r="B5195" s="84"/>
    </row>
    <row r="5196" ht="12.75">
      <c r="B5196" s="84"/>
    </row>
    <row r="5197" ht="12.75">
      <c r="B5197" s="84"/>
    </row>
    <row r="5198" ht="12.75">
      <c r="B5198" s="84"/>
    </row>
    <row r="5199" ht="12.75">
      <c r="B5199" s="84"/>
    </row>
    <row r="5200" ht="12.75">
      <c r="B5200" s="84"/>
    </row>
    <row r="5201" ht="12.75">
      <c r="B5201" s="84"/>
    </row>
    <row r="5202" ht="12.75">
      <c r="B5202" s="84"/>
    </row>
    <row r="5203" ht="12.75">
      <c r="B5203" s="84"/>
    </row>
    <row r="5204" ht="12.75">
      <c r="B5204" s="84"/>
    </row>
    <row r="5205" ht="12.75">
      <c r="B5205" s="84"/>
    </row>
    <row r="5206" ht="12.75">
      <c r="B5206" s="84"/>
    </row>
    <row r="5207" ht="12.75">
      <c r="B5207" s="84"/>
    </row>
    <row r="5208" ht="12.75">
      <c r="B5208" s="84"/>
    </row>
    <row r="5209" ht="12.75">
      <c r="B5209" s="84"/>
    </row>
    <row r="5210" ht="12.75">
      <c r="B5210" s="84"/>
    </row>
    <row r="5211" ht="12.75">
      <c r="B5211" s="84"/>
    </row>
    <row r="5212" ht="12.75">
      <c r="B5212" s="84"/>
    </row>
    <row r="5213" ht="12.75">
      <c r="B5213" s="84"/>
    </row>
    <row r="5214" ht="12.75">
      <c r="B5214" s="84"/>
    </row>
    <row r="5215" ht="12.75">
      <c r="B5215" s="84"/>
    </row>
    <row r="5216" ht="12.75">
      <c r="B5216" s="84"/>
    </row>
    <row r="5217" ht="12.75">
      <c r="B5217" s="84"/>
    </row>
    <row r="5218" ht="12.75">
      <c r="B5218" s="84"/>
    </row>
    <row r="5219" ht="12.75">
      <c r="B5219" s="84"/>
    </row>
    <row r="5220" ht="12.75">
      <c r="B5220" s="84"/>
    </row>
    <row r="5221" ht="12.75">
      <c r="B5221" s="84"/>
    </row>
    <row r="5222" ht="12.75">
      <c r="B5222" s="84"/>
    </row>
    <row r="5223" ht="12.75">
      <c r="B5223" s="84"/>
    </row>
    <row r="5224" ht="12.75">
      <c r="B5224" s="84"/>
    </row>
    <row r="5225" ht="12.75">
      <c r="B5225" s="84"/>
    </row>
    <row r="5226" ht="12.75">
      <c r="B5226" s="84"/>
    </row>
    <row r="5227" ht="12.75">
      <c r="B5227" s="84"/>
    </row>
    <row r="5228" ht="12.75">
      <c r="B5228" s="84"/>
    </row>
    <row r="5229" ht="12.75">
      <c r="B5229" s="84"/>
    </row>
    <row r="5230" ht="12.75">
      <c r="B5230" s="84"/>
    </row>
    <row r="5231" ht="12.75">
      <c r="B5231" s="84"/>
    </row>
    <row r="5232" ht="12.75">
      <c r="B5232" s="84"/>
    </row>
    <row r="5233" ht="12.75">
      <c r="B5233" s="84"/>
    </row>
    <row r="5234" ht="12.75">
      <c r="B5234" s="84"/>
    </row>
    <row r="5235" ht="12.75">
      <c r="B5235" s="84"/>
    </row>
    <row r="5236" ht="12.75">
      <c r="B5236" s="84"/>
    </row>
    <row r="5237" ht="12.75">
      <c r="B5237" s="84"/>
    </row>
    <row r="5238" ht="12.75">
      <c r="B5238" s="84"/>
    </row>
    <row r="5239" ht="12.75">
      <c r="B5239" s="84"/>
    </row>
    <row r="5240" ht="12.75">
      <c r="B5240" s="84"/>
    </row>
    <row r="5241" ht="12.75">
      <c r="B5241" s="84"/>
    </row>
    <row r="5242" ht="12.75">
      <c r="B5242" s="84"/>
    </row>
    <row r="5243" ht="12.75">
      <c r="B5243" s="84"/>
    </row>
    <row r="5244" ht="12.75">
      <c r="B5244" s="84"/>
    </row>
    <row r="5245" ht="12.75">
      <c r="B5245" s="84"/>
    </row>
    <row r="5246" ht="12.75">
      <c r="B5246" s="84"/>
    </row>
    <row r="5247" ht="12.75">
      <c r="B5247" s="84"/>
    </row>
    <row r="5248" ht="12.75">
      <c r="B5248" s="84"/>
    </row>
    <row r="5249" ht="12.75">
      <c r="B5249" s="84"/>
    </row>
    <row r="5250" ht="12.75">
      <c r="B5250" s="84"/>
    </row>
    <row r="5251" ht="12.75">
      <c r="B5251" s="84"/>
    </row>
    <row r="5252" ht="12.75">
      <c r="B5252" s="84"/>
    </row>
    <row r="5253" ht="12.75">
      <c r="B5253" s="84"/>
    </row>
    <row r="5254" ht="12.75">
      <c r="B5254" s="84"/>
    </row>
    <row r="5255" ht="12.75">
      <c r="B5255" s="84"/>
    </row>
    <row r="5256" ht="12.75">
      <c r="B5256" s="84"/>
    </row>
    <row r="5257" ht="12.75">
      <c r="B5257" s="84"/>
    </row>
    <row r="5258" ht="12.75">
      <c r="B5258" s="84"/>
    </row>
    <row r="5259" ht="12.75">
      <c r="B5259" s="84"/>
    </row>
    <row r="5260" ht="12.75">
      <c r="B5260" s="84"/>
    </row>
    <row r="5261" ht="12.75">
      <c r="B5261" s="84"/>
    </row>
    <row r="5262" ht="12.75">
      <c r="B5262" s="84"/>
    </row>
    <row r="5263" ht="12.75">
      <c r="B5263" s="84"/>
    </row>
    <row r="5264" ht="12.75">
      <c r="B5264" s="84"/>
    </row>
    <row r="5265" ht="12.75">
      <c r="B5265" s="84"/>
    </row>
    <row r="5266" ht="12.75">
      <c r="B5266" s="84"/>
    </row>
    <row r="5267" ht="12.75">
      <c r="B5267" s="84"/>
    </row>
    <row r="5268" ht="12.75">
      <c r="B5268" s="84"/>
    </row>
    <row r="5269" ht="12.75">
      <c r="B5269" s="84"/>
    </row>
    <row r="5270" ht="12.75">
      <c r="B5270" s="84"/>
    </row>
    <row r="5271" ht="12.75">
      <c r="B5271" s="84"/>
    </row>
    <row r="5272" ht="12.75">
      <c r="B5272" s="84"/>
    </row>
    <row r="5273" ht="12.75">
      <c r="B5273" s="84"/>
    </row>
    <row r="5274" ht="12.75">
      <c r="B5274" s="84"/>
    </row>
    <row r="5275" ht="12.75">
      <c r="B5275" s="84"/>
    </row>
    <row r="5276" ht="12.75">
      <c r="B5276" s="84"/>
    </row>
    <row r="5277" ht="12.75">
      <c r="B5277" s="84"/>
    </row>
    <row r="5278" ht="12.75">
      <c r="B5278" s="84"/>
    </row>
    <row r="5279" ht="12.75">
      <c r="B5279" s="84"/>
    </row>
    <row r="5280" ht="12.75">
      <c r="B5280" s="84"/>
    </row>
    <row r="5281" ht="12.75">
      <c r="B5281" s="84"/>
    </row>
    <row r="5282" ht="12.75">
      <c r="B5282" s="84"/>
    </row>
    <row r="5283" ht="12.75">
      <c r="B5283" s="84"/>
    </row>
    <row r="5284" ht="12.75">
      <c r="B5284" s="84"/>
    </row>
    <row r="5285" ht="12.75">
      <c r="B5285" s="84"/>
    </row>
    <row r="5286" ht="12.75">
      <c r="B5286" s="84"/>
    </row>
    <row r="5287" ht="12.75">
      <c r="B5287" s="84"/>
    </row>
    <row r="5288" ht="12.75">
      <c r="B5288" s="84"/>
    </row>
    <row r="5289" ht="12.75">
      <c r="B5289" s="84"/>
    </row>
    <row r="5290" ht="12.75">
      <c r="B5290" s="84"/>
    </row>
    <row r="5291" ht="12.75">
      <c r="B5291" s="84"/>
    </row>
    <row r="5292" ht="12.75">
      <c r="B5292" s="84"/>
    </row>
    <row r="5293" ht="12.75">
      <c r="B5293" s="84"/>
    </row>
    <row r="5294" ht="12.75">
      <c r="B5294" s="84"/>
    </row>
    <row r="5295" ht="12.75">
      <c r="B5295" s="84"/>
    </row>
    <row r="5296" ht="12.75">
      <c r="B5296" s="84"/>
    </row>
    <row r="5297" ht="12.75">
      <c r="B5297" s="84"/>
    </row>
    <row r="5298" ht="12.75">
      <c r="B5298" s="84"/>
    </row>
    <row r="5299" ht="12.75">
      <c r="B5299" s="84"/>
    </row>
    <row r="5300" ht="12.75">
      <c r="B5300" s="84"/>
    </row>
    <row r="5301" ht="12.75">
      <c r="B5301" s="84"/>
    </row>
    <row r="5302" ht="12.75">
      <c r="B5302" s="84"/>
    </row>
    <row r="5303" ht="12.75">
      <c r="B5303" s="84"/>
    </row>
    <row r="5304" ht="12.75">
      <c r="B5304" s="84"/>
    </row>
    <row r="5305" ht="12.75">
      <c r="B5305" s="84"/>
    </row>
    <row r="5306" ht="12.75">
      <c r="B5306" s="84"/>
    </row>
    <row r="5307" ht="12.75">
      <c r="B5307" s="84"/>
    </row>
    <row r="5308" ht="12.75">
      <c r="B5308" s="84"/>
    </row>
    <row r="5309" ht="12.75">
      <c r="B5309" s="84"/>
    </row>
    <row r="5310" ht="12.75">
      <c r="B5310" s="84"/>
    </row>
    <row r="5311" ht="12.75">
      <c r="B5311" s="84"/>
    </row>
    <row r="5312" ht="12.75">
      <c r="B5312" s="84"/>
    </row>
    <row r="5313" ht="12.75">
      <c r="B5313" s="84"/>
    </row>
    <row r="5314" ht="12.75">
      <c r="B5314" s="84"/>
    </row>
    <row r="5315" ht="12.75">
      <c r="B5315" s="84"/>
    </row>
    <row r="5316" ht="12.75">
      <c r="B5316" s="84"/>
    </row>
    <row r="5317" ht="12.75">
      <c r="B5317" s="84"/>
    </row>
    <row r="5318" ht="12.75">
      <c r="B5318" s="84"/>
    </row>
    <row r="5319" ht="12.75">
      <c r="B5319" s="84"/>
    </row>
    <row r="5320" ht="12.75">
      <c r="B5320" s="84"/>
    </row>
    <row r="5321" ht="12.75">
      <c r="B5321" s="84"/>
    </row>
    <row r="5322" ht="12.75">
      <c r="B5322" s="84"/>
    </row>
    <row r="5323" ht="12.75">
      <c r="B5323" s="84"/>
    </row>
    <row r="5324" ht="12.75">
      <c r="B5324" s="84"/>
    </row>
    <row r="5325" ht="12.75">
      <c r="B5325" s="84"/>
    </row>
    <row r="5326" ht="12.75">
      <c r="B5326" s="84"/>
    </row>
    <row r="5327" ht="12.75">
      <c r="B5327" s="84"/>
    </row>
    <row r="5328" ht="12.75">
      <c r="B5328" s="84"/>
    </row>
    <row r="5377" ht="12.75">
      <c r="B5377" s="84"/>
    </row>
    <row r="5378" ht="12.75">
      <c r="B5378" s="84"/>
    </row>
    <row r="5379" ht="12.75">
      <c r="B5379" s="84"/>
    </row>
    <row r="5380" ht="12.75">
      <c r="B5380" s="84"/>
    </row>
    <row r="5381" ht="12.75">
      <c r="B5381" s="84"/>
    </row>
    <row r="5382" ht="12.75">
      <c r="B5382" s="84"/>
    </row>
    <row r="5383" ht="12.75">
      <c r="B5383" s="84"/>
    </row>
    <row r="5384" ht="12.75">
      <c r="B5384" s="84"/>
    </row>
    <row r="5385" ht="12.75">
      <c r="B5385" s="84"/>
    </row>
    <row r="5386" ht="12.75">
      <c r="B5386" s="84"/>
    </row>
    <row r="5387" ht="12.75">
      <c r="B5387" s="84"/>
    </row>
    <row r="5388" ht="12.75">
      <c r="B5388" s="84"/>
    </row>
    <row r="5389" ht="12.75">
      <c r="B5389" s="84"/>
    </row>
    <row r="5390" ht="12.75">
      <c r="B5390" s="84"/>
    </row>
    <row r="5391" ht="12.75">
      <c r="B5391" s="84"/>
    </row>
    <row r="5392" ht="12.75">
      <c r="B5392" s="84"/>
    </row>
    <row r="5393" ht="12.75">
      <c r="B5393" s="84"/>
    </row>
    <row r="5394" ht="12.75">
      <c r="B5394" s="84"/>
    </row>
    <row r="5395" ht="12.75">
      <c r="B5395" s="84"/>
    </row>
    <row r="5396" ht="12.75">
      <c r="B5396" s="84"/>
    </row>
    <row r="5397" ht="12.75">
      <c r="B5397" s="84"/>
    </row>
    <row r="5398" ht="12.75">
      <c r="B5398" s="84"/>
    </row>
    <row r="5399" ht="12.75">
      <c r="B5399" s="84"/>
    </row>
    <row r="5400" ht="12.75">
      <c r="B5400" s="84"/>
    </row>
    <row r="5401" ht="12.75">
      <c r="B5401" s="84"/>
    </row>
    <row r="5402" ht="12.75">
      <c r="B5402" s="84"/>
    </row>
    <row r="5403" ht="12.75">
      <c r="B5403" s="84"/>
    </row>
    <row r="5404" ht="12.75">
      <c r="B5404" s="84"/>
    </row>
    <row r="5405" ht="12.75">
      <c r="B5405" s="84"/>
    </row>
    <row r="5406" ht="12.75">
      <c r="B5406" s="84"/>
    </row>
    <row r="5407" ht="12.75">
      <c r="B5407" s="84"/>
    </row>
    <row r="5408" ht="12.75">
      <c r="B5408" s="84"/>
    </row>
    <row r="5409" ht="12.75">
      <c r="B5409" s="84"/>
    </row>
    <row r="5410" ht="12.75">
      <c r="B5410" s="84"/>
    </row>
    <row r="5411" ht="12.75">
      <c r="B5411" s="84"/>
    </row>
    <row r="5412" ht="12.75">
      <c r="B5412" s="84"/>
    </row>
    <row r="5413" ht="12.75">
      <c r="B5413" s="84"/>
    </row>
    <row r="5414" ht="12.75">
      <c r="B5414" s="84"/>
    </row>
    <row r="5415" ht="12.75">
      <c r="B5415" s="84"/>
    </row>
    <row r="5416" ht="12.75">
      <c r="B5416" s="84"/>
    </row>
    <row r="5417" ht="12.75">
      <c r="B5417" s="84"/>
    </row>
    <row r="5418" ht="12.75">
      <c r="B5418" s="84"/>
    </row>
    <row r="5419" ht="12.75">
      <c r="B5419" s="84"/>
    </row>
    <row r="5420" ht="12.75">
      <c r="B5420" s="84"/>
    </row>
    <row r="5421" ht="12.75">
      <c r="B5421" s="84"/>
    </row>
    <row r="5422" ht="12.75">
      <c r="B5422" s="84"/>
    </row>
    <row r="5423" ht="12.75">
      <c r="B5423" s="84"/>
    </row>
    <row r="5424" ht="12.75">
      <c r="B5424" s="84"/>
    </row>
    <row r="5425" ht="12.75">
      <c r="B5425" s="84"/>
    </row>
    <row r="5426" ht="12.75">
      <c r="B5426" s="84"/>
    </row>
    <row r="5427" ht="12.75">
      <c r="B5427" s="84"/>
    </row>
    <row r="5428" ht="12.75">
      <c r="B5428" s="84"/>
    </row>
    <row r="5429" ht="12.75">
      <c r="B5429" s="84"/>
    </row>
    <row r="5430" ht="12.75">
      <c r="B5430" s="84"/>
    </row>
    <row r="5431" ht="12.75">
      <c r="B5431" s="84"/>
    </row>
    <row r="5432" ht="12.75">
      <c r="B5432" s="84"/>
    </row>
    <row r="5433" ht="12.75">
      <c r="B5433" s="84"/>
    </row>
    <row r="5434" ht="12.75">
      <c r="B5434" s="84"/>
    </row>
    <row r="5435" ht="12.75">
      <c r="B5435" s="84"/>
    </row>
    <row r="5436" ht="12.75">
      <c r="B5436" s="84"/>
    </row>
    <row r="5437" ht="12.75">
      <c r="B5437" s="84"/>
    </row>
    <row r="5438" ht="12.75">
      <c r="B5438" s="84"/>
    </row>
    <row r="5439" ht="12.75">
      <c r="B5439" s="84"/>
    </row>
    <row r="5440" ht="12.75">
      <c r="B5440" s="84"/>
    </row>
    <row r="5441" ht="12.75">
      <c r="B5441" s="84"/>
    </row>
    <row r="5442" ht="12.75">
      <c r="B5442" s="84"/>
    </row>
    <row r="5443" ht="12.75">
      <c r="B5443" s="84"/>
    </row>
    <row r="5444" ht="12.75">
      <c r="B5444" s="84"/>
    </row>
    <row r="5445" ht="12.75">
      <c r="B5445" s="84"/>
    </row>
    <row r="5446" ht="12.75">
      <c r="B5446" s="84"/>
    </row>
    <row r="5447" ht="12.75">
      <c r="B5447" s="84"/>
    </row>
    <row r="5448" ht="12.75">
      <c r="B5448" s="84"/>
    </row>
    <row r="5449" ht="12.75">
      <c r="B5449" s="84"/>
    </row>
    <row r="5450" ht="12.75">
      <c r="B5450" s="84"/>
    </row>
    <row r="5451" ht="12.75">
      <c r="B5451" s="84"/>
    </row>
    <row r="5452" ht="12.75">
      <c r="B5452" s="84"/>
    </row>
    <row r="5453" ht="12.75">
      <c r="B5453" s="84"/>
    </row>
    <row r="5454" ht="12.75">
      <c r="B5454" s="84"/>
    </row>
    <row r="5455" ht="12.75">
      <c r="B5455" s="84"/>
    </row>
    <row r="5456" ht="12.75">
      <c r="B5456" s="84"/>
    </row>
    <row r="5457" ht="12.75">
      <c r="B5457" s="84"/>
    </row>
    <row r="5458" ht="12.75">
      <c r="B5458" s="84"/>
    </row>
    <row r="5459" ht="12.75">
      <c r="B5459" s="84"/>
    </row>
    <row r="5460" ht="12.75">
      <c r="B5460" s="84"/>
    </row>
    <row r="5461" ht="12.75">
      <c r="B5461" s="84"/>
    </row>
    <row r="5462" ht="12.75">
      <c r="B5462" s="84"/>
    </row>
    <row r="5463" ht="12.75">
      <c r="B5463" s="84"/>
    </row>
    <row r="5464" ht="12.75">
      <c r="B5464" s="84"/>
    </row>
    <row r="5465" ht="12.75">
      <c r="B5465" s="84"/>
    </row>
    <row r="5466" ht="12.75">
      <c r="B5466" s="84"/>
    </row>
    <row r="5467" ht="12.75">
      <c r="B5467" s="84"/>
    </row>
    <row r="5468" ht="12.75">
      <c r="B5468" s="84"/>
    </row>
    <row r="5469" ht="12.75">
      <c r="B5469" s="84"/>
    </row>
    <row r="5470" ht="12.75">
      <c r="B5470" s="84"/>
    </row>
    <row r="5471" ht="12.75">
      <c r="B5471" s="84"/>
    </row>
    <row r="5472" ht="12.75">
      <c r="B5472" s="84"/>
    </row>
    <row r="5473" ht="12.75">
      <c r="B5473" s="84"/>
    </row>
    <row r="5474" ht="12.75">
      <c r="B5474" s="84"/>
    </row>
    <row r="5475" ht="12.75">
      <c r="B5475" s="84"/>
    </row>
    <row r="5476" ht="12.75">
      <c r="B5476" s="84"/>
    </row>
    <row r="5477" ht="12.75">
      <c r="B5477" s="84"/>
    </row>
    <row r="5478" ht="12.75">
      <c r="B5478" s="84"/>
    </row>
    <row r="5479" ht="12.75">
      <c r="B5479" s="84"/>
    </row>
    <row r="5480" ht="12.75">
      <c r="B5480" s="84"/>
    </row>
    <row r="5481" ht="12.75">
      <c r="B5481" s="84"/>
    </row>
    <row r="5482" ht="12.75">
      <c r="B5482" s="84"/>
    </row>
    <row r="5483" ht="12.75">
      <c r="B5483" s="84"/>
    </row>
    <row r="5484" ht="12.75">
      <c r="B5484" s="84"/>
    </row>
    <row r="5485" ht="12.75">
      <c r="B5485" s="84"/>
    </row>
    <row r="5486" ht="12.75">
      <c r="B5486" s="84"/>
    </row>
    <row r="5487" ht="12.75">
      <c r="B5487" s="84"/>
    </row>
    <row r="5488" ht="12.75">
      <c r="B5488" s="84"/>
    </row>
    <row r="5489" ht="12.75">
      <c r="B5489" s="84"/>
    </row>
    <row r="5490" ht="12.75">
      <c r="B5490" s="84"/>
    </row>
    <row r="5491" ht="12.75">
      <c r="B5491" s="84"/>
    </row>
    <row r="5492" ht="12.75">
      <c r="B5492" s="84"/>
    </row>
    <row r="5493" ht="12.75">
      <c r="B5493" s="84"/>
    </row>
    <row r="5494" ht="12.75">
      <c r="B5494" s="84"/>
    </row>
    <row r="5495" ht="12.75">
      <c r="B5495" s="84"/>
    </row>
    <row r="5496" ht="12.75">
      <c r="B5496" s="84"/>
    </row>
    <row r="5497" ht="12.75">
      <c r="B5497" s="84"/>
    </row>
    <row r="5498" ht="12.75">
      <c r="B5498" s="84"/>
    </row>
    <row r="5499" ht="12.75">
      <c r="B5499" s="84"/>
    </row>
    <row r="5500" ht="12.75">
      <c r="B5500" s="84"/>
    </row>
    <row r="5501" ht="12.75">
      <c r="B5501" s="84"/>
    </row>
    <row r="5502" ht="12.75">
      <c r="B5502" s="84"/>
    </row>
    <row r="5503" ht="12.75">
      <c r="B5503" s="84"/>
    </row>
    <row r="5504" ht="12.75">
      <c r="B5504" s="84"/>
    </row>
    <row r="5505" ht="12.75">
      <c r="B5505" s="84"/>
    </row>
    <row r="5506" ht="12.75">
      <c r="B5506" s="84"/>
    </row>
    <row r="5507" ht="12.75">
      <c r="B5507" s="84"/>
    </row>
    <row r="5508" ht="12.75">
      <c r="B5508" s="84"/>
    </row>
    <row r="5509" ht="12.75">
      <c r="B5509" s="84"/>
    </row>
    <row r="5510" ht="12.75">
      <c r="B5510" s="84"/>
    </row>
    <row r="5511" ht="12.75">
      <c r="B5511" s="84"/>
    </row>
    <row r="5512" ht="12.75">
      <c r="B5512" s="84"/>
    </row>
    <row r="5513" ht="12.75">
      <c r="B5513" s="84"/>
    </row>
    <row r="5514" ht="12.75">
      <c r="B5514" s="84"/>
    </row>
    <row r="5515" ht="12.75">
      <c r="B5515" s="84"/>
    </row>
    <row r="5516" ht="12.75">
      <c r="B5516" s="84"/>
    </row>
    <row r="5517" ht="12.75">
      <c r="B5517" s="84"/>
    </row>
    <row r="5518" ht="12.75">
      <c r="B5518" s="84"/>
    </row>
    <row r="5519" ht="12.75">
      <c r="B5519" s="84"/>
    </row>
    <row r="5520" ht="12.75">
      <c r="B5520" s="84"/>
    </row>
    <row r="5521" ht="12.75">
      <c r="B5521" s="84"/>
    </row>
    <row r="5522" ht="12.75">
      <c r="B5522" s="84"/>
    </row>
    <row r="5523" ht="12.75">
      <c r="B5523" s="84"/>
    </row>
    <row r="5524" ht="12.75">
      <c r="B5524" s="84"/>
    </row>
    <row r="5525" ht="12.75">
      <c r="B5525" s="84"/>
    </row>
    <row r="5526" ht="12.75">
      <c r="B5526" s="84"/>
    </row>
    <row r="5527" ht="12.75">
      <c r="B5527" s="84"/>
    </row>
    <row r="5528" ht="12.75">
      <c r="B5528" s="84"/>
    </row>
    <row r="5529" ht="12.75">
      <c r="B5529" s="84"/>
    </row>
    <row r="5530" ht="12.75">
      <c r="B5530" s="84"/>
    </row>
    <row r="5531" ht="12.75">
      <c r="B5531" s="84"/>
    </row>
    <row r="5532" ht="12.75">
      <c r="B5532" s="84"/>
    </row>
    <row r="5533" ht="12.75">
      <c r="B5533" s="84"/>
    </row>
    <row r="5534" ht="12.75">
      <c r="B5534" s="84"/>
    </row>
    <row r="5535" ht="12.75">
      <c r="B5535" s="84"/>
    </row>
    <row r="5536" ht="12.75">
      <c r="B5536" s="84"/>
    </row>
    <row r="5537" ht="12.75">
      <c r="B5537" s="84"/>
    </row>
    <row r="5538" ht="12.75">
      <c r="B5538" s="84"/>
    </row>
    <row r="5539" ht="12.75">
      <c r="B5539" s="84"/>
    </row>
    <row r="5540" ht="12.75">
      <c r="B5540" s="84"/>
    </row>
    <row r="5541" ht="12.75">
      <c r="B5541" s="84"/>
    </row>
    <row r="5542" ht="12.75">
      <c r="B5542" s="84"/>
    </row>
    <row r="5543" ht="12.75">
      <c r="B5543" s="84"/>
    </row>
    <row r="5544" ht="12.75">
      <c r="B5544" s="84"/>
    </row>
    <row r="5545" ht="12.75">
      <c r="B5545" s="84"/>
    </row>
    <row r="5546" ht="12.75">
      <c r="B5546" s="84"/>
    </row>
    <row r="5547" ht="12.75">
      <c r="B5547" s="84"/>
    </row>
    <row r="5548" ht="12.75">
      <c r="B5548" s="84"/>
    </row>
    <row r="5549" ht="12.75">
      <c r="B5549" s="84"/>
    </row>
    <row r="5550" ht="12.75">
      <c r="B5550" s="84"/>
    </row>
    <row r="5551" ht="12.75">
      <c r="B5551" s="84"/>
    </row>
    <row r="5552" ht="12.75">
      <c r="B5552" s="84"/>
    </row>
    <row r="5553" ht="12.75">
      <c r="B5553" s="84"/>
    </row>
    <row r="5554" ht="12.75">
      <c r="B5554" s="84"/>
    </row>
    <row r="5555" ht="12.75">
      <c r="B5555" s="84"/>
    </row>
    <row r="5556" ht="12.75">
      <c r="B5556" s="84"/>
    </row>
    <row r="5557" ht="12.75">
      <c r="B5557" s="84"/>
    </row>
    <row r="5558" ht="12.75">
      <c r="B5558" s="84"/>
    </row>
    <row r="5559" ht="12.75">
      <c r="B5559" s="84"/>
    </row>
    <row r="5560" ht="12.75">
      <c r="B5560" s="84"/>
    </row>
    <row r="5561" ht="12.75">
      <c r="B5561" s="84"/>
    </row>
    <row r="5562" ht="12.75">
      <c r="B5562" s="84"/>
    </row>
    <row r="5563" ht="12.75">
      <c r="B5563" s="84"/>
    </row>
    <row r="5564" ht="12.75">
      <c r="B5564" s="84"/>
    </row>
    <row r="5565" ht="12.75">
      <c r="B5565" s="84"/>
    </row>
    <row r="5566" ht="12.75">
      <c r="B5566" s="84"/>
    </row>
    <row r="5567" ht="12.75">
      <c r="B5567" s="84"/>
    </row>
    <row r="5568" ht="12.75">
      <c r="B5568" s="84"/>
    </row>
    <row r="5569" ht="12.75">
      <c r="B5569" s="84"/>
    </row>
    <row r="5570" ht="12.75">
      <c r="B5570" s="84"/>
    </row>
    <row r="5571" ht="12.75">
      <c r="B5571" s="84"/>
    </row>
    <row r="5572" ht="12.75">
      <c r="B5572" s="84"/>
    </row>
    <row r="5573" ht="12.75">
      <c r="B5573" s="84"/>
    </row>
    <row r="5574" ht="12.75">
      <c r="B5574" s="84"/>
    </row>
    <row r="5575" ht="12.75">
      <c r="B5575" s="84"/>
    </row>
    <row r="5576" ht="12.75">
      <c r="B5576" s="84"/>
    </row>
    <row r="5577" ht="12.75">
      <c r="B5577" s="84"/>
    </row>
    <row r="5578" ht="12.75">
      <c r="B5578" s="84"/>
    </row>
    <row r="5579" ht="12.75">
      <c r="B5579" s="84"/>
    </row>
    <row r="5580" ht="12.75">
      <c r="B5580" s="84"/>
    </row>
    <row r="5581" ht="12.75">
      <c r="B5581" s="84"/>
    </row>
    <row r="5582" ht="12.75">
      <c r="B5582" s="84"/>
    </row>
    <row r="5583" ht="12.75">
      <c r="B5583" s="84"/>
    </row>
    <row r="5584" ht="12.75">
      <c r="B5584" s="84"/>
    </row>
    <row r="5585" ht="12.75">
      <c r="B5585" s="84"/>
    </row>
    <row r="5586" ht="12.75">
      <c r="B5586" s="84"/>
    </row>
    <row r="5587" ht="12.75">
      <c r="B5587" s="84"/>
    </row>
    <row r="5588" ht="12.75">
      <c r="B5588" s="84"/>
    </row>
    <row r="5589" ht="12.75">
      <c r="B5589" s="84"/>
    </row>
    <row r="5590" ht="12.75">
      <c r="B5590" s="84"/>
    </row>
    <row r="5591" ht="12.75">
      <c r="B5591" s="84"/>
    </row>
    <row r="5592" ht="12.75">
      <c r="B5592" s="84"/>
    </row>
    <row r="5593" ht="12.75">
      <c r="B5593" s="84"/>
    </row>
    <row r="5594" ht="12.75">
      <c r="B5594" s="84"/>
    </row>
    <row r="5595" ht="12.75">
      <c r="B5595" s="84"/>
    </row>
    <row r="5596" ht="12.75">
      <c r="B5596" s="84"/>
    </row>
    <row r="5597" ht="12.75">
      <c r="B5597" s="84"/>
    </row>
    <row r="5598" ht="12.75">
      <c r="B5598" s="84"/>
    </row>
    <row r="5599" ht="12.75">
      <c r="B5599" s="84"/>
    </row>
    <row r="5600" ht="12.75">
      <c r="B5600" s="84"/>
    </row>
    <row r="5601" ht="12.75">
      <c r="B5601" s="84"/>
    </row>
    <row r="5602" ht="12.75">
      <c r="B5602" s="84"/>
    </row>
    <row r="5603" ht="12.75">
      <c r="B5603" s="84"/>
    </row>
    <row r="5604" ht="12.75">
      <c r="B5604" s="84"/>
    </row>
    <row r="5605" ht="12.75">
      <c r="B5605" s="84"/>
    </row>
    <row r="5606" ht="12.75">
      <c r="B5606" s="84"/>
    </row>
    <row r="5607" ht="12.75">
      <c r="B5607" s="84"/>
    </row>
    <row r="5608" ht="12.75">
      <c r="B5608" s="84"/>
    </row>
    <row r="5609" ht="12.75">
      <c r="B5609" s="84"/>
    </row>
    <row r="5610" ht="12.75">
      <c r="B5610" s="84"/>
    </row>
    <row r="5611" ht="12.75">
      <c r="B5611" s="84"/>
    </row>
    <row r="5612" ht="12.75">
      <c r="B5612" s="84"/>
    </row>
    <row r="5613" ht="12.75">
      <c r="B5613" s="84"/>
    </row>
    <row r="5614" ht="12.75">
      <c r="B5614" s="84"/>
    </row>
    <row r="5615" ht="12.75">
      <c r="B5615" s="84"/>
    </row>
    <row r="5616" ht="12.75">
      <c r="B5616" s="84"/>
    </row>
    <row r="5617" ht="12.75">
      <c r="B5617" s="84"/>
    </row>
    <row r="5618" ht="12.75">
      <c r="B5618" s="84"/>
    </row>
    <row r="5619" ht="12.75">
      <c r="B5619" s="84"/>
    </row>
    <row r="5620" ht="12.75">
      <c r="B5620" s="84"/>
    </row>
    <row r="5621" ht="12.75">
      <c r="B5621" s="84"/>
    </row>
    <row r="5622" ht="12.75">
      <c r="B5622" s="84"/>
    </row>
    <row r="5623" ht="12.75">
      <c r="B5623" s="84"/>
    </row>
    <row r="5624" ht="12.75">
      <c r="B5624" s="84"/>
    </row>
    <row r="5625" ht="12.75">
      <c r="B5625" s="84"/>
    </row>
    <row r="5626" ht="12.75">
      <c r="B5626" s="84"/>
    </row>
    <row r="5627" ht="12.75">
      <c r="B5627" s="84"/>
    </row>
    <row r="5628" ht="12.75">
      <c r="B5628" s="84"/>
    </row>
    <row r="5629" ht="12.75">
      <c r="B5629" s="84"/>
    </row>
    <row r="5630" ht="12.75">
      <c r="B5630" s="84"/>
    </row>
    <row r="5631" ht="12.75">
      <c r="B5631" s="84"/>
    </row>
    <row r="5632" ht="12.75">
      <c r="B5632" s="84"/>
    </row>
    <row r="5633" ht="12.75">
      <c r="B5633" s="84"/>
    </row>
    <row r="5634" ht="12.75">
      <c r="B5634" s="84"/>
    </row>
    <row r="5635" ht="12.75">
      <c r="B5635" s="84"/>
    </row>
    <row r="5636" ht="12.75">
      <c r="B5636" s="84"/>
    </row>
    <row r="5637" ht="12.75">
      <c r="B5637" s="84"/>
    </row>
    <row r="5638" ht="12.75">
      <c r="B5638" s="84"/>
    </row>
    <row r="5639" ht="12.75">
      <c r="B5639" s="84"/>
    </row>
    <row r="5640" ht="12.75">
      <c r="B5640" s="84"/>
    </row>
    <row r="5641" ht="12.75">
      <c r="B5641" s="84"/>
    </row>
    <row r="5642" ht="12.75">
      <c r="B5642" s="84"/>
    </row>
    <row r="5643" ht="12.75">
      <c r="B5643" s="84"/>
    </row>
    <row r="5644" ht="12.75">
      <c r="B5644" s="84"/>
    </row>
    <row r="5645" ht="12.75">
      <c r="B5645" s="84"/>
    </row>
    <row r="5646" ht="12.75">
      <c r="B5646" s="84"/>
    </row>
    <row r="5647" ht="12.75">
      <c r="B5647" s="84"/>
    </row>
    <row r="5648" ht="12.75">
      <c r="B5648" s="84"/>
    </row>
    <row r="5649" ht="12.75">
      <c r="B5649" s="84"/>
    </row>
    <row r="5650" ht="12.75">
      <c r="B5650" s="84"/>
    </row>
    <row r="5651" ht="12.75">
      <c r="B5651" s="84"/>
    </row>
    <row r="5652" ht="12.75">
      <c r="B5652" s="84"/>
    </row>
    <row r="5653" ht="12.75">
      <c r="B5653" s="84"/>
    </row>
    <row r="5654" ht="12.75">
      <c r="B5654" s="84"/>
    </row>
    <row r="5655" ht="12.75">
      <c r="B5655" s="84"/>
    </row>
    <row r="5656" ht="12.75">
      <c r="B5656" s="84"/>
    </row>
    <row r="5657" ht="12.75">
      <c r="B5657" s="84"/>
    </row>
    <row r="5658" ht="12.75">
      <c r="B5658" s="84"/>
    </row>
    <row r="5659" ht="12.75">
      <c r="B5659" s="84"/>
    </row>
    <row r="5660" ht="12.75">
      <c r="B5660" s="84"/>
    </row>
    <row r="5661" ht="12.75">
      <c r="B5661" s="84"/>
    </row>
    <row r="5662" ht="12.75">
      <c r="B5662" s="84"/>
    </row>
    <row r="5663" ht="12.75">
      <c r="B5663" s="84"/>
    </row>
    <row r="5664" ht="12.75">
      <c r="B5664" s="84"/>
    </row>
    <row r="5665" ht="12.75">
      <c r="B5665" s="84"/>
    </row>
    <row r="5666" ht="12.75">
      <c r="B5666" s="84"/>
    </row>
    <row r="5667" ht="12.75">
      <c r="B5667" s="84"/>
    </row>
    <row r="5668" ht="12.75">
      <c r="B5668" s="84"/>
    </row>
    <row r="5669" ht="12.75">
      <c r="B5669" s="84"/>
    </row>
    <row r="5670" ht="12.75">
      <c r="B5670" s="84"/>
    </row>
    <row r="5671" ht="12.75">
      <c r="B5671" s="84"/>
    </row>
    <row r="5672" ht="12.75">
      <c r="B5672" s="84"/>
    </row>
    <row r="5673" ht="12.75">
      <c r="B5673" s="84"/>
    </row>
    <row r="5674" ht="12.75">
      <c r="B5674" s="84"/>
    </row>
    <row r="5675" ht="12.75">
      <c r="B5675" s="84"/>
    </row>
    <row r="5676" ht="12.75">
      <c r="B5676" s="84"/>
    </row>
    <row r="5677" ht="12.75">
      <c r="B5677" s="84"/>
    </row>
    <row r="5678" ht="12.75">
      <c r="B5678" s="84"/>
    </row>
    <row r="5679" ht="12.75">
      <c r="B5679" s="84"/>
    </row>
    <row r="5680" ht="12.75">
      <c r="B5680" s="84"/>
    </row>
    <row r="5681" ht="12.75">
      <c r="B5681" s="84"/>
    </row>
    <row r="5682" ht="12.75">
      <c r="B5682" s="84"/>
    </row>
    <row r="5683" ht="12.75">
      <c r="B5683" s="84"/>
    </row>
    <row r="5684" ht="12.75">
      <c r="B5684" s="84"/>
    </row>
    <row r="5685" ht="12.75">
      <c r="B5685" s="84"/>
    </row>
    <row r="5686" ht="12.75">
      <c r="B5686" s="84"/>
    </row>
    <row r="5687" ht="12.75">
      <c r="B5687" s="84"/>
    </row>
    <row r="5688" ht="12.75">
      <c r="B5688" s="84"/>
    </row>
    <row r="5689" ht="12.75">
      <c r="B5689" s="84"/>
    </row>
    <row r="5690" ht="12.75">
      <c r="B5690" s="84"/>
    </row>
    <row r="5691" ht="12.75">
      <c r="B5691" s="84"/>
    </row>
    <row r="5692" ht="12.75">
      <c r="B5692" s="84"/>
    </row>
    <row r="5693" ht="12.75">
      <c r="B5693" s="84"/>
    </row>
    <row r="5694" ht="12.75">
      <c r="B5694" s="84"/>
    </row>
    <row r="5695" ht="12.75">
      <c r="B5695" s="84"/>
    </row>
    <row r="5696" ht="12.75">
      <c r="B5696" s="84"/>
    </row>
    <row r="5697" ht="12.75">
      <c r="B5697" s="84"/>
    </row>
    <row r="5698" ht="12.75">
      <c r="B5698" s="84"/>
    </row>
    <row r="5699" ht="12.75">
      <c r="B5699" s="84"/>
    </row>
    <row r="5700" ht="12.75">
      <c r="B5700" s="84"/>
    </row>
    <row r="5701" ht="12.75">
      <c r="B5701" s="84"/>
    </row>
    <row r="5702" ht="12.75">
      <c r="B5702" s="84"/>
    </row>
    <row r="5703" ht="12.75">
      <c r="B5703" s="84"/>
    </row>
    <row r="5704" ht="12.75">
      <c r="B5704" s="84"/>
    </row>
    <row r="5705" ht="12.75">
      <c r="B5705" s="84"/>
    </row>
    <row r="5706" ht="12.75">
      <c r="B5706" s="84"/>
    </row>
    <row r="5707" ht="12.75">
      <c r="B5707" s="84"/>
    </row>
    <row r="5708" ht="12.75">
      <c r="B5708" s="84"/>
    </row>
    <row r="5709" ht="12.75">
      <c r="B5709" s="84"/>
    </row>
    <row r="5710" ht="12.75">
      <c r="B5710" s="84"/>
    </row>
    <row r="5711" ht="12.75">
      <c r="B5711" s="84"/>
    </row>
    <row r="5712" ht="12.75">
      <c r="B5712" s="84"/>
    </row>
    <row r="5761" ht="12.75">
      <c r="B5761" s="84"/>
    </row>
    <row r="5762" ht="12.75">
      <c r="B5762" s="84"/>
    </row>
    <row r="5763" ht="12.75">
      <c r="B5763" s="84"/>
    </row>
    <row r="5764" ht="12.75">
      <c r="B5764" s="84"/>
    </row>
    <row r="5765" ht="12.75">
      <c r="B5765" s="84"/>
    </row>
    <row r="5766" ht="12.75">
      <c r="B5766" s="84"/>
    </row>
    <row r="5767" ht="12.75">
      <c r="B5767" s="84"/>
    </row>
    <row r="5768" ht="12.75">
      <c r="B5768" s="84"/>
    </row>
    <row r="5769" ht="12.75">
      <c r="B5769" s="84"/>
    </row>
    <row r="5770" ht="12.75">
      <c r="B5770" s="84"/>
    </row>
    <row r="5771" ht="12.75">
      <c r="B5771" s="84"/>
    </row>
    <row r="5772" ht="12.75">
      <c r="B5772" s="84"/>
    </row>
    <row r="5773" ht="12.75">
      <c r="B5773" s="84"/>
    </row>
    <row r="5774" ht="12.75">
      <c r="B5774" s="84"/>
    </row>
    <row r="5775" ht="12.75">
      <c r="B5775" s="84"/>
    </row>
    <row r="5776" ht="12.75">
      <c r="B5776" s="84"/>
    </row>
    <row r="5777" ht="12.75">
      <c r="B5777" s="84"/>
    </row>
    <row r="5778" ht="12.75">
      <c r="B5778" s="84"/>
    </row>
    <row r="5779" ht="12.75">
      <c r="B5779" s="84"/>
    </row>
    <row r="5780" ht="12.75">
      <c r="B5780" s="84"/>
    </row>
    <row r="5781" ht="12.75">
      <c r="B5781" s="84"/>
    </row>
    <row r="5782" ht="12.75">
      <c r="B5782" s="84"/>
    </row>
    <row r="5783" ht="12.75">
      <c r="B5783" s="84"/>
    </row>
    <row r="5784" ht="12.75">
      <c r="B5784" s="84"/>
    </row>
    <row r="5785" ht="12.75">
      <c r="B5785" s="84"/>
    </row>
    <row r="5786" ht="12.75">
      <c r="B5786" s="84"/>
    </row>
    <row r="5787" ht="12.75">
      <c r="B5787" s="84"/>
    </row>
    <row r="5788" ht="12.75">
      <c r="B5788" s="84"/>
    </row>
    <row r="5789" ht="12.75">
      <c r="B5789" s="84"/>
    </row>
    <row r="5790" ht="12.75">
      <c r="B5790" s="84"/>
    </row>
    <row r="5791" ht="12.75">
      <c r="B5791" s="84"/>
    </row>
    <row r="5792" ht="12.75">
      <c r="B5792" s="84"/>
    </row>
    <row r="5793" ht="12.75">
      <c r="B5793" s="84"/>
    </row>
    <row r="5794" ht="12.75">
      <c r="B5794" s="84"/>
    </row>
    <row r="5795" ht="12.75">
      <c r="B5795" s="84"/>
    </row>
    <row r="5796" ht="12.75">
      <c r="B5796" s="84"/>
    </row>
    <row r="5797" ht="12.75">
      <c r="B5797" s="84"/>
    </row>
    <row r="5798" ht="12.75">
      <c r="B5798" s="84"/>
    </row>
    <row r="5799" ht="12.75">
      <c r="B5799" s="84"/>
    </row>
    <row r="5800" ht="12.75">
      <c r="B5800" s="84"/>
    </row>
    <row r="5801" ht="12.75">
      <c r="B5801" s="84"/>
    </row>
    <row r="5802" ht="12.75">
      <c r="B5802" s="84"/>
    </row>
    <row r="5803" ht="12.75">
      <c r="B5803" s="84"/>
    </row>
    <row r="5804" ht="12.75">
      <c r="B5804" s="84"/>
    </row>
    <row r="5805" ht="12.75">
      <c r="B5805" s="84"/>
    </row>
    <row r="5806" ht="12.75">
      <c r="B5806" s="84"/>
    </row>
    <row r="5807" ht="12.75">
      <c r="B5807" s="84"/>
    </row>
    <row r="5808" ht="12.75">
      <c r="B5808" s="84"/>
    </row>
    <row r="5809" ht="12.75">
      <c r="B5809" s="84"/>
    </row>
    <row r="5810" ht="12.75">
      <c r="B5810" s="84"/>
    </row>
    <row r="5811" ht="12.75">
      <c r="B5811" s="84"/>
    </row>
    <row r="5812" ht="12.75">
      <c r="B5812" s="84"/>
    </row>
    <row r="5813" ht="12.75">
      <c r="B5813" s="84"/>
    </row>
    <row r="5814" ht="12.75">
      <c r="B5814" s="84"/>
    </row>
    <row r="5815" ht="12.75">
      <c r="B5815" s="84"/>
    </row>
    <row r="5816" ht="12.75">
      <c r="B5816" s="84"/>
    </row>
    <row r="5817" ht="12.75">
      <c r="B5817" s="84"/>
    </row>
    <row r="5818" ht="12.75">
      <c r="B5818" s="84"/>
    </row>
    <row r="5819" ht="12.75">
      <c r="B5819" s="84"/>
    </row>
    <row r="5820" ht="12.75">
      <c r="B5820" s="84"/>
    </row>
    <row r="5821" ht="12.75">
      <c r="B5821" s="84"/>
    </row>
    <row r="5822" ht="12.75">
      <c r="B5822" s="84"/>
    </row>
    <row r="5823" ht="12.75">
      <c r="B5823" s="84"/>
    </row>
    <row r="5824" ht="12.75">
      <c r="B5824" s="84"/>
    </row>
    <row r="5825" ht="12.75">
      <c r="B5825" s="84"/>
    </row>
    <row r="5826" ht="12.75">
      <c r="B5826" s="84"/>
    </row>
    <row r="5827" ht="12.75">
      <c r="B5827" s="84"/>
    </row>
    <row r="5828" ht="12.75">
      <c r="B5828" s="84"/>
    </row>
    <row r="5829" ht="12.75">
      <c r="B5829" s="84"/>
    </row>
    <row r="5830" ht="12.75">
      <c r="B5830" s="84"/>
    </row>
    <row r="5831" ht="12.75">
      <c r="B5831" s="84"/>
    </row>
    <row r="5832" ht="12.75">
      <c r="B5832" s="84"/>
    </row>
    <row r="5833" ht="12.75">
      <c r="B5833" s="84"/>
    </row>
    <row r="5834" ht="12.75">
      <c r="B5834" s="84"/>
    </row>
    <row r="5835" ht="12.75">
      <c r="B5835" s="84"/>
    </row>
    <row r="5836" ht="12.75">
      <c r="B5836" s="84"/>
    </row>
    <row r="5837" ht="12.75">
      <c r="B5837" s="84"/>
    </row>
    <row r="5838" ht="12.75">
      <c r="B5838" s="84"/>
    </row>
    <row r="5839" ht="12.75">
      <c r="B5839" s="84"/>
    </row>
    <row r="5840" ht="12.75">
      <c r="B5840" s="84"/>
    </row>
    <row r="5841" ht="12.75">
      <c r="B5841" s="84"/>
    </row>
    <row r="5842" ht="12.75">
      <c r="B5842" s="84"/>
    </row>
    <row r="5843" ht="12.75">
      <c r="B5843" s="84"/>
    </row>
    <row r="5844" ht="12.75">
      <c r="B5844" s="84"/>
    </row>
    <row r="5845" ht="12.75">
      <c r="B5845" s="84"/>
    </row>
    <row r="5846" ht="12.75">
      <c r="B5846" s="84"/>
    </row>
    <row r="5847" ht="12.75">
      <c r="B5847" s="84"/>
    </row>
    <row r="5848" ht="12.75">
      <c r="B5848" s="84"/>
    </row>
    <row r="5849" ht="12.75">
      <c r="B5849" s="84"/>
    </row>
    <row r="5850" ht="12.75">
      <c r="B5850" s="84"/>
    </row>
    <row r="5851" ht="12.75">
      <c r="B5851" s="84"/>
    </row>
    <row r="5852" ht="12.75">
      <c r="B5852" s="84"/>
    </row>
    <row r="5853" ht="12.75">
      <c r="B5853" s="84"/>
    </row>
    <row r="5854" ht="12.75">
      <c r="B5854" s="84"/>
    </row>
    <row r="5855" ht="12.75">
      <c r="B5855" s="84"/>
    </row>
    <row r="5856" ht="12.75">
      <c r="B5856" s="84"/>
    </row>
    <row r="5857" ht="12.75">
      <c r="B5857" s="84"/>
    </row>
    <row r="5858" ht="12.75">
      <c r="B5858" s="84"/>
    </row>
    <row r="5859" ht="12.75">
      <c r="B5859" s="84"/>
    </row>
    <row r="5860" ht="12.75">
      <c r="B5860" s="84"/>
    </row>
    <row r="5861" ht="12.75">
      <c r="B5861" s="84"/>
    </row>
    <row r="5862" ht="12.75">
      <c r="B5862" s="84"/>
    </row>
    <row r="5863" ht="12.75">
      <c r="B5863" s="84"/>
    </row>
    <row r="5864" ht="12.75">
      <c r="B5864" s="84"/>
    </row>
    <row r="5865" ht="12.75">
      <c r="B5865" s="84"/>
    </row>
    <row r="5866" ht="12.75">
      <c r="B5866" s="84"/>
    </row>
    <row r="5867" ht="12.75">
      <c r="B5867" s="84"/>
    </row>
    <row r="5868" ht="12.75">
      <c r="B5868" s="84"/>
    </row>
    <row r="5869" ht="12.75">
      <c r="B5869" s="84"/>
    </row>
    <row r="5870" ht="12.75">
      <c r="B5870" s="84"/>
    </row>
    <row r="5871" ht="12.75">
      <c r="B5871" s="84"/>
    </row>
    <row r="5872" ht="12.75">
      <c r="B5872" s="84"/>
    </row>
    <row r="5873" ht="12.75">
      <c r="B5873" s="84"/>
    </row>
    <row r="5874" ht="12.75">
      <c r="B5874" s="84"/>
    </row>
    <row r="5875" ht="12.75">
      <c r="B5875" s="84"/>
    </row>
    <row r="5876" ht="12.75">
      <c r="B5876" s="84"/>
    </row>
    <row r="5877" ht="12.75">
      <c r="B5877" s="84"/>
    </row>
    <row r="5878" ht="12.75">
      <c r="B5878" s="84"/>
    </row>
    <row r="5879" ht="12.75">
      <c r="B5879" s="84"/>
    </row>
    <row r="5880" ht="12.75">
      <c r="B5880" s="84"/>
    </row>
    <row r="5881" ht="12.75">
      <c r="B5881" s="84"/>
    </row>
    <row r="5882" ht="12.75">
      <c r="B5882" s="84"/>
    </row>
    <row r="5883" ht="12.75">
      <c r="B5883" s="84"/>
    </row>
    <row r="5884" ht="12.75">
      <c r="B5884" s="84"/>
    </row>
    <row r="5885" ht="12.75">
      <c r="B5885" s="84"/>
    </row>
    <row r="5886" ht="12.75">
      <c r="B5886" s="84"/>
    </row>
    <row r="5887" ht="12.75">
      <c r="B5887" s="84"/>
    </row>
    <row r="5888" ht="12.75">
      <c r="B5888" s="84"/>
    </row>
    <row r="5889" ht="12.75">
      <c r="B5889" s="84"/>
    </row>
    <row r="5890" ht="12.75">
      <c r="B5890" s="84"/>
    </row>
    <row r="5891" ht="12.75">
      <c r="B5891" s="84"/>
    </row>
    <row r="5892" ht="12.75">
      <c r="B5892" s="84"/>
    </row>
    <row r="5893" ht="12.75">
      <c r="B5893" s="84"/>
    </row>
    <row r="5894" ht="12.75">
      <c r="B5894" s="84"/>
    </row>
    <row r="5895" ht="12.75">
      <c r="B5895" s="84"/>
    </row>
    <row r="5896" ht="12.75">
      <c r="B5896" s="84"/>
    </row>
    <row r="5897" ht="12.75">
      <c r="B5897" s="84"/>
    </row>
    <row r="5898" ht="12.75">
      <c r="B5898" s="84"/>
    </row>
    <row r="5899" ht="12.75">
      <c r="B5899" s="84"/>
    </row>
    <row r="5900" ht="12.75">
      <c r="B5900" s="84"/>
    </row>
    <row r="5901" ht="12.75">
      <c r="B5901" s="84"/>
    </row>
    <row r="5902" ht="12.75">
      <c r="B5902" s="84"/>
    </row>
    <row r="5903" ht="12.75">
      <c r="B5903" s="84"/>
    </row>
    <row r="5904" ht="12.75">
      <c r="B5904" s="84"/>
    </row>
    <row r="5905" ht="12.75">
      <c r="B5905" s="84"/>
    </row>
    <row r="5906" ht="12.75">
      <c r="B5906" s="84"/>
    </row>
    <row r="5907" ht="12.75">
      <c r="B5907" s="84"/>
    </row>
    <row r="5908" ht="12.75">
      <c r="B5908" s="84"/>
    </row>
    <row r="5909" ht="12.75">
      <c r="B5909" s="84"/>
    </row>
    <row r="5910" ht="12.75">
      <c r="B5910" s="84"/>
    </row>
    <row r="5911" ht="12.75">
      <c r="B5911" s="84"/>
    </row>
    <row r="5912" ht="12.75">
      <c r="B5912" s="84"/>
    </row>
    <row r="5913" ht="12.75">
      <c r="B5913" s="84"/>
    </row>
    <row r="5914" ht="12.75">
      <c r="B5914" s="84"/>
    </row>
    <row r="5915" ht="12.75">
      <c r="B5915" s="84"/>
    </row>
    <row r="5916" ht="12.75">
      <c r="B5916" s="84"/>
    </row>
    <row r="5917" ht="12.75">
      <c r="B5917" s="84"/>
    </row>
    <row r="5918" ht="12.75">
      <c r="B5918" s="84"/>
    </row>
    <row r="5919" ht="12.75">
      <c r="B5919" s="84"/>
    </row>
    <row r="5920" ht="12.75">
      <c r="B5920" s="84"/>
    </row>
    <row r="5921" ht="12.75">
      <c r="B5921" s="84"/>
    </row>
    <row r="5922" ht="12.75">
      <c r="B5922" s="84"/>
    </row>
    <row r="5923" ht="12.75">
      <c r="B5923" s="84"/>
    </row>
    <row r="5924" ht="12.75">
      <c r="B5924" s="84"/>
    </row>
    <row r="5925" ht="12.75">
      <c r="B5925" s="84"/>
    </row>
    <row r="5926" ht="12.75">
      <c r="B5926" s="84"/>
    </row>
    <row r="5927" ht="12.75">
      <c r="B5927" s="84"/>
    </row>
    <row r="5928" ht="12.75">
      <c r="B5928" s="84"/>
    </row>
    <row r="5929" ht="12.75">
      <c r="B5929" s="84"/>
    </row>
    <row r="5930" ht="12.75">
      <c r="B5930" s="84"/>
    </row>
    <row r="5931" ht="12.75">
      <c r="B5931" s="84"/>
    </row>
    <row r="5932" ht="12.75">
      <c r="B5932" s="84"/>
    </row>
    <row r="5933" ht="12.75">
      <c r="B5933" s="84"/>
    </row>
    <row r="5934" ht="12.75">
      <c r="B5934" s="84"/>
    </row>
    <row r="5935" ht="12.75">
      <c r="B5935" s="84"/>
    </row>
    <row r="5936" ht="12.75">
      <c r="B5936" s="84"/>
    </row>
    <row r="5937" ht="12.75">
      <c r="B5937" s="84"/>
    </row>
    <row r="5938" ht="12.75">
      <c r="B5938" s="84"/>
    </row>
    <row r="5939" ht="12.75">
      <c r="B5939" s="84"/>
    </row>
    <row r="5940" ht="12.75">
      <c r="B5940" s="84"/>
    </row>
    <row r="5941" ht="12.75">
      <c r="B5941" s="84"/>
    </row>
    <row r="5942" ht="12.75">
      <c r="B5942" s="84"/>
    </row>
    <row r="5943" ht="12.75">
      <c r="B5943" s="84"/>
    </row>
    <row r="5944" ht="12.75">
      <c r="B5944" s="84"/>
    </row>
    <row r="5945" ht="12.75">
      <c r="B5945" s="84"/>
    </row>
    <row r="5946" ht="12.75">
      <c r="B5946" s="84"/>
    </row>
    <row r="5947" ht="12.75">
      <c r="B5947" s="84"/>
    </row>
    <row r="5948" ht="12.75">
      <c r="B5948" s="84"/>
    </row>
    <row r="5949" ht="12.75">
      <c r="B5949" s="84"/>
    </row>
    <row r="5950" ht="12.75">
      <c r="B5950" s="84"/>
    </row>
    <row r="5951" ht="12.75">
      <c r="B5951" s="84"/>
    </row>
    <row r="5952" ht="12.75">
      <c r="B5952" s="84"/>
    </row>
    <row r="5953" ht="12.75">
      <c r="B5953" s="84"/>
    </row>
    <row r="5954" ht="12.75">
      <c r="B5954" s="84"/>
    </row>
    <row r="5955" ht="12.75">
      <c r="B5955" s="84"/>
    </row>
    <row r="5956" ht="12.75">
      <c r="B5956" s="84"/>
    </row>
    <row r="5957" ht="12.75">
      <c r="B5957" s="84"/>
    </row>
    <row r="5958" ht="12.75">
      <c r="B5958" s="84"/>
    </row>
    <row r="5959" ht="12.75">
      <c r="B5959" s="84"/>
    </row>
    <row r="5960" ht="12.75">
      <c r="B5960" s="84"/>
    </row>
    <row r="5961" ht="12.75">
      <c r="B5961" s="84"/>
    </row>
    <row r="5962" ht="12.75">
      <c r="B5962" s="84"/>
    </row>
    <row r="5963" ht="12.75">
      <c r="B5963" s="84"/>
    </row>
    <row r="5964" ht="12.75">
      <c r="B5964" s="84"/>
    </row>
    <row r="5965" ht="12.75">
      <c r="B5965" s="84"/>
    </row>
    <row r="5966" ht="12.75">
      <c r="B5966" s="84"/>
    </row>
    <row r="5967" ht="12.75">
      <c r="B5967" s="84"/>
    </row>
    <row r="5968" ht="12.75">
      <c r="B5968" s="84"/>
    </row>
    <row r="5969" ht="12.75">
      <c r="B5969" s="84"/>
    </row>
    <row r="5970" ht="12.75">
      <c r="B5970" s="84"/>
    </row>
    <row r="5971" ht="12.75">
      <c r="B5971" s="84"/>
    </row>
    <row r="5972" ht="12.75">
      <c r="B5972" s="84"/>
    </row>
    <row r="5973" ht="12.75">
      <c r="B5973" s="84"/>
    </row>
    <row r="5974" ht="12.75">
      <c r="B5974" s="84"/>
    </row>
    <row r="5975" ht="12.75">
      <c r="B5975" s="84"/>
    </row>
    <row r="5976" ht="12.75">
      <c r="B5976" s="84"/>
    </row>
    <row r="5977" ht="12.75">
      <c r="B5977" s="84"/>
    </row>
    <row r="5978" ht="12.75">
      <c r="B5978" s="84"/>
    </row>
    <row r="5979" ht="12.75">
      <c r="B5979" s="84"/>
    </row>
    <row r="5980" ht="12.75">
      <c r="B5980" s="84"/>
    </row>
    <row r="5981" ht="12.75">
      <c r="B5981" s="84"/>
    </row>
    <row r="5982" ht="12.75">
      <c r="B5982" s="84"/>
    </row>
    <row r="5983" ht="12.75">
      <c r="B5983" s="84"/>
    </row>
    <row r="5984" ht="12.75">
      <c r="B5984" s="84"/>
    </row>
    <row r="5985" ht="12.75">
      <c r="B5985" s="84"/>
    </row>
    <row r="5986" ht="12.75">
      <c r="B5986" s="84"/>
    </row>
    <row r="5987" ht="12.75">
      <c r="B5987" s="84"/>
    </row>
    <row r="5988" ht="12.75">
      <c r="B5988" s="84"/>
    </row>
    <row r="5989" ht="12.75">
      <c r="B5989" s="84"/>
    </row>
    <row r="5990" ht="12.75">
      <c r="B5990" s="84"/>
    </row>
    <row r="5991" ht="12.75">
      <c r="B5991" s="84"/>
    </row>
    <row r="5992" ht="12.75">
      <c r="B5992" s="84"/>
    </row>
    <row r="5993" ht="12.75">
      <c r="B5993" s="84"/>
    </row>
    <row r="5994" ht="12.75">
      <c r="B5994" s="84"/>
    </row>
    <row r="5995" ht="12.75">
      <c r="B5995" s="84"/>
    </row>
    <row r="5996" ht="12.75">
      <c r="B5996" s="84"/>
    </row>
    <row r="5997" ht="12.75">
      <c r="B5997" s="84"/>
    </row>
    <row r="5998" ht="12.75">
      <c r="B5998" s="84"/>
    </row>
    <row r="5999" ht="12.75">
      <c r="B5999" s="84"/>
    </row>
    <row r="6000" ht="12.75">
      <c r="B6000" s="84"/>
    </row>
    <row r="6001" ht="12.75">
      <c r="B6001" s="84"/>
    </row>
    <row r="6002" ht="12.75">
      <c r="B6002" s="84"/>
    </row>
    <row r="6003" ht="12.75">
      <c r="B6003" s="84"/>
    </row>
    <row r="6004" ht="12.75">
      <c r="B6004" s="84"/>
    </row>
    <row r="6005" ht="12.75">
      <c r="B6005" s="84"/>
    </row>
    <row r="6006" ht="12.75">
      <c r="B6006" s="84"/>
    </row>
    <row r="6007" ht="12.75">
      <c r="B6007" s="84"/>
    </row>
    <row r="6008" ht="12.75">
      <c r="B6008" s="84"/>
    </row>
    <row r="6009" ht="12.75">
      <c r="B6009" s="84"/>
    </row>
    <row r="6010" ht="12.75">
      <c r="B6010" s="84"/>
    </row>
    <row r="6011" ht="12.75">
      <c r="B6011" s="84"/>
    </row>
    <row r="6012" ht="12.75">
      <c r="B6012" s="84"/>
    </row>
    <row r="6013" ht="12.75">
      <c r="B6013" s="84"/>
    </row>
    <row r="6014" ht="12.75">
      <c r="B6014" s="84"/>
    </row>
    <row r="6015" ht="12.75">
      <c r="B6015" s="84"/>
    </row>
    <row r="6016" ht="12.75">
      <c r="B6016" s="84"/>
    </row>
    <row r="6017" ht="12.75">
      <c r="B6017" s="84"/>
    </row>
    <row r="6018" ht="12.75">
      <c r="B6018" s="84"/>
    </row>
    <row r="6019" ht="12.75">
      <c r="B6019" s="84"/>
    </row>
    <row r="6020" ht="12.75">
      <c r="B6020" s="84"/>
    </row>
    <row r="6021" ht="12.75">
      <c r="B6021" s="84"/>
    </row>
    <row r="6022" ht="12.75">
      <c r="B6022" s="84"/>
    </row>
    <row r="6023" ht="12.75">
      <c r="B6023" s="84"/>
    </row>
    <row r="6024" ht="12.75">
      <c r="B6024" s="84"/>
    </row>
    <row r="6025" ht="12.75">
      <c r="B6025" s="84"/>
    </row>
    <row r="6026" ht="12.75">
      <c r="B6026" s="84"/>
    </row>
    <row r="6027" ht="12.75">
      <c r="B6027" s="84"/>
    </row>
    <row r="6028" ht="12.75">
      <c r="B6028" s="84"/>
    </row>
    <row r="6029" ht="12.75">
      <c r="B6029" s="84"/>
    </row>
    <row r="6030" ht="12.75">
      <c r="B6030" s="84"/>
    </row>
    <row r="6031" ht="12.75">
      <c r="B6031" s="84"/>
    </row>
    <row r="6032" ht="12.75">
      <c r="B6032" s="84"/>
    </row>
    <row r="6033" ht="12.75">
      <c r="B6033" s="84"/>
    </row>
    <row r="6034" ht="12.75">
      <c r="B6034" s="84"/>
    </row>
    <row r="6035" ht="12.75">
      <c r="B6035" s="84"/>
    </row>
    <row r="6036" ht="12.75">
      <c r="B6036" s="84"/>
    </row>
    <row r="6037" ht="12.75">
      <c r="B6037" s="84"/>
    </row>
    <row r="6038" ht="12.75">
      <c r="B6038" s="84"/>
    </row>
    <row r="6039" ht="12.75">
      <c r="B6039" s="84"/>
    </row>
    <row r="6040" ht="12.75">
      <c r="B6040" s="84"/>
    </row>
    <row r="6041" ht="12.75">
      <c r="B6041" s="84"/>
    </row>
    <row r="6042" ht="12.75">
      <c r="B6042" s="84"/>
    </row>
    <row r="6043" ht="12.75">
      <c r="B6043" s="84"/>
    </row>
    <row r="6044" ht="12.75">
      <c r="B6044" s="84"/>
    </row>
    <row r="6045" ht="12.75">
      <c r="B6045" s="84"/>
    </row>
    <row r="6046" ht="12.75">
      <c r="B6046" s="84"/>
    </row>
    <row r="6047" ht="12.75">
      <c r="B6047" s="84"/>
    </row>
    <row r="6048" ht="12.75">
      <c r="B6048" s="84"/>
    </row>
    <row r="6049" ht="12.75">
      <c r="B6049" s="84"/>
    </row>
    <row r="6050" ht="12.75">
      <c r="B6050" s="84"/>
    </row>
    <row r="6051" ht="12.75">
      <c r="B6051" s="84"/>
    </row>
    <row r="6052" ht="12.75">
      <c r="B6052" s="84"/>
    </row>
    <row r="6053" ht="12.75">
      <c r="B6053" s="84"/>
    </row>
    <row r="6054" ht="12.75">
      <c r="B6054" s="84"/>
    </row>
    <row r="6055" ht="12.75">
      <c r="B6055" s="84"/>
    </row>
    <row r="6056" ht="12.75">
      <c r="B6056" s="84"/>
    </row>
    <row r="6057" ht="12.75">
      <c r="B6057" s="84"/>
    </row>
    <row r="6058" ht="12.75">
      <c r="B6058" s="84"/>
    </row>
    <row r="6059" ht="12.75">
      <c r="B6059" s="84"/>
    </row>
    <row r="6060" ht="12.75">
      <c r="B6060" s="84"/>
    </row>
    <row r="6061" ht="12.75">
      <c r="B6061" s="84"/>
    </row>
    <row r="6062" ht="12.75">
      <c r="B6062" s="84"/>
    </row>
    <row r="6063" ht="12.75">
      <c r="B6063" s="84"/>
    </row>
    <row r="6064" ht="12.75">
      <c r="B6064" s="84"/>
    </row>
    <row r="6065" ht="12.75">
      <c r="B6065" s="84"/>
    </row>
    <row r="6066" ht="12.75">
      <c r="B6066" s="84"/>
    </row>
    <row r="6067" ht="12.75">
      <c r="B6067" s="84"/>
    </row>
    <row r="6068" ht="12.75">
      <c r="B6068" s="84"/>
    </row>
    <row r="6069" ht="12.75">
      <c r="B6069" s="84"/>
    </row>
    <row r="6070" ht="12.75">
      <c r="B6070" s="84"/>
    </row>
    <row r="6071" ht="12.75">
      <c r="B6071" s="84"/>
    </row>
    <row r="6072" ht="12.75">
      <c r="B6072" s="84"/>
    </row>
    <row r="6073" ht="12.75">
      <c r="B6073" s="84"/>
    </row>
    <row r="6074" ht="12.75">
      <c r="B6074" s="84"/>
    </row>
    <row r="6075" ht="12.75">
      <c r="B6075" s="84"/>
    </row>
    <row r="6076" ht="12.75">
      <c r="B6076" s="84"/>
    </row>
    <row r="6077" ht="12.75">
      <c r="B6077" s="84"/>
    </row>
    <row r="6078" ht="12.75">
      <c r="B6078" s="84"/>
    </row>
    <row r="6079" ht="12.75">
      <c r="B6079" s="84"/>
    </row>
    <row r="6080" ht="12.75">
      <c r="B6080" s="84"/>
    </row>
    <row r="6081" ht="12.75">
      <c r="B6081" s="84"/>
    </row>
    <row r="6082" ht="12.75">
      <c r="B6082" s="84"/>
    </row>
    <row r="6083" ht="12.75">
      <c r="B6083" s="84"/>
    </row>
    <row r="6084" ht="12.75">
      <c r="B6084" s="84"/>
    </row>
    <row r="6085" ht="12.75">
      <c r="B6085" s="84"/>
    </row>
    <row r="6086" ht="12.75">
      <c r="B6086" s="84"/>
    </row>
    <row r="6087" ht="12.75">
      <c r="B6087" s="84"/>
    </row>
    <row r="6088" ht="12.75">
      <c r="B6088" s="84"/>
    </row>
    <row r="6089" ht="12.75">
      <c r="B6089" s="84"/>
    </row>
    <row r="6090" ht="12.75">
      <c r="B6090" s="84"/>
    </row>
    <row r="6091" ht="12.75">
      <c r="B6091" s="84"/>
    </row>
    <row r="6092" ht="12.75">
      <c r="B6092" s="84"/>
    </row>
    <row r="6093" ht="12.75">
      <c r="B6093" s="84"/>
    </row>
    <row r="6094" ht="12.75">
      <c r="B6094" s="84"/>
    </row>
    <row r="6095" ht="12.75">
      <c r="B6095" s="84"/>
    </row>
    <row r="6096" ht="12.75">
      <c r="B6096" s="84"/>
    </row>
    <row r="6145" ht="12.75">
      <c r="B6145" s="84"/>
    </row>
    <row r="6146" ht="12.75">
      <c r="B6146" s="84"/>
    </row>
    <row r="6147" ht="12.75">
      <c r="B6147" s="84"/>
    </row>
    <row r="6148" ht="12.75">
      <c r="B6148" s="84"/>
    </row>
    <row r="6149" ht="12.75">
      <c r="B6149" s="84"/>
    </row>
    <row r="6150" ht="12.75">
      <c r="B6150" s="84"/>
    </row>
    <row r="6151" ht="12.75">
      <c r="B6151" s="84"/>
    </row>
    <row r="6152" ht="12.75">
      <c r="B6152" s="84"/>
    </row>
    <row r="6153" ht="12.75">
      <c r="B6153" s="84"/>
    </row>
    <row r="6154" ht="12.75">
      <c r="B6154" s="84"/>
    </row>
    <row r="6155" ht="12.75">
      <c r="B6155" s="84"/>
    </row>
    <row r="6156" ht="12.75">
      <c r="B6156" s="84"/>
    </row>
    <row r="6157" ht="12.75">
      <c r="B6157" s="84"/>
    </row>
    <row r="6158" ht="12.75">
      <c r="B6158" s="84"/>
    </row>
    <row r="6159" ht="12.75">
      <c r="B6159" s="84"/>
    </row>
    <row r="6160" ht="12.75">
      <c r="B6160" s="84"/>
    </row>
    <row r="6161" ht="12.75">
      <c r="B6161" s="84"/>
    </row>
    <row r="6162" ht="12.75">
      <c r="B6162" s="84"/>
    </row>
    <row r="6163" ht="12.75">
      <c r="B6163" s="84"/>
    </row>
    <row r="6164" ht="12.75">
      <c r="B6164" s="84"/>
    </row>
    <row r="6165" ht="12.75">
      <c r="B6165" s="84"/>
    </row>
    <row r="6166" ht="12.75">
      <c r="B6166" s="84"/>
    </row>
    <row r="6167" ht="12.75">
      <c r="B6167" s="84"/>
    </row>
    <row r="6168" ht="12.75">
      <c r="B6168" s="84"/>
    </row>
    <row r="6169" ht="12.75">
      <c r="B6169" s="84"/>
    </row>
    <row r="6170" ht="12.75">
      <c r="B6170" s="84"/>
    </row>
    <row r="6171" ht="12.75">
      <c r="B6171" s="84"/>
    </row>
    <row r="6172" ht="12.75">
      <c r="B6172" s="84"/>
    </row>
    <row r="6173" ht="12.75">
      <c r="B6173" s="84"/>
    </row>
    <row r="6174" ht="12.75">
      <c r="B6174" s="84"/>
    </row>
    <row r="6175" ht="12.75">
      <c r="B6175" s="84"/>
    </row>
    <row r="6176" ht="12.75">
      <c r="B6176" s="84"/>
    </row>
    <row r="6177" ht="12.75">
      <c r="B6177" s="84"/>
    </row>
    <row r="6178" ht="12.75">
      <c r="B6178" s="84"/>
    </row>
    <row r="6179" ht="12.75">
      <c r="B6179" s="84"/>
    </row>
    <row r="6180" ht="12.75">
      <c r="B6180" s="84"/>
    </row>
    <row r="6181" ht="12.75">
      <c r="B6181" s="84"/>
    </row>
    <row r="6182" ht="12.75">
      <c r="B6182" s="84"/>
    </row>
    <row r="6183" ht="12.75">
      <c r="B6183" s="84"/>
    </row>
    <row r="6184" ht="12.75">
      <c r="B6184" s="84"/>
    </row>
    <row r="6185" ht="12.75">
      <c r="B6185" s="84"/>
    </row>
    <row r="6186" ht="12.75">
      <c r="B6186" s="84"/>
    </row>
    <row r="6187" ht="12.75">
      <c r="B6187" s="84"/>
    </row>
    <row r="6188" ht="12.75">
      <c r="B6188" s="84"/>
    </row>
    <row r="6189" ht="12.75">
      <c r="B6189" s="84"/>
    </row>
    <row r="6190" ht="12.75">
      <c r="B6190" s="84"/>
    </row>
    <row r="6191" ht="12.75">
      <c r="B6191" s="84"/>
    </row>
    <row r="6192" ht="12.75">
      <c r="B6192" s="84"/>
    </row>
    <row r="6193" ht="12.75">
      <c r="B6193" s="84"/>
    </row>
    <row r="6194" ht="12.75">
      <c r="B6194" s="84"/>
    </row>
    <row r="6195" ht="12.75">
      <c r="B6195" s="84"/>
    </row>
    <row r="6196" ht="12.75">
      <c r="B6196" s="84"/>
    </row>
    <row r="6197" ht="12.75">
      <c r="B6197" s="84"/>
    </row>
    <row r="6198" ht="12.75">
      <c r="B6198" s="84"/>
    </row>
    <row r="6199" ht="12.75">
      <c r="B6199" s="84"/>
    </row>
    <row r="6200" ht="12.75">
      <c r="B6200" s="84"/>
    </row>
    <row r="6201" ht="12.75">
      <c r="B6201" s="84"/>
    </row>
    <row r="6202" ht="12.75">
      <c r="B6202" s="84"/>
    </row>
    <row r="6203" ht="12.75">
      <c r="B6203" s="84"/>
    </row>
    <row r="6204" ht="12.75">
      <c r="B6204" s="84"/>
    </row>
    <row r="6205" ht="12.75">
      <c r="B6205" s="84"/>
    </row>
    <row r="6206" ht="12.75">
      <c r="B6206" s="84"/>
    </row>
    <row r="6207" ht="12.75">
      <c r="B6207" s="84"/>
    </row>
    <row r="6208" ht="12.75">
      <c r="B6208" s="84"/>
    </row>
    <row r="6209" ht="12.75">
      <c r="B6209" s="84"/>
    </row>
    <row r="6210" ht="12.75">
      <c r="B6210" s="84"/>
    </row>
    <row r="6211" ht="12.75">
      <c r="B6211" s="84"/>
    </row>
    <row r="6212" ht="12.75">
      <c r="B6212" s="84"/>
    </row>
    <row r="6213" ht="12.75">
      <c r="B6213" s="84"/>
    </row>
    <row r="6214" ht="12.75">
      <c r="B6214" s="84"/>
    </row>
    <row r="6215" ht="12.75">
      <c r="B6215" s="84"/>
    </row>
    <row r="6216" ht="12.75">
      <c r="B6216" s="84"/>
    </row>
    <row r="6217" ht="12.75">
      <c r="B6217" s="84"/>
    </row>
    <row r="6218" ht="12.75">
      <c r="B6218" s="84"/>
    </row>
    <row r="6219" ht="12.75">
      <c r="B6219" s="84"/>
    </row>
    <row r="6220" ht="12.75">
      <c r="B6220" s="84"/>
    </row>
    <row r="6221" ht="12.75">
      <c r="B6221" s="84"/>
    </row>
    <row r="6222" ht="12.75">
      <c r="B6222" s="84"/>
    </row>
    <row r="6223" ht="12.75">
      <c r="B6223" s="84"/>
    </row>
    <row r="6224" ht="12.75">
      <c r="B6224" s="84"/>
    </row>
    <row r="6225" ht="12.75">
      <c r="B6225" s="84"/>
    </row>
    <row r="6226" ht="12.75">
      <c r="B6226" s="84"/>
    </row>
    <row r="6227" ht="12.75">
      <c r="B6227" s="84"/>
    </row>
    <row r="6228" ht="12.75">
      <c r="B6228" s="84"/>
    </row>
    <row r="6229" ht="12.75">
      <c r="B6229" s="84"/>
    </row>
    <row r="6230" ht="12.75">
      <c r="B6230" s="84"/>
    </row>
    <row r="6231" ht="12.75">
      <c r="B6231" s="84"/>
    </row>
    <row r="6232" ht="12.75">
      <c r="B6232" s="84"/>
    </row>
    <row r="6233" ht="12.75">
      <c r="B6233" s="84"/>
    </row>
    <row r="6234" ht="12.75">
      <c r="B6234" s="84"/>
    </row>
    <row r="6235" ht="12.75">
      <c r="B6235" s="84"/>
    </row>
    <row r="6236" ht="12.75">
      <c r="B6236" s="84"/>
    </row>
    <row r="6237" ht="12.75">
      <c r="B6237" s="84"/>
    </row>
    <row r="6238" ht="12.75">
      <c r="B6238" s="84"/>
    </row>
    <row r="6239" ht="12.75">
      <c r="B6239" s="84"/>
    </row>
    <row r="6240" ht="12.75">
      <c r="B6240" s="84"/>
    </row>
    <row r="6241" ht="12.75">
      <c r="B6241" s="84"/>
    </row>
    <row r="6242" ht="12.75">
      <c r="B6242" s="84"/>
    </row>
    <row r="6243" ht="12.75">
      <c r="B6243" s="84"/>
    </row>
    <row r="6244" ht="12.75">
      <c r="B6244" s="84"/>
    </row>
    <row r="6245" ht="12.75">
      <c r="B6245" s="84"/>
    </row>
    <row r="6246" ht="12.75">
      <c r="B6246" s="84"/>
    </row>
    <row r="6247" ht="12.75">
      <c r="B6247" s="84"/>
    </row>
    <row r="6248" ht="12.75">
      <c r="B6248" s="84"/>
    </row>
    <row r="6249" ht="12.75">
      <c r="B6249" s="84"/>
    </row>
    <row r="6250" ht="12.75">
      <c r="B6250" s="84"/>
    </row>
    <row r="6251" ht="12.75">
      <c r="B6251" s="84"/>
    </row>
    <row r="6252" ht="12.75">
      <c r="B6252" s="84"/>
    </row>
    <row r="6253" ht="12.75">
      <c r="B6253" s="84"/>
    </row>
    <row r="6254" ht="12.75">
      <c r="B6254" s="84"/>
    </row>
    <row r="6255" ht="12.75">
      <c r="B6255" s="84"/>
    </row>
    <row r="6256" ht="12.75">
      <c r="B6256" s="84"/>
    </row>
    <row r="6257" ht="12.75">
      <c r="B6257" s="84"/>
    </row>
    <row r="6258" ht="12.75">
      <c r="B6258" s="84"/>
    </row>
    <row r="6259" ht="12.75">
      <c r="B6259" s="84"/>
    </row>
    <row r="6260" ht="12.75">
      <c r="B6260" s="84"/>
    </row>
    <row r="6261" ht="12.75">
      <c r="B6261" s="84"/>
    </row>
    <row r="6262" ht="12.75">
      <c r="B6262" s="84"/>
    </row>
    <row r="6263" ht="12.75">
      <c r="B6263" s="84"/>
    </row>
    <row r="6264" ht="12.75">
      <c r="B6264" s="84"/>
    </row>
    <row r="6265" ht="12.75">
      <c r="B6265" s="84"/>
    </row>
    <row r="6266" ht="12.75">
      <c r="B6266" s="84"/>
    </row>
    <row r="6267" ht="12.75">
      <c r="B6267" s="84"/>
    </row>
    <row r="6268" ht="12.75">
      <c r="B6268" s="84"/>
    </row>
    <row r="6269" ht="12.75">
      <c r="B6269" s="84"/>
    </row>
    <row r="6270" ht="12.75">
      <c r="B6270" s="84"/>
    </row>
    <row r="6271" ht="12.75">
      <c r="B6271" s="84"/>
    </row>
    <row r="6272" ht="12.75">
      <c r="B6272" s="84"/>
    </row>
    <row r="6273" ht="12.75">
      <c r="B6273" s="84"/>
    </row>
    <row r="6274" ht="12.75">
      <c r="B6274" s="84"/>
    </row>
    <row r="6275" ht="12.75">
      <c r="B6275" s="84"/>
    </row>
    <row r="6276" ht="12.75">
      <c r="B6276" s="84"/>
    </row>
    <row r="6277" ht="12.75">
      <c r="B6277" s="84"/>
    </row>
    <row r="6278" ht="12.75">
      <c r="B6278" s="84"/>
    </row>
    <row r="6279" ht="12.75">
      <c r="B6279" s="84"/>
    </row>
    <row r="6280" ht="12.75">
      <c r="B6280" s="84"/>
    </row>
    <row r="6281" ht="12.75">
      <c r="B6281" s="84"/>
    </row>
    <row r="6282" ht="12.75">
      <c r="B6282" s="84"/>
    </row>
    <row r="6283" ht="12.75">
      <c r="B6283" s="84"/>
    </row>
    <row r="6284" ht="12.75">
      <c r="B6284" s="84"/>
    </row>
    <row r="6285" ht="12.75">
      <c r="B6285" s="84"/>
    </row>
    <row r="6286" ht="12.75">
      <c r="B6286" s="84"/>
    </row>
    <row r="6287" ht="12.75">
      <c r="B6287" s="84"/>
    </row>
    <row r="6288" ht="12.75">
      <c r="B6288" s="84"/>
    </row>
    <row r="6289" ht="12.75">
      <c r="B6289" s="84"/>
    </row>
    <row r="6290" ht="12.75">
      <c r="B6290" s="84"/>
    </row>
    <row r="6291" ht="12.75">
      <c r="B6291" s="84"/>
    </row>
    <row r="6292" ht="12.75">
      <c r="B6292" s="84"/>
    </row>
    <row r="6293" ht="12.75">
      <c r="B6293" s="84"/>
    </row>
    <row r="6294" ht="12.75">
      <c r="B6294" s="84"/>
    </row>
    <row r="6295" ht="12.75">
      <c r="B6295" s="84"/>
    </row>
    <row r="6296" ht="12.75">
      <c r="B6296" s="84"/>
    </row>
    <row r="6297" ht="12.75">
      <c r="B6297" s="84"/>
    </row>
    <row r="6298" ht="12.75">
      <c r="B6298" s="84"/>
    </row>
    <row r="6299" ht="12.75">
      <c r="B6299" s="84"/>
    </row>
    <row r="6300" ht="12.75">
      <c r="B6300" s="84"/>
    </row>
    <row r="6301" ht="12.75">
      <c r="B6301" s="84"/>
    </row>
    <row r="6302" ht="12.75">
      <c r="B6302" s="84"/>
    </row>
    <row r="6303" ht="12.75">
      <c r="B6303" s="84"/>
    </row>
    <row r="6304" ht="12.75">
      <c r="B6304" s="84"/>
    </row>
    <row r="6305" ht="12.75">
      <c r="B6305" s="84"/>
    </row>
    <row r="6306" ht="12.75">
      <c r="B6306" s="84"/>
    </row>
    <row r="6307" ht="12.75">
      <c r="B6307" s="84"/>
    </row>
    <row r="6308" ht="12.75">
      <c r="B6308" s="84"/>
    </row>
    <row r="6309" ht="12.75">
      <c r="B6309" s="84"/>
    </row>
    <row r="6310" ht="12.75">
      <c r="B6310" s="84"/>
    </row>
    <row r="6311" ht="12.75">
      <c r="B6311" s="84"/>
    </row>
    <row r="6312" ht="12.75">
      <c r="B6312" s="84"/>
    </row>
    <row r="6313" ht="12.75">
      <c r="B6313" s="84"/>
    </row>
    <row r="6314" ht="12.75">
      <c r="B6314" s="84"/>
    </row>
    <row r="6315" ht="12.75">
      <c r="B6315" s="84"/>
    </row>
    <row r="6316" ht="12.75">
      <c r="B6316" s="84"/>
    </row>
    <row r="6317" ht="12.75">
      <c r="B6317" s="84"/>
    </row>
    <row r="6318" ht="12.75">
      <c r="B6318" s="84"/>
    </row>
    <row r="6319" ht="12.75">
      <c r="B6319" s="84"/>
    </row>
    <row r="6320" ht="12.75">
      <c r="B6320" s="84"/>
    </row>
    <row r="6321" ht="12.75">
      <c r="B6321" s="84"/>
    </row>
    <row r="6322" ht="12.75">
      <c r="B6322" s="84"/>
    </row>
    <row r="6323" ht="12.75">
      <c r="B6323" s="84"/>
    </row>
    <row r="6324" ht="12.75">
      <c r="B6324" s="84"/>
    </row>
    <row r="6325" ht="12.75">
      <c r="B6325" s="84"/>
    </row>
    <row r="6326" ht="12.75">
      <c r="B6326" s="84"/>
    </row>
    <row r="6327" ht="12.75">
      <c r="B6327" s="84"/>
    </row>
    <row r="6328" ht="12.75">
      <c r="B6328" s="84"/>
    </row>
    <row r="6329" ht="12.75">
      <c r="B6329" s="84"/>
    </row>
    <row r="6330" ht="12.75">
      <c r="B6330" s="84"/>
    </row>
    <row r="6331" ht="12.75">
      <c r="B6331" s="84"/>
    </row>
    <row r="6332" ht="12.75">
      <c r="B6332" s="84"/>
    </row>
    <row r="6333" ht="12.75">
      <c r="B6333" s="84"/>
    </row>
    <row r="6334" ht="12.75">
      <c r="B6334" s="84"/>
    </row>
    <row r="6335" ht="12.75">
      <c r="B6335" s="84"/>
    </row>
    <row r="6336" ht="12.75">
      <c r="B6336" s="84"/>
    </row>
    <row r="6337" ht="12.75">
      <c r="B6337" s="84"/>
    </row>
    <row r="6338" ht="12.75">
      <c r="B6338" s="84"/>
    </row>
    <row r="6339" ht="12.75">
      <c r="B6339" s="84"/>
    </row>
    <row r="6340" ht="12.75">
      <c r="B6340" s="84"/>
    </row>
    <row r="6341" ht="12.75">
      <c r="B6341" s="84"/>
    </row>
    <row r="6342" ht="12.75">
      <c r="B6342" s="84"/>
    </row>
    <row r="6343" ht="12.75">
      <c r="B6343" s="84"/>
    </row>
    <row r="6344" ht="12.75">
      <c r="B6344" s="84"/>
    </row>
    <row r="6345" ht="12.75">
      <c r="B6345" s="84"/>
    </row>
    <row r="6346" ht="12.75">
      <c r="B6346" s="84"/>
    </row>
    <row r="6347" ht="12.75">
      <c r="B6347" s="84"/>
    </row>
    <row r="6348" ht="12.75">
      <c r="B6348" s="84"/>
    </row>
    <row r="6349" ht="12.75">
      <c r="B6349" s="84"/>
    </row>
    <row r="6350" ht="12.75">
      <c r="B6350" s="84"/>
    </row>
    <row r="6351" ht="12.75">
      <c r="B6351" s="84"/>
    </row>
    <row r="6352" ht="12.75">
      <c r="B6352" s="84"/>
    </row>
    <row r="6353" ht="12.75">
      <c r="B6353" s="84"/>
    </row>
    <row r="6354" ht="12.75">
      <c r="B6354" s="84"/>
    </row>
    <row r="6355" ht="12.75">
      <c r="B6355" s="84"/>
    </row>
    <row r="6356" ht="12.75">
      <c r="B6356" s="84"/>
    </row>
    <row r="6357" ht="12.75">
      <c r="B6357" s="84"/>
    </row>
    <row r="6358" ht="12.75">
      <c r="B6358" s="84"/>
    </row>
    <row r="6359" ht="12.75">
      <c r="B6359" s="84"/>
    </row>
    <row r="6360" ht="12.75">
      <c r="B6360" s="84"/>
    </row>
    <row r="6361" ht="12.75">
      <c r="B6361" s="84"/>
    </row>
    <row r="6362" ht="12.75">
      <c r="B6362" s="84"/>
    </row>
    <row r="6363" ht="12.75">
      <c r="B6363" s="84"/>
    </row>
    <row r="6364" ht="12.75">
      <c r="B6364" s="84"/>
    </row>
    <row r="6365" ht="12.75">
      <c r="B6365" s="84"/>
    </row>
    <row r="6366" ht="12.75">
      <c r="B6366" s="84"/>
    </row>
    <row r="6367" ht="12.75">
      <c r="B6367" s="84"/>
    </row>
    <row r="6368" ht="12.75">
      <c r="B6368" s="84"/>
    </row>
    <row r="6369" ht="12.75">
      <c r="B6369" s="84"/>
    </row>
    <row r="6370" ht="12.75">
      <c r="B6370" s="84"/>
    </row>
    <row r="6371" ht="12.75">
      <c r="B6371" s="84"/>
    </row>
    <row r="6372" ht="12.75">
      <c r="B6372" s="84"/>
    </row>
    <row r="6373" ht="12.75">
      <c r="B6373" s="84"/>
    </row>
    <row r="6374" ht="12.75">
      <c r="B6374" s="84"/>
    </row>
    <row r="6375" ht="12.75">
      <c r="B6375" s="84"/>
    </row>
    <row r="6376" ht="12.75">
      <c r="B6376" s="84"/>
    </row>
    <row r="6377" ht="12.75">
      <c r="B6377" s="84"/>
    </row>
    <row r="6378" ht="12.75">
      <c r="B6378" s="84"/>
    </row>
    <row r="6379" ht="12.75">
      <c r="B6379" s="84"/>
    </row>
    <row r="6380" ht="12.75">
      <c r="B6380" s="84"/>
    </row>
    <row r="6381" ht="12.75">
      <c r="B6381" s="84"/>
    </row>
    <row r="6382" ht="12.75">
      <c r="B6382" s="84"/>
    </row>
    <row r="6383" ht="12.75">
      <c r="B6383" s="84"/>
    </row>
    <row r="6384" ht="12.75">
      <c r="B6384" s="84"/>
    </row>
    <row r="6385" ht="12.75">
      <c r="B6385" s="84"/>
    </row>
    <row r="6386" ht="12.75">
      <c r="B6386" s="84"/>
    </row>
    <row r="6387" ht="12.75">
      <c r="B6387" s="84"/>
    </row>
    <row r="6388" ht="12.75">
      <c r="B6388" s="84"/>
    </row>
    <row r="6389" ht="12.75">
      <c r="B6389" s="84"/>
    </row>
    <row r="6390" ht="12.75">
      <c r="B6390" s="84"/>
    </row>
    <row r="6391" ht="12.75">
      <c r="B6391" s="84"/>
    </row>
    <row r="6392" ht="12.75">
      <c r="B6392" s="84"/>
    </row>
    <row r="6393" ht="12.75">
      <c r="B6393" s="84"/>
    </row>
    <row r="6394" ht="12.75">
      <c r="B6394" s="84"/>
    </row>
    <row r="6395" ht="12.75">
      <c r="B6395" s="84"/>
    </row>
    <row r="6396" ht="12.75">
      <c r="B6396" s="84"/>
    </row>
    <row r="6397" ht="12.75">
      <c r="B6397" s="84"/>
    </row>
    <row r="6398" ht="12.75">
      <c r="B6398" s="84"/>
    </row>
    <row r="6399" ht="12.75">
      <c r="B6399" s="84"/>
    </row>
    <row r="6400" ht="12.75">
      <c r="B6400" s="84"/>
    </row>
    <row r="6401" ht="12.75">
      <c r="B6401" s="84"/>
    </row>
    <row r="6402" ht="12.75">
      <c r="B6402" s="84"/>
    </row>
    <row r="6403" ht="12.75">
      <c r="B6403" s="84"/>
    </row>
    <row r="6404" ht="12.75">
      <c r="B6404" s="84"/>
    </row>
    <row r="6405" ht="12.75">
      <c r="B6405" s="84"/>
    </row>
    <row r="6406" ht="12.75">
      <c r="B6406" s="84"/>
    </row>
    <row r="6407" ht="12.75">
      <c r="B6407" s="84"/>
    </row>
    <row r="6408" ht="12.75">
      <c r="B6408" s="84"/>
    </row>
    <row r="6409" ht="12.75">
      <c r="B6409" s="84"/>
    </row>
    <row r="6410" ht="12.75">
      <c r="B6410" s="84"/>
    </row>
    <row r="6411" ht="12.75">
      <c r="B6411" s="84"/>
    </row>
    <row r="6412" ht="12.75">
      <c r="B6412" s="84"/>
    </row>
    <row r="6413" ht="12.75">
      <c r="B6413" s="84"/>
    </row>
    <row r="6414" ht="12.75">
      <c r="B6414" s="84"/>
    </row>
    <row r="6415" ht="12.75">
      <c r="B6415" s="84"/>
    </row>
    <row r="6416" ht="12.75">
      <c r="B6416" s="84"/>
    </row>
    <row r="6417" ht="12.75">
      <c r="B6417" s="84"/>
    </row>
    <row r="6418" ht="12.75">
      <c r="B6418" s="84"/>
    </row>
    <row r="6419" ht="12.75">
      <c r="B6419" s="84"/>
    </row>
    <row r="6420" ht="12.75">
      <c r="B6420" s="84"/>
    </row>
    <row r="6421" ht="12.75">
      <c r="B6421" s="84"/>
    </row>
    <row r="6422" ht="12.75">
      <c r="B6422" s="84"/>
    </row>
    <row r="6423" ht="12.75">
      <c r="B6423" s="84"/>
    </row>
    <row r="6424" ht="12.75">
      <c r="B6424" s="84"/>
    </row>
    <row r="6425" ht="12.75">
      <c r="B6425" s="84"/>
    </row>
    <row r="6426" ht="12.75">
      <c r="B6426" s="84"/>
    </row>
    <row r="6427" ht="12.75">
      <c r="B6427" s="84"/>
    </row>
    <row r="6428" ht="12.75">
      <c r="B6428" s="84"/>
    </row>
    <row r="6429" ht="12.75">
      <c r="B6429" s="84"/>
    </row>
    <row r="6430" ht="12.75">
      <c r="B6430" s="84"/>
    </row>
    <row r="6431" ht="12.75">
      <c r="B6431" s="84"/>
    </row>
    <row r="6432" ht="12.75">
      <c r="B6432" s="84"/>
    </row>
    <row r="6433" ht="12.75">
      <c r="B6433" s="84"/>
    </row>
    <row r="6434" ht="12.75">
      <c r="B6434" s="84"/>
    </row>
    <row r="6435" ht="12.75">
      <c r="B6435" s="84"/>
    </row>
    <row r="6436" ht="12.75">
      <c r="B6436" s="84"/>
    </row>
    <row r="6437" ht="12.75">
      <c r="B6437" s="84"/>
    </row>
    <row r="6438" ht="12.75">
      <c r="B6438" s="84"/>
    </row>
    <row r="6439" ht="12.75">
      <c r="B6439" s="84"/>
    </row>
    <row r="6440" ht="12.75">
      <c r="B6440" s="84"/>
    </row>
    <row r="6441" ht="12.75">
      <c r="B6441" s="84"/>
    </row>
    <row r="6442" ht="12.75">
      <c r="B6442" s="84"/>
    </row>
    <row r="6443" ht="12.75">
      <c r="B6443" s="84"/>
    </row>
    <row r="6444" ht="12.75">
      <c r="B6444" s="84"/>
    </row>
    <row r="6445" ht="12.75">
      <c r="B6445" s="84"/>
    </row>
    <row r="6446" ht="12.75">
      <c r="B6446" s="84"/>
    </row>
    <row r="6447" ht="12.75">
      <c r="B6447" s="84"/>
    </row>
    <row r="6448" ht="12.75">
      <c r="B6448" s="84"/>
    </row>
    <row r="6449" ht="12.75">
      <c r="B6449" s="84"/>
    </row>
    <row r="6450" ht="12.75">
      <c r="B6450" s="84"/>
    </row>
    <row r="6451" ht="12.75">
      <c r="B6451" s="84"/>
    </row>
    <row r="6452" ht="12.75">
      <c r="B6452" s="84"/>
    </row>
    <row r="6453" ht="12.75">
      <c r="B6453" s="84"/>
    </row>
    <row r="6454" ht="12.75">
      <c r="B6454" s="84"/>
    </row>
    <row r="6455" ht="12.75">
      <c r="B6455" s="84"/>
    </row>
    <row r="6456" ht="12.75">
      <c r="B6456" s="84"/>
    </row>
    <row r="6457" ht="12.75">
      <c r="B6457" s="84"/>
    </row>
    <row r="6458" ht="12.75">
      <c r="B6458" s="84"/>
    </row>
    <row r="6459" ht="12.75">
      <c r="B6459" s="84"/>
    </row>
    <row r="6460" ht="12.75">
      <c r="B6460" s="84"/>
    </row>
    <row r="6461" ht="12.75">
      <c r="B6461" s="84"/>
    </row>
    <row r="6462" ht="12.75">
      <c r="B6462" s="84"/>
    </row>
    <row r="6463" ht="12.75">
      <c r="B6463" s="84"/>
    </row>
    <row r="6464" ht="12.75">
      <c r="B6464" s="84"/>
    </row>
    <row r="6465" ht="12.75">
      <c r="B6465" s="84"/>
    </row>
    <row r="6466" ht="12.75">
      <c r="B6466" s="84"/>
    </row>
    <row r="6467" ht="12.75">
      <c r="B6467" s="84"/>
    </row>
    <row r="6468" ht="12.75">
      <c r="B6468" s="84"/>
    </row>
    <row r="6469" ht="12.75">
      <c r="B6469" s="84"/>
    </row>
    <row r="6470" ht="12.75">
      <c r="B6470" s="84"/>
    </row>
    <row r="6471" ht="12.75">
      <c r="B6471" s="84"/>
    </row>
    <row r="6472" ht="12.75">
      <c r="B6472" s="84"/>
    </row>
    <row r="6473" ht="12.75">
      <c r="B6473" s="84"/>
    </row>
    <row r="6474" ht="12.75">
      <c r="B6474" s="84"/>
    </row>
    <row r="6475" ht="12.75">
      <c r="B6475" s="84"/>
    </row>
    <row r="6476" ht="12.75">
      <c r="B6476" s="84"/>
    </row>
    <row r="6477" ht="12.75">
      <c r="B6477" s="84"/>
    </row>
    <row r="6478" ht="12.75">
      <c r="B6478" s="84"/>
    </row>
    <row r="6479" ht="12.75">
      <c r="B6479" s="84"/>
    </row>
    <row r="6480" ht="12.75">
      <c r="B6480" s="8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Woehleke</dc:creator>
  <cp:keywords/>
  <dc:description/>
  <cp:lastModifiedBy>Donna Jose</cp:lastModifiedBy>
  <dcterms:created xsi:type="dcterms:W3CDTF">2009-02-12T23:40:36Z</dcterms:created>
  <dcterms:modified xsi:type="dcterms:W3CDTF">2011-10-07T18:10:31Z</dcterms:modified>
  <cp:category/>
  <cp:version/>
  <cp:contentType/>
  <cp:contentStatus/>
</cp:coreProperties>
</file>