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120" windowHeight="13035" activeTab="0"/>
  </bookViews>
  <sheets>
    <sheet name="INPUTS-OUTPUTS" sheetId="1" r:id="rId1"/>
    <sheet name="LOOKUP" sheetId="2" r:id="rId2"/>
    <sheet name="DATA" sheetId="3" r:id="rId3"/>
  </sheets>
  <definedNames>
    <definedName name="Accounts">'INPUTS-OUTPUTS'!$B$10</definedName>
    <definedName name="CRITERIA">'LOOKUP'!$G$74:$H$75</definedName>
    <definedName name="criteria1">'LOOKUP'!$G$2:$I$3</definedName>
    <definedName name="criteria10">'LOOKUP'!$G$29:$I$30</definedName>
    <definedName name="criteria11">'LOOKUP'!$G$32:$I$33</definedName>
    <definedName name="criteria12">'LOOKUP'!$G$35:$I$36</definedName>
    <definedName name="criteria13">'LOOKUP'!$G$38:$I$39</definedName>
    <definedName name="criteria14">'LOOKUP'!$G$41:$I$42</definedName>
    <definedName name="criteria15">'LOOKUP'!$G$44:$I$45</definedName>
    <definedName name="criteria16">'LOOKUP'!$G$47:$I$48</definedName>
    <definedName name="criteria17">'LOOKUP'!$G$50:$I$51</definedName>
    <definedName name="criteria18">'LOOKUP'!$G$53:$I$54</definedName>
    <definedName name="criteria19">'LOOKUP'!$G$56:$I$57</definedName>
    <definedName name="criteria2">'LOOKUP'!$G$5:$I$6</definedName>
    <definedName name="criteria20">'LOOKUP'!$G$59:$I$60</definedName>
    <definedName name="criteria21">'LOOKUP'!$G$62:$I$63</definedName>
    <definedName name="criteria22">'LOOKUP'!$G$65:$I$66</definedName>
    <definedName name="criteria23">'LOOKUP'!$G$68:$I$69</definedName>
    <definedName name="criteria24">'LOOKUP'!$G$71:$I$72</definedName>
    <definedName name="criteria3">'LOOKUP'!$G$8:$I$9</definedName>
    <definedName name="criteria4">'LOOKUP'!$G$11:$I$12</definedName>
    <definedName name="criteria5">'LOOKUP'!$G$14:$I$15</definedName>
    <definedName name="criteria6">'LOOKUP'!$G$17:$I$18</definedName>
    <definedName name="criteria7">'LOOKUP'!$G$20:$I$21</definedName>
    <definedName name="criteria8">'LOOKUP'!$G$23:$I$24</definedName>
    <definedName name="criteria9">'LOOKUP'!$G$26:$I$27</definedName>
    <definedName name="CustChar">'INPUTS-OUTPUTS'!$B$8</definedName>
    <definedName name="CustCharList">'LOOKUP'!$C$2:$C$12</definedName>
    <definedName name="DATA">'DATA'!$A:$N</definedName>
    <definedName name="Event">'INPUTS-OUTPUTS'!$B$7</definedName>
    <definedName name="EventList">'LOOKUP'!$A$2:$A$3</definedName>
    <definedName name="FSL">'INPUTS-OUTPUTS'!$B$11</definedName>
    <definedName name="NoteList">'LOOKUP'!#REF!</definedName>
    <definedName name="TypeofResult">'INPUTS-OUTPUTS'!$B$6</definedName>
    <definedName name="TypeofResultList">'LOOKUP'!$E$2:$E$3</definedName>
  </definedNames>
  <calcPr fullCalcOnLoad="1"/>
</workbook>
</file>

<file path=xl/sharedStrings.xml><?xml version="1.0" encoding="utf-8"?>
<sst xmlns="http://schemas.openxmlformats.org/spreadsheetml/2006/main" count="399" uniqueCount="50">
  <si>
    <t>FSL</t>
  </si>
  <si>
    <t>Type of Result List</t>
  </si>
  <si>
    <t>Aggregate</t>
  </si>
  <si>
    <t>PCTILE10</t>
  </si>
  <si>
    <t>PCTILE30</t>
  </si>
  <si>
    <t>PCTILE50</t>
  </si>
  <si>
    <t>PCTILE70</t>
  </si>
  <si>
    <t>PCTILE90</t>
  </si>
  <si>
    <t>count</t>
  </si>
  <si>
    <t>Hour</t>
  </si>
  <si>
    <t>Reference Load</t>
  </si>
  <si>
    <t>Observed Load</t>
  </si>
  <si>
    <t>Temperature</t>
  </si>
  <si>
    <t>Standard Error</t>
  </si>
  <si>
    <t>TABLE 1: Menu options</t>
  </si>
  <si>
    <t>Hour Ending</t>
  </si>
  <si>
    <t>Weighted Temp (F)</t>
  </si>
  <si>
    <t>Uncertainty Adjusted Impact - Percentiles</t>
  </si>
  <si>
    <t>Type of Results</t>
  </si>
  <si>
    <t>10th</t>
  </si>
  <si>
    <t>30th</t>
  </si>
  <si>
    <t>50th</t>
  </si>
  <si>
    <t>70th</t>
  </si>
  <si>
    <t>90th</t>
  </si>
  <si>
    <t xml:space="preserve"> </t>
  </si>
  <si>
    <t>Daily</t>
  </si>
  <si>
    <t>Average Enrolled Account</t>
  </si>
  <si>
    <t>Agriculture, Mining &amp; Construction</t>
  </si>
  <si>
    <t>Manufacturing</t>
  </si>
  <si>
    <t>TABLE 2: Output</t>
  </si>
  <si>
    <t>Customer Characteristic</t>
  </si>
  <si>
    <t>Customer Characteristic List</t>
  </si>
  <si>
    <t>All Customers</t>
  </si>
  <si>
    <t>Event</t>
  </si>
  <si>
    <t>Event List</t>
  </si>
  <si>
    <t>Number of Accounts</t>
  </si>
  <si>
    <t>Cooling Degree          Hours             (Base 70)</t>
  </si>
  <si>
    <t>CDH 70</t>
  </si>
  <si>
    <t>Wholesale, Transport &amp; Other Utilities</t>
  </si>
  <si>
    <t>Retail Stores</t>
  </si>
  <si>
    <t>Offices, Hotels, Finance &amp; Services</t>
  </si>
  <si>
    <t>Institutional/Government</t>
  </si>
  <si>
    <t>Std Err</t>
  </si>
  <si>
    <t>Variance</t>
  </si>
  <si>
    <t>2011 BIP Ex-Post Load Impact Tables</t>
  </si>
  <si>
    <t>Schools</t>
  </si>
  <si>
    <t>Southern California Edison</t>
  </si>
  <si>
    <t>LCA - LA Basin</t>
  </si>
  <si>
    <t>LCA - Outside</t>
  </si>
  <si>
    <t>LCA - Ventura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</si>
</sst>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mmmm\ d\,\ yyyy;@"/>
    <numFmt numFmtId="167" formatCode="[$-409]h:mm:ss\ AM/PM"/>
    <numFmt numFmtId="168" formatCode="h:mm;@"/>
    <numFmt numFmtId="169" formatCode="[$-F800]dddd\,\ mmmm\ dd\,\ yyyy"/>
    <numFmt numFmtId="170" formatCode="0.0%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mmm\-yy;@"/>
    <numFmt numFmtId="177" formatCode="#,##0.0"/>
    <numFmt numFmtId="178" formatCode="#,##0.0_);[Red]\(#,##0.0\)"/>
    <numFmt numFmtId="179" formatCode="#,##0.000"/>
    <numFmt numFmtId="180" formatCode="m/d/yy;@"/>
    <numFmt numFmtId="181" formatCode="0.00000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_(* #,##0.0_);_(* \(#,##0.0\);_(* &quot;-&quot;??_);_(@_)"/>
    <numFmt numFmtId="188" formatCode="_(* #,##0_);_(* \(#,##0\);_(* &quot;-&quot;??_);_(@_)"/>
    <numFmt numFmtId="189" formatCode="_(* #,##0.000_);_(* \(#,##0.000\);_(* &quot;-&quot;??_);_(@_)"/>
    <numFmt numFmtId="190" formatCode="#,##0.0_);\(#,##0.0\)"/>
    <numFmt numFmtId="191" formatCode="mmm\-yyyy"/>
  </numFmts>
  <fonts count="55">
    <font>
      <sz val="10"/>
      <name val="Arial"/>
      <family val="0"/>
    </font>
    <font>
      <sz val="10"/>
      <color indexed="9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22"/>
      <name val="Arial"/>
      <family val="2"/>
    </font>
    <font>
      <sz val="12"/>
      <name val="Arial"/>
      <family val="2"/>
    </font>
    <font>
      <sz val="10"/>
      <color indexed="56"/>
      <name val="Arial"/>
      <family val="2"/>
    </font>
    <font>
      <sz val="11"/>
      <color indexed="9"/>
      <name val="Arial"/>
      <family val="2"/>
    </font>
    <font>
      <sz val="12"/>
      <color indexed="9"/>
      <name val="Arial"/>
      <family val="2"/>
    </font>
    <font>
      <b/>
      <sz val="11"/>
      <color indexed="9"/>
      <name val="Arial"/>
      <family val="2"/>
    </font>
    <font>
      <sz val="9"/>
      <name val="Arial"/>
      <family val="2"/>
    </font>
    <font>
      <b/>
      <sz val="11"/>
      <color indexed="5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10.75"/>
      <color indexed="8"/>
      <name val="Franklin Gothic Demi Cond"/>
      <family val="2"/>
    </font>
    <font>
      <b/>
      <sz val="8.5"/>
      <color indexed="8"/>
      <name val="Arial"/>
      <family val="2"/>
    </font>
    <font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A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56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9"/>
      </left>
      <right style="thin">
        <color indexed="9"/>
      </right>
      <top style="medium">
        <color indexed="56"/>
      </top>
      <bottom>
        <color indexed="63"/>
      </bottom>
    </border>
    <border>
      <left style="thin">
        <color indexed="9"/>
      </left>
      <right style="medium">
        <color indexed="56"/>
      </right>
      <top style="medium">
        <color indexed="56"/>
      </top>
      <bottom>
        <color indexed="63"/>
      </bottom>
    </border>
    <border>
      <left style="thin">
        <color indexed="56"/>
      </left>
      <right style="medium">
        <color indexed="56"/>
      </right>
      <top style="thin">
        <color indexed="56"/>
      </top>
      <bottom style="thin">
        <color indexed="9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 style="medium">
        <color indexed="56"/>
      </left>
      <right style="thin">
        <color indexed="9"/>
      </right>
      <top>
        <color indexed="63"/>
      </top>
      <bottom style="thin">
        <color indexed="56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56"/>
      </bottom>
    </border>
    <border>
      <left style="thin">
        <color indexed="9"/>
      </left>
      <right style="medium">
        <color indexed="56"/>
      </right>
      <top style="thin">
        <color indexed="9"/>
      </top>
      <bottom style="thin">
        <color indexed="56"/>
      </bottom>
    </border>
    <border>
      <left style="medium">
        <color indexed="56"/>
      </left>
      <right style="medium">
        <color indexed="56"/>
      </right>
      <top style="thin">
        <color indexed="56"/>
      </top>
      <bottom style="thin"/>
    </border>
    <border>
      <left style="medium">
        <color indexed="56"/>
      </left>
      <right style="medium">
        <color indexed="56"/>
      </right>
      <top style="thin"/>
      <bottom style="thin"/>
    </border>
    <border>
      <left style="medium">
        <color indexed="56"/>
      </left>
      <right style="thin">
        <color indexed="9"/>
      </right>
      <top style="thin">
        <color indexed="56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56"/>
      </top>
      <bottom>
        <color indexed="63"/>
      </bottom>
    </border>
    <border>
      <left style="thin">
        <color indexed="9"/>
      </left>
      <right style="medium">
        <color indexed="56"/>
      </right>
      <top style="thin">
        <color indexed="56"/>
      </top>
      <bottom>
        <color indexed="63"/>
      </bottom>
    </border>
    <border>
      <left style="medium">
        <color indexed="56"/>
      </left>
      <right style="medium">
        <color indexed="56"/>
      </right>
      <top style="thin">
        <color indexed="56"/>
      </top>
      <bottom>
        <color indexed="63"/>
      </bottom>
    </border>
    <border>
      <left style="medium">
        <color indexed="56"/>
      </left>
      <right style="thin">
        <color indexed="8"/>
      </right>
      <top style="thin">
        <color indexed="56"/>
      </top>
      <bottom>
        <color indexed="63"/>
      </bottom>
    </border>
    <border>
      <left style="medium">
        <color indexed="56"/>
      </left>
      <right style="medium">
        <color indexed="56"/>
      </right>
      <top>
        <color indexed="63"/>
      </top>
      <bottom style="medium">
        <color indexed="56"/>
      </bottom>
    </border>
    <border>
      <left style="medium">
        <color indexed="56"/>
      </left>
      <right style="thin">
        <color indexed="8"/>
      </right>
      <top>
        <color indexed="63"/>
      </top>
      <bottom style="medium">
        <color indexed="56"/>
      </bottom>
    </border>
    <border>
      <left style="thin">
        <color indexed="8"/>
      </left>
      <right style="medium">
        <color indexed="56"/>
      </right>
      <top>
        <color indexed="63"/>
      </top>
      <bottom style="medium">
        <color indexed="56"/>
      </bottom>
    </border>
    <border>
      <left style="thin">
        <color indexed="56"/>
      </left>
      <right style="medium">
        <color indexed="56"/>
      </right>
      <top style="thin">
        <color indexed="9"/>
      </top>
      <bottom style="thin">
        <color indexed="9"/>
      </bottom>
    </border>
    <border>
      <left style="thin">
        <color indexed="56"/>
      </left>
      <right style="medium">
        <color indexed="56"/>
      </right>
      <top>
        <color indexed="63"/>
      </top>
      <bottom>
        <color indexed="63"/>
      </bottom>
    </border>
    <border>
      <left style="thin">
        <color indexed="56"/>
      </left>
      <right style="medium">
        <color indexed="56"/>
      </right>
      <top style="thin">
        <color indexed="9"/>
      </top>
      <bottom style="thin">
        <color indexed="56"/>
      </bottom>
    </border>
    <border>
      <left style="thin">
        <color indexed="56"/>
      </left>
      <right style="medium">
        <color indexed="56"/>
      </right>
      <top style="thin">
        <color indexed="9"/>
      </top>
      <bottom style="thin"/>
    </border>
    <border>
      <left style="thin">
        <color indexed="8"/>
      </left>
      <right style="medium">
        <color indexed="56"/>
      </right>
      <top style="thin">
        <color indexed="56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56"/>
      </bottom>
    </border>
    <border>
      <left style="medium">
        <color indexed="56"/>
      </left>
      <right style="thin">
        <color indexed="9"/>
      </right>
      <top style="medium">
        <color indexed="56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33" borderId="10" xfId="0" applyFont="1" applyFill="1" applyBorder="1" applyAlignment="1">
      <alignment wrapText="1"/>
    </xf>
    <xf numFmtId="0" fontId="1" fillId="33" borderId="11" xfId="0" applyFont="1" applyFill="1" applyBorder="1" applyAlignment="1">
      <alignment wrapText="1"/>
    </xf>
    <xf numFmtId="0" fontId="0" fillId="0" borderId="0" xfId="0" applyAlignment="1">
      <alignment wrapText="1"/>
    </xf>
    <xf numFmtId="164" fontId="5" fillId="34" borderId="12" xfId="0" applyNumberFormat="1" applyFont="1" applyFill="1" applyBorder="1" applyAlignment="1">
      <alignment horizontal="right" indent="1"/>
    </xf>
    <xf numFmtId="164" fontId="5" fillId="34" borderId="13" xfId="0" applyNumberFormat="1" applyFont="1" applyFill="1" applyBorder="1" applyAlignment="1">
      <alignment horizontal="right" indent="1"/>
    </xf>
    <xf numFmtId="177" fontId="5" fillId="34" borderId="14" xfId="0" applyNumberFormat="1" applyFont="1" applyFill="1" applyBorder="1" applyAlignment="1">
      <alignment horizontal="right" indent="1"/>
    </xf>
    <xf numFmtId="164" fontId="5" fillId="34" borderId="15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6" fillId="34" borderId="16" xfId="0" applyFont="1" applyFill="1" applyBorder="1" applyAlignment="1">
      <alignment vertical="center"/>
    </xf>
    <xf numFmtId="0" fontId="0" fillId="34" borderId="16" xfId="0" applyFont="1" applyFill="1" applyBorder="1" applyAlignment="1">
      <alignment/>
    </xf>
    <xf numFmtId="0" fontId="0" fillId="0" borderId="0" xfId="0" applyFont="1" applyAlignment="1">
      <alignment/>
    </xf>
    <xf numFmtId="0" fontId="7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/>
    </xf>
    <xf numFmtId="0" fontId="6" fillId="34" borderId="17" xfId="0" applyFont="1" applyFill="1" applyBorder="1" applyAlignment="1">
      <alignment vertical="center"/>
    </xf>
    <xf numFmtId="0" fontId="8" fillId="34" borderId="17" xfId="0" applyFont="1" applyFill="1" applyBorder="1" applyAlignment="1">
      <alignment/>
    </xf>
    <xf numFmtId="0" fontId="8" fillId="34" borderId="17" xfId="0" applyFont="1" applyFill="1" applyBorder="1" applyAlignment="1">
      <alignment vertical="center"/>
    </xf>
    <xf numFmtId="0" fontId="8" fillId="0" borderId="17" xfId="0" applyFont="1" applyBorder="1" applyAlignment="1">
      <alignment/>
    </xf>
    <xf numFmtId="0" fontId="0" fillId="0" borderId="0" xfId="0" applyFont="1" applyAlignment="1">
      <alignment horizontal="right" indent="1"/>
    </xf>
    <xf numFmtId="0" fontId="9" fillId="0" borderId="0" xfId="0" applyFont="1" applyAlignment="1">
      <alignment/>
    </xf>
    <xf numFmtId="0" fontId="0" fillId="0" borderId="0" xfId="0" applyFont="1" applyFill="1" applyAlignment="1">
      <alignment/>
    </xf>
    <xf numFmtId="4" fontId="5" fillId="0" borderId="0" xfId="0" applyNumberFormat="1" applyFont="1" applyFill="1" applyBorder="1" applyAlignment="1">
      <alignment horizontal="left" indent="1"/>
    </xf>
    <xf numFmtId="0" fontId="8" fillId="0" borderId="0" xfId="0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/>
    </xf>
    <xf numFmtId="10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10" fillId="33" borderId="18" xfId="0" applyFont="1" applyFill="1" applyBorder="1" applyAlignment="1">
      <alignment horizontal="centerContinuous"/>
    </xf>
    <xf numFmtId="0" fontId="1" fillId="33" borderId="18" xfId="0" applyFont="1" applyFill="1" applyBorder="1" applyAlignment="1">
      <alignment horizontal="centerContinuous"/>
    </xf>
    <xf numFmtId="0" fontId="1" fillId="33" borderId="19" xfId="0" applyFont="1" applyFill="1" applyBorder="1" applyAlignment="1">
      <alignment horizontal="centerContinuous"/>
    </xf>
    <xf numFmtId="0" fontId="11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10" fillId="33" borderId="22" xfId="0" applyFont="1" applyFill="1" applyBorder="1" applyAlignment="1">
      <alignment horizontal="center" wrapText="1"/>
    </xf>
    <xf numFmtId="0" fontId="12" fillId="33" borderId="23" xfId="0" applyFont="1" applyFill="1" applyBorder="1" applyAlignment="1">
      <alignment horizontal="right" wrapText="1" indent="1"/>
    </xf>
    <xf numFmtId="0" fontId="12" fillId="33" borderId="24" xfId="0" applyFont="1" applyFill="1" applyBorder="1" applyAlignment="1">
      <alignment horizontal="right" wrapText="1" indent="1"/>
    </xf>
    <xf numFmtId="168" fontId="0" fillId="0" borderId="21" xfId="0" applyNumberFormat="1" applyFont="1" applyBorder="1" applyAlignment="1">
      <alignment horizontal="center" vertical="center"/>
    </xf>
    <xf numFmtId="20" fontId="5" fillId="34" borderId="25" xfId="0" applyNumberFormat="1" applyFont="1" applyFill="1" applyBorder="1" applyAlignment="1">
      <alignment horizontal="center"/>
    </xf>
    <xf numFmtId="20" fontId="5" fillId="34" borderId="26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 indent="1"/>
    </xf>
    <xf numFmtId="3" fontId="0" fillId="0" borderId="0" xfId="0" applyNumberFormat="1" applyFont="1" applyAlignment="1">
      <alignment/>
    </xf>
    <xf numFmtId="0" fontId="13" fillId="0" borderId="0" xfId="0" applyFont="1" applyAlignment="1">
      <alignment horizontal="left" vertical="top" wrapText="1" readingOrder="1"/>
    </xf>
    <xf numFmtId="0" fontId="1" fillId="33" borderId="27" xfId="0" applyFont="1" applyFill="1" applyBorder="1" applyAlignment="1">
      <alignment/>
    </xf>
    <xf numFmtId="0" fontId="10" fillId="33" borderId="28" xfId="0" applyFont="1" applyFill="1" applyBorder="1" applyAlignment="1">
      <alignment horizontal="centerContinuous"/>
    </xf>
    <xf numFmtId="0" fontId="1" fillId="33" borderId="28" xfId="0" applyFont="1" applyFill="1" applyBorder="1" applyAlignment="1">
      <alignment horizontal="centerContinuous"/>
    </xf>
    <xf numFmtId="0" fontId="1" fillId="33" borderId="29" xfId="0" applyFont="1" applyFill="1" applyBorder="1" applyAlignment="1">
      <alignment horizontal="centerContinuous"/>
    </xf>
    <xf numFmtId="0" fontId="8" fillId="34" borderId="30" xfId="0" applyFont="1" applyFill="1" applyBorder="1" applyAlignment="1">
      <alignment/>
    </xf>
    <xf numFmtId="177" fontId="5" fillId="34" borderId="31" xfId="0" applyNumberFormat="1" applyFont="1" applyFill="1" applyBorder="1" applyAlignment="1">
      <alignment horizontal="right" indent="1"/>
    </xf>
    <xf numFmtId="181" fontId="0" fillId="0" borderId="0" xfId="0" applyNumberFormat="1" applyFont="1" applyAlignment="1">
      <alignment/>
    </xf>
    <xf numFmtId="0" fontId="0" fillId="0" borderId="0" xfId="0" applyFont="1" applyAlignment="1">
      <alignment vertical="top"/>
    </xf>
    <xf numFmtId="0" fontId="5" fillId="34" borderId="32" xfId="0" applyFont="1" applyFill="1" applyBorder="1" applyAlignment="1">
      <alignment/>
    </xf>
    <xf numFmtId="4" fontId="5" fillId="34" borderId="33" xfId="0" applyNumberFormat="1" applyFont="1" applyFill="1" applyBorder="1" applyAlignment="1">
      <alignment horizontal="left" indent="1"/>
    </xf>
    <xf numFmtId="4" fontId="5" fillId="34" borderId="15" xfId="0" applyNumberFormat="1" applyFont="1" applyFill="1" applyBorder="1" applyAlignment="1">
      <alignment horizontal="left" indent="1"/>
    </xf>
    <xf numFmtId="2" fontId="5" fillId="34" borderId="15" xfId="0" applyNumberFormat="1" applyFont="1" applyFill="1" applyBorder="1" applyAlignment="1">
      <alignment/>
    </xf>
    <xf numFmtId="2" fontId="5" fillId="34" borderId="34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0" fontId="0" fillId="0" borderId="0" xfId="0" applyNumberFormat="1" applyFont="1" applyFill="1" applyBorder="1" applyAlignment="1">
      <alignment horizontal="center"/>
    </xf>
    <xf numFmtId="9" fontId="0" fillId="0" borderId="0" xfId="0" applyNumberFormat="1" applyFont="1" applyFill="1" applyBorder="1" applyAlignment="1">
      <alignment horizontal="center"/>
    </xf>
    <xf numFmtId="1" fontId="15" fillId="34" borderId="21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 indent="1"/>
    </xf>
    <xf numFmtId="0" fontId="1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 indent="1"/>
    </xf>
    <xf numFmtId="0" fontId="9" fillId="0" borderId="0" xfId="0" applyFont="1" applyFill="1" applyBorder="1" applyAlignment="1">
      <alignment/>
    </xf>
    <xf numFmtId="169" fontId="14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1" fillId="33" borderId="35" xfId="0" applyFont="1" applyFill="1" applyBorder="1" applyAlignment="1">
      <alignment horizontal="center" vertical="center"/>
    </xf>
    <xf numFmtId="0" fontId="13" fillId="0" borderId="0" xfId="0" applyFont="1" applyAlignment="1">
      <alignment vertical="top" wrapText="1" readingOrder="1"/>
    </xf>
    <xf numFmtId="0" fontId="1" fillId="0" borderId="0" xfId="0" applyFont="1" applyAlignment="1">
      <alignment/>
    </xf>
    <xf numFmtId="0" fontId="11" fillId="33" borderId="36" xfId="0" applyFont="1" applyFill="1" applyBorder="1" applyAlignment="1">
      <alignment horizontal="center" vertical="center"/>
    </xf>
    <xf numFmtId="0" fontId="11" fillId="33" borderId="37" xfId="0" applyFont="1" applyFill="1" applyBorder="1" applyAlignment="1">
      <alignment horizontal="center" vertical="center"/>
    </xf>
    <xf numFmtId="0" fontId="11" fillId="33" borderId="38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169" fontId="0" fillId="0" borderId="0" xfId="0" applyNumberFormat="1" applyBorder="1" applyAlignment="1">
      <alignment/>
    </xf>
    <xf numFmtId="169" fontId="0" fillId="0" borderId="21" xfId="0" applyNumberFormat="1" applyFont="1" applyBorder="1" applyAlignment="1">
      <alignment horizontal="center" vertical="center"/>
    </xf>
    <xf numFmtId="15" fontId="0" fillId="0" borderId="0" xfId="0" applyNumberFormat="1" applyAlignment="1">
      <alignment/>
    </xf>
    <xf numFmtId="0" fontId="16" fillId="0" borderId="0" xfId="0" applyFont="1" applyAlignment="1">
      <alignment horizontal="right"/>
    </xf>
    <xf numFmtId="164" fontId="5" fillId="0" borderId="12" xfId="0" applyNumberFormat="1" applyFont="1" applyFill="1" applyBorder="1" applyAlignment="1">
      <alignment horizontal="right" indent="1"/>
    </xf>
    <xf numFmtId="164" fontId="5" fillId="0" borderId="13" xfId="0" applyNumberFormat="1" applyFont="1" applyFill="1" applyBorder="1" applyAlignment="1">
      <alignment horizontal="right" indent="1"/>
    </xf>
    <xf numFmtId="164" fontId="5" fillId="0" borderId="0" xfId="0" applyNumberFormat="1" applyFont="1" applyAlignment="1">
      <alignment/>
    </xf>
    <xf numFmtId="164" fontId="5" fillId="34" borderId="14" xfId="0" applyNumberFormat="1" applyFont="1" applyFill="1" applyBorder="1" applyAlignment="1">
      <alignment horizontal="center"/>
    </xf>
    <xf numFmtId="164" fontId="5" fillId="34" borderId="39" xfId="0" applyNumberFormat="1" applyFont="1" applyFill="1" applyBorder="1" applyAlignment="1">
      <alignment horizontal="center"/>
    </xf>
    <xf numFmtId="190" fontId="15" fillId="34" borderId="21" xfId="42" applyNumberFormat="1" applyFont="1" applyFill="1" applyBorder="1" applyAlignment="1">
      <alignment horizontal="center" vertical="center"/>
    </xf>
    <xf numFmtId="0" fontId="10" fillId="33" borderId="40" xfId="0" applyFont="1" applyFill="1" applyBorder="1" applyAlignment="1">
      <alignment horizontal="center" wrapText="1"/>
    </xf>
    <xf numFmtId="0" fontId="10" fillId="33" borderId="41" xfId="0" applyFont="1" applyFill="1" applyBorder="1" applyAlignment="1">
      <alignment horizontal="center" wrapText="1"/>
    </xf>
    <xf numFmtId="0" fontId="10" fillId="33" borderId="42" xfId="0" applyFont="1" applyFill="1" applyBorder="1" applyAlignment="1">
      <alignment horizontal="center" wrapText="1"/>
    </xf>
    <xf numFmtId="0" fontId="1" fillId="33" borderId="40" xfId="0" applyFont="1" applyFill="1" applyBorder="1" applyAlignment="1">
      <alignment/>
    </xf>
    <xf numFmtId="0" fontId="1" fillId="33" borderId="41" xfId="0" applyFont="1" applyFill="1" applyBorder="1" applyAlignment="1">
      <alignment/>
    </xf>
    <xf numFmtId="0" fontId="1" fillId="33" borderId="4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4" fillId="0" borderId="0" xfId="0" applyFont="1" applyAlignment="1">
      <alignment horizontal="center" vertical="center" wrapText="1"/>
    </xf>
    <xf numFmtId="0" fontId="10" fillId="33" borderId="18" xfId="0" applyFont="1" applyFill="1" applyBorder="1" applyAlignment="1">
      <alignment horizontal="center" wrapText="1"/>
    </xf>
    <xf numFmtId="0" fontId="10" fillId="33" borderId="43" xfId="0" applyFont="1" applyFill="1" applyBorder="1" applyAlignment="1">
      <alignment horizontal="center" wrapText="1"/>
    </xf>
    <xf numFmtId="0" fontId="10" fillId="33" borderId="44" xfId="0" applyFont="1" applyFill="1" applyBorder="1" applyAlignment="1">
      <alignment horizontal="center" wrapText="1"/>
    </xf>
    <xf numFmtId="0" fontId="10" fillId="33" borderId="22" xfId="0" applyFont="1" applyFill="1" applyBorder="1" applyAlignment="1">
      <alignment horizontal="center" wrapText="1"/>
    </xf>
    <xf numFmtId="0" fontId="13" fillId="0" borderId="0" xfId="0" applyFont="1" applyAlignment="1">
      <alignment horizontal="left" vertical="top" wrapText="1" readingOrder="1"/>
    </xf>
    <xf numFmtId="0" fontId="1" fillId="33" borderId="45" xfId="0" applyFont="1" applyFill="1" applyBorder="1" applyAlignment="1">
      <alignment horizontal="center" wrapText="1"/>
    </xf>
    <xf numFmtId="0" fontId="1" fillId="33" borderId="43" xfId="0" applyFont="1" applyFill="1" applyBorder="1" applyAlignment="1">
      <alignment horizontal="center" wrapText="1"/>
    </xf>
    <xf numFmtId="20" fontId="5" fillId="35" borderId="26" xfId="0" applyNumberFormat="1" applyFont="1" applyFill="1" applyBorder="1" applyAlignment="1">
      <alignment horizontal="center"/>
    </xf>
    <xf numFmtId="164" fontId="5" fillId="35" borderId="13" xfId="0" applyNumberFormat="1" applyFont="1" applyFill="1" applyBorder="1" applyAlignment="1">
      <alignment horizontal="right" indent="1"/>
    </xf>
    <xf numFmtId="164" fontId="5" fillId="35" borderId="12" xfId="0" applyNumberFormat="1" applyFont="1" applyFill="1" applyBorder="1" applyAlignment="1">
      <alignment horizontal="right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b/>
        <i val="0"/>
        <color indexed="8"/>
      </font>
      <fill>
        <patternFill>
          <bgColor indexed="9"/>
        </patternFill>
      </fill>
    </dxf>
    <dxf>
      <fill>
        <patternFill>
          <bgColor rgb="FFFFFFA5"/>
        </patternFill>
      </fill>
    </dxf>
    <dxf>
      <fill>
        <patternFill>
          <bgColor rgb="FFFFFFA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8875"/>
          <c:w val="0.94225"/>
          <c:h val="0.88525"/>
        </c:manualLayout>
      </c:layout>
      <c:lineChart>
        <c:grouping val="standard"/>
        <c:varyColors val="0"/>
        <c:ser>
          <c:idx val="1"/>
          <c:order val="0"/>
          <c:tx>
            <c:strRef>
              <c:f>'INPUTS-OUTPUTS'!$F$5</c:f>
              <c:strCache>
                <c:ptCount val="1"/>
                <c:pt idx="0">
                  <c:v>Reference Load (MW)</c:v>
                </c:pt>
              </c:strCache>
            </c:strRef>
          </c:tx>
          <c:spPr>
            <a:ln w="25400">
              <a:solidFill>
                <a:srgbClr val="00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'INPUTS-OUTPUTS'!$E$7:$E$30</c:f>
              <c:strCache/>
            </c:strRef>
          </c:cat>
          <c:val>
            <c:numRef>
              <c:f>'INPUTS-OUTPUTS'!$F$7:$F$30</c:f>
              <c:numCache/>
            </c:numRef>
          </c:val>
          <c:smooth val="0"/>
        </c:ser>
        <c:ser>
          <c:idx val="2"/>
          <c:order val="1"/>
          <c:tx>
            <c:strRef>
              <c:f>'INPUTS-OUTPUTS'!$G$5</c:f>
              <c:strCache>
                <c:ptCount val="1"/>
                <c:pt idx="0">
                  <c:v>Load with DR (MW)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'INPUTS-OUTPUTS'!$E$7:$E$30</c:f>
              <c:strCache/>
            </c:strRef>
          </c:cat>
          <c:val>
            <c:numRef>
              <c:f>'INPUTS-OUTPUTS'!$G$7:$G$30</c:f>
              <c:numCache/>
            </c:numRef>
          </c:val>
          <c:smooth val="0"/>
        </c:ser>
        <c:ser>
          <c:idx val="0"/>
          <c:order val="2"/>
          <c:tx>
            <c:strRef>
              <c:f>LOOKUP!$N$2</c:f>
              <c:strCache>
                <c:ptCount val="1"/>
                <c:pt idx="0">
                  <c:v>FSL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LOOKUP!$N$3:$N$26</c:f>
              <c:numCache>
                <c:ptCount val="24"/>
                <c:pt idx="0">
                  <c:v>96.91601829999999</c:v>
                </c:pt>
                <c:pt idx="1">
                  <c:v>96.91601829999999</c:v>
                </c:pt>
                <c:pt idx="2">
                  <c:v>96.91601829999999</c:v>
                </c:pt>
                <c:pt idx="3">
                  <c:v>96.91601829999999</c:v>
                </c:pt>
                <c:pt idx="4">
                  <c:v>96.91601829999999</c:v>
                </c:pt>
                <c:pt idx="5">
                  <c:v>96.91601829999999</c:v>
                </c:pt>
                <c:pt idx="6">
                  <c:v>96.91601829999999</c:v>
                </c:pt>
                <c:pt idx="7">
                  <c:v>96.91601829999999</c:v>
                </c:pt>
                <c:pt idx="8">
                  <c:v>96.91601829999999</c:v>
                </c:pt>
                <c:pt idx="9">
                  <c:v>96.91601829999999</c:v>
                </c:pt>
                <c:pt idx="10">
                  <c:v>96.91601829999999</c:v>
                </c:pt>
                <c:pt idx="11">
                  <c:v>96.91601829999999</c:v>
                </c:pt>
                <c:pt idx="12">
                  <c:v>96.91601829999999</c:v>
                </c:pt>
                <c:pt idx="13">
                  <c:v>96.91601829999999</c:v>
                </c:pt>
                <c:pt idx="14">
                  <c:v>96.91601829999999</c:v>
                </c:pt>
                <c:pt idx="15">
                  <c:v>96.91601829999999</c:v>
                </c:pt>
                <c:pt idx="16">
                  <c:v>96.91601829999999</c:v>
                </c:pt>
                <c:pt idx="17">
                  <c:v>96.91601829999999</c:v>
                </c:pt>
                <c:pt idx="18">
                  <c:v>96.91601829999999</c:v>
                </c:pt>
                <c:pt idx="19">
                  <c:v>96.91601829999999</c:v>
                </c:pt>
                <c:pt idx="20">
                  <c:v>96.91601829999999</c:v>
                </c:pt>
                <c:pt idx="21">
                  <c:v>96.91601829999999</c:v>
                </c:pt>
                <c:pt idx="22">
                  <c:v>96.91601829999999</c:v>
                </c:pt>
                <c:pt idx="23">
                  <c:v>96.91601829999999</c:v>
                </c:pt>
              </c:numCache>
            </c:numRef>
          </c:val>
          <c:smooth val="0"/>
        </c:ser>
        <c:marker val="1"/>
        <c:axId val="15825715"/>
        <c:axId val="8213708"/>
      </c:lineChart>
      <c:catAx>
        <c:axId val="15825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8213708"/>
        <c:crosses val="autoZero"/>
        <c:auto val="1"/>
        <c:lblOffset val="100"/>
        <c:tickLblSkip val="2"/>
        <c:noMultiLvlLbl val="0"/>
      </c:catAx>
      <c:valAx>
        <c:axId val="8213708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1582571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.007"/>
          <c:w val="0.96975"/>
          <c:h val="0.0672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EAEAE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171450</xdr:rowOff>
    </xdr:from>
    <xdr:to>
      <xdr:col>2</xdr:col>
      <xdr:colOff>57150</xdr:colOff>
      <xdr:row>28</xdr:row>
      <xdr:rowOff>161925</xdr:rowOff>
    </xdr:to>
    <xdr:graphicFrame>
      <xdr:nvGraphicFramePr>
        <xdr:cNvPr id="1" name="Chart 1"/>
        <xdr:cNvGraphicFramePr/>
      </xdr:nvGraphicFramePr>
      <xdr:xfrm>
        <a:off x="0" y="2990850"/>
        <a:ext cx="479107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0</xdr:colOff>
      <xdr:row>0</xdr:row>
      <xdr:rowOff>190500</xdr:rowOff>
    </xdr:from>
    <xdr:to>
      <xdr:col>11</xdr:col>
      <xdr:colOff>542925</xdr:colOff>
      <xdr:row>2</xdr:row>
      <xdr:rowOff>9525</xdr:rowOff>
    </xdr:to>
    <xdr:pic>
      <xdr:nvPicPr>
        <xdr:cNvPr id="2" name="Picture 2" descr="FSC Logo NEW PURPLE 2007"/>
        <xdr:cNvPicPr preferRelativeResize="1">
          <a:picLocks noChangeAspect="1"/>
        </xdr:cNvPicPr>
      </xdr:nvPicPr>
      <xdr:blipFill>
        <a:blip r:embed="rId2"/>
        <a:srcRect t="10937"/>
        <a:stretch>
          <a:fillRect/>
        </a:stretch>
      </xdr:blipFill>
      <xdr:spPr>
        <a:xfrm>
          <a:off x="8753475" y="190500"/>
          <a:ext cx="1971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704850</xdr:colOff>
      <xdr:row>0</xdr:row>
      <xdr:rowOff>133350</xdr:rowOff>
    </xdr:from>
    <xdr:to>
      <xdr:col>13</xdr:col>
      <xdr:colOff>609600</xdr:colOff>
      <xdr:row>2</xdr:row>
      <xdr:rowOff>76200</xdr:rowOff>
    </xdr:to>
    <xdr:pic>
      <xdr:nvPicPr>
        <xdr:cNvPr id="3" name="Picture 11" descr="SCE 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87075" y="133350"/>
          <a:ext cx="1333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5.00390625" style="11" customWidth="1"/>
    <col min="2" max="2" width="36.00390625" style="11" customWidth="1"/>
    <col min="3" max="4" width="2.7109375" style="11" customWidth="1"/>
    <col min="5" max="5" width="9.140625" style="11" customWidth="1"/>
    <col min="6" max="7" width="10.7109375" style="11" customWidth="1"/>
    <col min="8" max="9" width="12.140625" style="11" customWidth="1"/>
    <col min="10" max="14" width="10.7109375" style="11" customWidth="1"/>
    <col min="15" max="15" width="9.140625" style="11" customWidth="1"/>
    <col min="16" max="18" width="11.28125" style="11" customWidth="1"/>
    <col min="19" max="19" width="11.00390625" style="11" customWidth="1"/>
    <col min="20" max="16384" width="9.140625" style="11" customWidth="1"/>
  </cols>
  <sheetData>
    <row r="1" spans="1:14" ht="18">
      <c r="A1" s="9" t="s">
        <v>46</v>
      </c>
      <c r="B1" s="10"/>
      <c r="C1" s="10"/>
      <c r="D1" s="10"/>
      <c r="E1" s="9"/>
      <c r="F1" s="10"/>
      <c r="G1" s="10"/>
      <c r="H1" s="10"/>
      <c r="I1" s="10"/>
      <c r="J1" s="10"/>
      <c r="K1" s="10"/>
      <c r="L1" s="10"/>
      <c r="M1" s="10"/>
      <c r="N1" s="10"/>
    </row>
    <row r="2" spans="1:14" ht="27">
      <c r="A2" s="12" t="s">
        <v>44</v>
      </c>
      <c r="B2" s="13"/>
      <c r="C2" s="13"/>
      <c r="D2" s="13"/>
      <c r="E2" s="12"/>
      <c r="F2" s="13"/>
      <c r="G2" s="13"/>
      <c r="H2" s="13"/>
      <c r="I2" s="13"/>
      <c r="J2" s="13"/>
      <c r="K2" s="13"/>
      <c r="L2" s="13"/>
      <c r="M2" s="13"/>
      <c r="N2" s="13"/>
    </row>
    <row r="3" spans="1:14" s="17" customFormat="1" ht="18" customHeight="1" thickBot="1">
      <c r="A3" s="14" t="str">
        <f>CONCATENATE("September 21, 2011 Event - ",CustChar)</f>
        <v>September 21, 2011 Event - All Customers</v>
      </c>
      <c r="B3" s="15"/>
      <c r="C3" s="15"/>
      <c r="D3" s="15"/>
      <c r="E3" s="16"/>
      <c r="F3" s="15"/>
      <c r="G3" s="15"/>
      <c r="H3" s="15"/>
      <c r="I3" s="15"/>
      <c r="J3" s="15"/>
      <c r="K3" s="15"/>
      <c r="L3" s="15"/>
      <c r="M3" s="15"/>
      <c r="N3" s="15"/>
    </row>
    <row r="4" spans="1:9" ht="9" customHeight="1" thickBot="1">
      <c r="A4" s="18"/>
      <c r="B4" s="19"/>
      <c r="D4" s="20"/>
      <c r="F4" s="21"/>
      <c r="G4" s="22"/>
      <c r="H4" s="23"/>
      <c r="I4" s="24"/>
    </row>
    <row r="5" spans="1:14" ht="33" customHeight="1">
      <c r="A5" s="25" t="s">
        <v>14</v>
      </c>
      <c r="B5" s="96"/>
      <c r="D5" s="20"/>
      <c r="E5" s="99" t="s">
        <v>15</v>
      </c>
      <c r="F5" s="97" t="str">
        <f>IF(TypeofResult="Aggregate","Reference Load (MW)","Reference Load (kW)")</f>
        <v>Reference Load (MW)</v>
      </c>
      <c r="G5" s="97" t="str">
        <f>IF(TypeofResult="Aggregate","Load with DR (MW)","Load with DR (kW)")</f>
        <v>Load with DR (MW)</v>
      </c>
      <c r="H5" s="97" t="str">
        <f>IF(TypeofResult="Aggregate"," Load Impact (MW)","Load Impact (kW)")</f>
        <v> Load Impact (MW)</v>
      </c>
      <c r="I5" s="97" t="s">
        <v>16</v>
      </c>
      <c r="J5" s="26" t="s">
        <v>17</v>
      </c>
      <c r="K5" s="27"/>
      <c r="L5" s="27"/>
      <c r="M5" s="27"/>
      <c r="N5" s="28"/>
    </row>
    <row r="6" spans="1:14" ht="19.5" customHeight="1">
      <c r="A6" s="29" t="s">
        <v>18</v>
      </c>
      <c r="B6" s="30" t="s">
        <v>2</v>
      </c>
      <c r="D6" s="31"/>
      <c r="E6" s="100"/>
      <c r="F6" s="98"/>
      <c r="G6" s="98"/>
      <c r="H6" s="98"/>
      <c r="I6" s="98"/>
      <c r="J6" s="33" t="s">
        <v>19</v>
      </c>
      <c r="K6" s="33" t="s">
        <v>20</v>
      </c>
      <c r="L6" s="33" t="s">
        <v>21</v>
      </c>
      <c r="M6" s="33" t="s">
        <v>22</v>
      </c>
      <c r="N6" s="34" t="s">
        <v>23</v>
      </c>
    </row>
    <row r="7" spans="1:15" ht="19.5" customHeight="1">
      <c r="A7" s="70" t="s">
        <v>33</v>
      </c>
      <c r="B7" s="79">
        <v>40807</v>
      </c>
      <c r="D7" s="20"/>
      <c r="E7" s="36">
        <v>0.041666666666666664</v>
      </c>
      <c r="F7" s="4">
        <f>DGET(DATA,"Reference Load",criteria1)*IF(TypeofResult="Aggregate",Accounts/1000,1)</f>
        <v>713.893881</v>
      </c>
      <c r="G7" s="4">
        <f>DGET(DATA,"Observed Load",criteria1)*IF(TypeofResult="Aggregate",Accounts/1000,1)</f>
        <v>680.4064973000001</v>
      </c>
      <c r="H7" s="4">
        <f>F7-G7</f>
        <v>33.487383699999896</v>
      </c>
      <c r="I7" s="4">
        <f>DGET(DATA,"Temperature",criteria1)</f>
        <v>62.6574</v>
      </c>
      <c r="J7" s="4">
        <f>DGET(DATA,"PCTILE10",criteria1)*IF(TypeofResult="Aggregate",Accounts/1000,1)</f>
        <v>3.904714724</v>
      </c>
      <c r="K7" s="4">
        <f>DGET(DATA,"PCTILE30",criteria1)*IF(TypeofResult="Aggregate",Accounts/1000,1)</f>
        <v>21.382345280000003</v>
      </c>
      <c r="L7" s="4">
        <f>DGET(DATA,"PCTILE50",criteria1)*IF(TypeofResult="Aggregate",Accounts/1000,1)</f>
        <v>33.487304380000005</v>
      </c>
      <c r="M7" s="4">
        <f>DGET(DATA,"PCTILE70",criteria1)*IF(TypeofResult="Aggregate",Accounts/1000,1)</f>
        <v>45.59226348000001</v>
      </c>
      <c r="N7" s="4">
        <f>DGET(DATA,"PCTILE90",criteria1)*IF(TypeofResult="Aggregate",Accounts/1000,1)</f>
        <v>63.06989668000001</v>
      </c>
      <c r="O7" s="72"/>
    </row>
    <row r="8" spans="1:15" ht="19.5" customHeight="1">
      <c r="A8" s="75" t="s">
        <v>30</v>
      </c>
      <c r="B8" s="35" t="s">
        <v>32</v>
      </c>
      <c r="D8" s="20"/>
      <c r="E8" s="37">
        <v>0.08333333333333333</v>
      </c>
      <c r="F8" s="5">
        <f>DGET(DATA,"Reference Load",criteria2)*IF(TypeofResult="Aggregate",Accounts/1000,1)</f>
        <v>705.058955</v>
      </c>
      <c r="G8" s="5">
        <f>DGET(DATA,"Observed Load",criteria2)*IF(TypeofResult="Aggregate",Accounts/1000,1)</f>
        <v>680.742748</v>
      </c>
      <c r="H8" s="4">
        <f aca="true" t="shared" si="0" ref="H8:H30">F8-G8</f>
        <v>24.316206999999963</v>
      </c>
      <c r="I8" s="5">
        <f>DGET(DATA,"Temperature",criteria2)</f>
        <v>62.0477</v>
      </c>
      <c r="J8" s="5">
        <f>DGET(DATA,"PCTILE10",criteria2)*IF(TypeofResult="Aggregate",Accounts/1000,1)</f>
        <v>-5.237093085</v>
      </c>
      <c r="K8" s="5">
        <f>DGET(DATA,"PCTILE30",criteria2)*IF(TypeofResult="Aggregate",Accounts/1000,1)</f>
        <v>12.22317234</v>
      </c>
      <c r="L8" s="5">
        <f>DGET(DATA,"PCTILE50",criteria2)*IF(TypeofResult="Aggregate",Accounts/1000,1)</f>
        <v>24.316094630000002</v>
      </c>
      <c r="M8" s="5">
        <f>DGET(DATA,"PCTILE70",criteria2)*IF(TypeofResult="Aggregate",Accounts/1000,1)</f>
        <v>36.40901692</v>
      </c>
      <c r="N8" s="5">
        <f>DGET(DATA,"PCTILE90",criteria2)*IF(TypeofResult="Aggregate",Accounts/1000,1)</f>
        <v>53.86927904</v>
      </c>
      <c r="O8" s="72"/>
    </row>
    <row r="9" spans="1:15" ht="19.5" customHeight="1">
      <c r="A9" s="25" t="s">
        <v>29</v>
      </c>
      <c r="D9" s="20"/>
      <c r="E9" s="37">
        <v>0.125</v>
      </c>
      <c r="F9" s="5">
        <f>DGET(DATA,"Reference Load",criteria3)*IF(TypeofResult="Aggregate",Accounts/1000,1)</f>
        <v>697.0443300000001</v>
      </c>
      <c r="G9" s="5">
        <f>DGET(DATA,"Observed Load",criteria3)*IF(TypeofResult="Aggregate",Accounts/1000,1)</f>
        <v>669.6185146</v>
      </c>
      <c r="H9" s="4">
        <f t="shared" si="0"/>
        <v>27.425815400000033</v>
      </c>
      <c r="I9" s="5">
        <f>DGET(DATA,"Temperature",criteria3)</f>
        <v>61.49595</v>
      </c>
      <c r="J9" s="5">
        <f>DGET(DATA,"PCTILE10",criteria3)*IF(TypeofResult="Aggregate",Accounts/1000,1)</f>
        <v>-2.179992542</v>
      </c>
      <c r="K9" s="5">
        <f>DGET(DATA,"PCTILE30",criteria3)*IF(TypeofResult="Aggregate",Accounts/1000,1)</f>
        <v>15.31148332</v>
      </c>
      <c r="L9" s="5">
        <f>DGET(DATA,"PCTILE50",criteria3)*IF(TypeofResult="Aggregate",Accounts/1000,1)</f>
        <v>27.42602031</v>
      </c>
      <c r="M9" s="5">
        <f>DGET(DATA,"PCTILE70",criteria3)*IF(TypeofResult="Aggregate",Accounts/1000,1)</f>
        <v>39.54056391</v>
      </c>
      <c r="N9" s="5">
        <f>DGET(DATA,"PCTILE90",criteria3)*IF(TypeofResult="Aggregate",Accounts/1000,1)</f>
        <v>57.03203845000001</v>
      </c>
      <c r="O9" s="72"/>
    </row>
    <row r="10" spans="1:15" ht="19.5" customHeight="1">
      <c r="A10" s="73" t="s">
        <v>35</v>
      </c>
      <c r="B10" s="59">
        <f>DGET(DATA,"count",criteria1)</f>
        <v>661</v>
      </c>
      <c r="D10" s="20"/>
      <c r="E10" s="36">
        <v>0.166666666666667</v>
      </c>
      <c r="F10" s="5">
        <f>DGET(DATA,"Reference Load",criteria4)*IF(TypeofResult="Aggregate",Accounts/1000,1)</f>
        <v>700.4359210000001</v>
      </c>
      <c r="G10" s="5">
        <f>DGET(DATA,"Observed Load",criteria4)*IF(TypeofResult="Aggregate",Accounts/1000,1)</f>
        <v>678.3118544</v>
      </c>
      <c r="H10" s="4">
        <f t="shared" si="0"/>
        <v>22.124066600000106</v>
      </c>
      <c r="I10" s="5">
        <f>DGET(DATA,"Temperature",criteria4)</f>
        <v>60.93927</v>
      </c>
      <c r="J10" s="5">
        <f>DGET(DATA,"PCTILE10",criteria4)*IF(TypeofResult="Aggregate",Accounts/1000,1)</f>
        <v>-7.572832430000001</v>
      </c>
      <c r="K10" s="5">
        <f>DGET(DATA,"PCTILE30",criteria4)*IF(TypeofResult="Aggregate",Accounts/1000,1)</f>
        <v>9.97233514</v>
      </c>
      <c r="L10" s="5">
        <f>DGET(DATA,"PCTILE50",criteria4)*IF(TypeofResult="Aggregate",Accounts/1000,1)</f>
        <v>22.1240666</v>
      </c>
      <c r="M10" s="5">
        <f>DGET(DATA,"PCTILE70",criteria4)*IF(TypeofResult="Aggregate",Accounts/1000,1)</f>
        <v>34.27579145</v>
      </c>
      <c r="N10" s="5">
        <f>DGET(DATA,"PCTILE90",criteria4)*IF(TypeofResult="Aggregate",Accounts/1000,1)</f>
        <v>51.82095902</v>
      </c>
      <c r="O10" s="72"/>
    </row>
    <row r="11" spans="1:15" ht="19.5" customHeight="1">
      <c r="A11" s="74" t="str">
        <f>IF(TypeofResult="Aggregate","Aggregate FSL (MW)","Average FSL (kW)")</f>
        <v>Aggregate FSL (MW)</v>
      </c>
      <c r="B11" s="87">
        <f>DGET(DATA,"FSL",criteria1)*IF(TypeofResult="Aggregate",Accounts/1000,1)</f>
        <v>96.91601829999999</v>
      </c>
      <c r="D11" s="20"/>
      <c r="E11" s="37">
        <v>0.208333333333334</v>
      </c>
      <c r="F11" s="5">
        <f>DGET(DATA,"Reference Load",criteria5)*IF(TypeofResult="Aggregate",Accounts/1000,1)</f>
        <v>717.333064</v>
      </c>
      <c r="G11" s="5">
        <f>DGET(DATA,"Observed Load",criteria5)*IF(TypeofResult="Aggregate",Accounts/1000,1)</f>
        <v>690.8017799</v>
      </c>
      <c r="H11" s="4">
        <f t="shared" si="0"/>
        <v>26.531284099999993</v>
      </c>
      <c r="I11" s="5">
        <f>DGET(DATA,"Temperature",criteria5)</f>
        <v>60.72145</v>
      </c>
      <c r="J11" s="5">
        <f>DGET(DATA,"PCTILE10",criteria5)*IF(TypeofResult="Aggregate",Accounts/1000,1)</f>
        <v>-3.146211936</v>
      </c>
      <c r="K11" s="5">
        <f>DGET(DATA,"PCTILE30",criteria5)*IF(TypeofResult="Aggregate",Accounts/1000,1)</f>
        <v>14.38735905</v>
      </c>
      <c r="L11" s="5">
        <f>DGET(DATA,"PCTILE50",criteria5)*IF(TypeofResult="Aggregate",Accounts/1000,1)</f>
        <v>26.53105936</v>
      </c>
      <c r="M11" s="5">
        <f>DGET(DATA,"PCTILE70",criteria5)*IF(TypeofResult="Aggregate",Accounts/1000,1)</f>
        <v>38.67475967</v>
      </c>
      <c r="N11" s="5">
        <f>DGET(DATA,"PCTILE90",criteria5)*IF(TypeofResult="Aggregate",Accounts/1000,1)</f>
        <v>56.20832669000001</v>
      </c>
      <c r="O11" s="72"/>
    </row>
    <row r="12" spans="4:15" ht="19.5" customHeight="1">
      <c r="D12" s="38">
        <v>0.5</v>
      </c>
      <c r="E12" s="37">
        <v>0.25</v>
      </c>
      <c r="F12" s="5">
        <f>DGET(DATA,"Reference Load",criteria6)*IF(TypeofResult="Aggregate",Accounts/1000,1)</f>
        <v>746.186375</v>
      </c>
      <c r="G12" s="5">
        <f>DGET(DATA,"Observed Load",criteria6)*IF(TypeofResult="Aggregate",Accounts/1000,1)</f>
        <v>712.1156588</v>
      </c>
      <c r="H12" s="4">
        <f t="shared" si="0"/>
        <v>34.07071619999999</v>
      </c>
      <c r="I12" s="5">
        <f>DGET(DATA,"Temperature",criteria6)</f>
        <v>60.34596</v>
      </c>
      <c r="J12" s="5">
        <f>DGET(DATA,"PCTILE10",criteria6)*IF(TypeofResult="Aggregate",Accounts/1000,1)</f>
        <v>4.388353221</v>
      </c>
      <c r="K12" s="5">
        <f>DGET(DATA,"PCTILE30",criteria6)*IF(TypeofResult="Aggregate",Accounts/1000,1)</f>
        <v>21.9250395</v>
      </c>
      <c r="L12" s="5">
        <f>DGET(DATA,"PCTILE50",criteria6)*IF(TypeofResult="Aggregate",Accounts/1000,1)</f>
        <v>34.07089467</v>
      </c>
      <c r="M12" s="5">
        <f>DGET(DATA,"PCTILE70",criteria6)*IF(TypeofResult="Aggregate",Accounts/1000,1)</f>
        <v>46.21674984</v>
      </c>
      <c r="N12" s="5">
        <f>DGET(DATA,"PCTILE90",criteria6)*IF(TypeofResult="Aggregate",Accounts/1000,1)</f>
        <v>63.75343678</v>
      </c>
      <c r="O12" s="72"/>
    </row>
    <row r="13" spans="4:15" ht="19.5" customHeight="1">
      <c r="D13" s="39"/>
      <c r="E13" s="36">
        <v>0.291666666666667</v>
      </c>
      <c r="F13" s="5">
        <f>DGET(DATA,"Reference Load",criteria7)*IF(TypeofResult="Aggregate",Accounts/1000,1)</f>
        <v>769.0735000000001</v>
      </c>
      <c r="G13" s="5">
        <f>DGET(DATA,"Observed Load",criteria7)*IF(TypeofResult="Aggregate",Accounts/1000,1)</f>
        <v>687.5718034</v>
      </c>
      <c r="H13" s="4">
        <f t="shared" si="0"/>
        <v>81.50169660000006</v>
      </c>
      <c r="I13" s="5">
        <f>DGET(DATA,"Temperature",criteria7)</f>
        <v>61.05272</v>
      </c>
      <c r="J13" s="5">
        <f>DGET(DATA,"PCTILE10",criteria7)*IF(TypeofResult="Aggregate",Accounts/1000,1)</f>
        <v>51.79963516</v>
      </c>
      <c r="K13" s="5">
        <f>DGET(DATA,"PCTILE30",criteria7)*IF(TypeofResult="Aggregate",Accounts/1000,1)</f>
        <v>69.34795570000001</v>
      </c>
      <c r="L13" s="5">
        <f>DGET(DATA,"PCTILE50",criteria7)*IF(TypeofResult="Aggregate",Accounts/1000,1)</f>
        <v>81.5018288</v>
      </c>
      <c r="M13" s="5">
        <f>DGET(DATA,"PCTILE70",criteria7)*IF(TypeofResult="Aggregate",Accounts/1000,1)</f>
        <v>93.65570190000001</v>
      </c>
      <c r="N13" s="5">
        <f>DGET(DATA,"PCTILE90",criteria7)*IF(TypeofResult="Aggregate",Accounts/1000,1)</f>
        <v>111.2040621</v>
      </c>
      <c r="O13" s="72"/>
    </row>
    <row r="14" spans="5:15" ht="19.5" customHeight="1">
      <c r="E14" s="37">
        <v>0.333333333333334</v>
      </c>
      <c r="F14" s="5">
        <f>DGET(DATA,"Reference Load",criteria8)*IF(TypeofResult="Aggregate",Accounts/1000,1)</f>
        <v>768.521565</v>
      </c>
      <c r="G14" s="5">
        <f>DGET(DATA,"Observed Load",criteria8)*IF(TypeofResult="Aggregate",Accounts/1000,1)</f>
        <v>706.1270649</v>
      </c>
      <c r="H14" s="4">
        <f t="shared" si="0"/>
        <v>62.39450009999996</v>
      </c>
      <c r="I14" s="5">
        <f>DGET(DATA,"Temperature",criteria8)</f>
        <v>63.56936</v>
      </c>
      <c r="J14" s="5">
        <f>DGET(DATA,"PCTILE10",criteria8)*IF(TypeofResult="Aggregate",Accounts/1000,1)</f>
        <v>32.75824782</v>
      </c>
      <c r="K14" s="5">
        <f>DGET(DATA,"PCTILE30",criteria8)*IF(TypeofResult="Aggregate",Accounts/1000,1)</f>
        <v>50.267767660000004</v>
      </c>
      <c r="L14" s="5">
        <f>DGET(DATA,"PCTILE50",criteria8)*IF(TypeofResult="Aggregate",Accounts/1000,1)</f>
        <v>62.39479755</v>
      </c>
      <c r="M14" s="5">
        <f>DGET(DATA,"PCTILE70",criteria8)*IF(TypeofResult="Aggregate",Accounts/1000,1)</f>
        <v>74.52186710000001</v>
      </c>
      <c r="N14" s="5">
        <f>DGET(DATA,"PCTILE90",criteria8)*IF(TypeofResult="Aggregate",Accounts/1000,1)</f>
        <v>92.0313605</v>
      </c>
      <c r="O14" s="72"/>
    </row>
    <row r="15" spans="5:15" ht="19.5" customHeight="1">
      <c r="E15" s="37">
        <v>0.375</v>
      </c>
      <c r="F15" s="5">
        <f>DGET(DATA,"Reference Load",criteria9)*IF(TypeofResult="Aggregate",Accounts/1000,1)</f>
        <v>766.7566949999999</v>
      </c>
      <c r="G15" s="5">
        <f>DGET(DATA,"Observed Load",criteria9)*IF(TypeofResult="Aggregate",Accounts/1000,1)</f>
        <v>715.9042464</v>
      </c>
      <c r="H15" s="4">
        <f t="shared" si="0"/>
        <v>50.85244859999989</v>
      </c>
      <c r="I15" s="5">
        <f>DGET(DATA,"Temperature",criteria9)</f>
        <v>67.60844</v>
      </c>
      <c r="J15" s="5">
        <f>DGET(DATA,"PCTILE10",criteria9)*IF(TypeofResult="Aggregate",Accounts/1000,1)</f>
        <v>21.665557340000003</v>
      </c>
      <c r="K15" s="5">
        <f>DGET(DATA,"PCTILE30",criteria9)*IF(TypeofResult="Aggregate",Accounts/1000,1)</f>
        <v>38.909348570000006</v>
      </c>
      <c r="L15" s="5">
        <f>DGET(DATA,"PCTILE50",criteria9)*IF(TypeofResult="Aggregate",Accounts/1000,1)</f>
        <v>50.852342840000006</v>
      </c>
      <c r="M15" s="5">
        <f>DGET(DATA,"PCTILE70",criteria9)*IF(TypeofResult="Aggregate",Accounts/1000,1)</f>
        <v>62.79534372</v>
      </c>
      <c r="N15" s="5">
        <f>DGET(DATA,"PCTILE90",criteria9)*IF(TypeofResult="Aggregate",Accounts/1000,1)</f>
        <v>80.039168</v>
      </c>
      <c r="O15" s="72"/>
    </row>
    <row r="16" spans="5:15" ht="19.5" customHeight="1">
      <c r="E16" s="36">
        <v>0.416666666666667</v>
      </c>
      <c r="F16" s="5">
        <f>DGET(DATA,"Reference Load",criteria10)*IF(TypeofResult="Aggregate",Accounts/1000,1)</f>
        <v>776.5196650000001</v>
      </c>
      <c r="G16" s="5">
        <f>DGET(DATA,"Observed Load",criteria10)*IF(TypeofResult="Aggregate",Accounts/1000,1)</f>
        <v>717.8119585000001</v>
      </c>
      <c r="H16" s="4">
        <f t="shared" si="0"/>
        <v>58.707706500000086</v>
      </c>
      <c r="I16" s="5">
        <f>DGET(DATA,"Temperature",criteria10)</f>
        <v>72.62345</v>
      </c>
      <c r="J16" s="5">
        <f>DGET(DATA,"PCTILE10",criteria10)*IF(TypeofResult="Aggregate",Accounts/1000,1)</f>
        <v>29.49007874</v>
      </c>
      <c r="K16" s="5">
        <f>DGET(DATA,"PCTILE30",criteria10)*IF(TypeofResult="Aggregate",Accounts/1000,1)</f>
        <v>46.75203425</v>
      </c>
      <c r="L16" s="5">
        <f>DGET(DATA,"PCTILE50",criteria10)*IF(TypeofResult="Aggregate",Accounts/1000,1)</f>
        <v>58.70761396</v>
      </c>
      <c r="M16" s="5">
        <f>DGET(DATA,"PCTILE70",criteria10)*IF(TypeofResult="Aggregate",Accounts/1000,1)</f>
        <v>70.6632135</v>
      </c>
      <c r="N16" s="5">
        <f>DGET(DATA,"PCTILE90",criteria10)*IF(TypeofResult="Aggregate",Accounts/1000,1)</f>
        <v>87.92516240000002</v>
      </c>
      <c r="O16" s="72"/>
    </row>
    <row r="17" spans="4:15" ht="19.5" customHeight="1">
      <c r="D17" s="11" t="s">
        <v>24</v>
      </c>
      <c r="E17" s="37">
        <v>0.458333333333334</v>
      </c>
      <c r="F17" s="5">
        <f>DGET(DATA,"Reference Load",criteria11)*IF(TypeofResult="Aggregate",Accounts/1000,1)</f>
        <v>779.299831</v>
      </c>
      <c r="G17" s="5">
        <f>DGET(DATA,"Observed Load",criteria11)*IF(TypeofResult="Aggregate",Accounts/1000,1)</f>
        <v>725.0900973</v>
      </c>
      <c r="H17" s="4">
        <f t="shared" si="0"/>
        <v>54.209733700000015</v>
      </c>
      <c r="I17" s="5">
        <f>DGET(DATA,"Temperature",criteria11)</f>
        <v>76.41775</v>
      </c>
      <c r="J17" s="5">
        <f>DGET(DATA,"PCTILE10",criteria11)*IF(TypeofResult="Aggregate",Accounts/1000,1)</f>
        <v>25.056837670000004</v>
      </c>
      <c r="K17" s="5">
        <f>DGET(DATA,"PCTILE30",criteria11)*IF(TypeofResult="Aggregate",Accounts/1000,1)</f>
        <v>42.28078568</v>
      </c>
      <c r="L17" s="5">
        <f>DGET(DATA,"PCTILE50",criteria11)*IF(TypeofResult="Aggregate",Accounts/1000,1)</f>
        <v>54.21003776</v>
      </c>
      <c r="M17" s="5">
        <f>DGET(DATA,"PCTILE70",criteria11)*IF(TypeofResult="Aggregate",Accounts/1000,1)</f>
        <v>66.1392634</v>
      </c>
      <c r="N17" s="5">
        <f>DGET(DATA,"PCTILE90",criteria11)*IF(TypeofResult="Aggregate",Accounts/1000,1)</f>
        <v>83.3632048</v>
      </c>
      <c r="O17" s="72"/>
    </row>
    <row r="18" spans="5:15" ht="19.5" customHeight="1">
      <c r="E18" s="37">
        <v>0.5</v>
      </c>
      <c r="F18" s="5">
        <f>DGET(DATA,"Reference Load",criteria12)*IF(TypeofResult="Aggregate",Accounts/1000,1)</f>
        <v>774.540631</v>
      </c>
      <c r="G18" s="5">
        <f>DGET(DATA,"Observed Load",criteria12)*IF(TypeofResult="Aggregate",Accounts/1000,1)</f>
        <v>730.8111845</v>
      </c>
      <c r="H18" s="4">
        <f t="shared" si="0"/>
        <v>43.729446499999995</v>
      </c>
      <c r="I18" s="5">
        <f>DGET(DATA,"Temperature",criteria12)</f>
        <v>78.02793</v>
      </c>
      <c r="J18" s="5">
        <f>DGET(DATA,"PCTILE10",criteria12)*IF(TypeofResult="Aggregate",Accounts/1000,1)</f>
        <v>14.67547573</v>
      </c>
      <c r="K18" s="5">
        <f>DGET(DATA,"PCTILE30",criteria12)*IF(TypeofResult="Aggregate",Accounts/1000,1)</f>
        <v>31.84079304</v>
      </c>
      <c r="L18" s="5">
        <f>DGET(DATA,"PCTILE50",criteria12)*IF(TypeofResult="Aggregate",Accounts/1000,1)</f>
        <v>43.72943328</v>
      </c>
      <c r="M18" s="5">
        <f>DGET(DATA,"PCTILE70",criteria12)*IF(TypeofResult="Aggregate",Accounts/1000,1)</f>
        <v>55.61808013</v>
      </c>
      <c r="N18" s="5">
        <f>DGET(DATA,"PCTILE90",criteria12)*IF(TypeofResult="Aggregate",Accounts/1000,1)</f>
        <v>72.783371</v>
      </c>
      <c r="O18" s="72"/>
    </row>
    <row r="19" spans="5:15" ht="19.5" customHeight="1">
      <c r="E19" s="36">
        <v>0.541666666666667</v>
      </c>
      <c r="F19" s="5">
        <f>DGET(DATA,"Reference Load",criteria13)*IF(TypeofResult="Aggregate",Accounts/1000,1)</f>
        <v>767.199565</v>
      </c>
      <c r="G19" s="5">
        <f>DGET(DATA,"Observed Load",criteria13)*IF(TypeofResult="Aggregate",Accounts/1000,1)</f>
        <v>725.2474153000001</v>
      </c>
      <c r="H19" s="4">
        <f t="shared" si="0"/>
        <v>41.95214969999995</v>
      </c>
      <c r="I19" s="5">
        <f>DGET(DATA,"Temperature",criteria13)</f>
        <v>79.4841</v>
      </c>
      <c r="J19" s="5">
        <f>DGET(DATA,"PCTILE10",criteria13)*IF(TypeofResult="Aggregate",Accounts/1000,1)</f>
        <v>12.896361180000001</v>
      </c>
      <c r="K19" s="5">
        <f>DGET(DATA,"PCTILE30",criteria13)*IF(TypeofResult="Aggregate",Accounts/1000,1)</f>
        <v>30.06261711</v>
      </c>
      <c r="L19" s="5">
        <f>DGET(DATA,"PCTILE50",criteria13)*IF(TypeofResult="Aggregate",Accounts/1000,1)</f>
        <v>41.95191835000001</v>
      </c>
      <c r="M19" s="5">
        <f>DGET(DATA,"PCTILE70",criteria13)*IF(TypeofResult="Aggregate",Accounts/1000,1)</f>
        <v>53.84121959</v>
      </c>
      <c r="N19" s="5">
        <f>DGET(DATA,"PCTILE90",criteria13)*IF(TypeofResult="Aggregate",Accounts/1000,1)</f>
        <v>71.0074623</v>
      </c>
      <c r="O19" s="72"/>
    </row>
    <row r="20" spans="5:15" ht="19.5" customHeight="1">
      <c r="E20" s="37">
        <v>0.583333333333334</v>
      </c>
      <c r="F20" s="5">
        <f>DGET(DATA,"Reference Load",criteria14)*IF(TypeofResult="Aggregate",Accounts/1000,1)</f>
        <v>765.3798320000001</v>
      </c>
      <c r="G20" s="5">
        <f>DGET(DATA,"Observed Load",criteria14)*IF(TypeofResult="Aggregate",Accounts/1000,1)</f>
        <v>709.9256336</v>
      </c>
      <c r="H20" s="4">
        <f t="shared" si="0"/>
        <v>55.45419840000011</v>
      </c>
      <c r="I20" s="5">
        <f>DGET(DATA,"Temperature",criteria14)</f>
        <v>80.00747</v>
      </c>
      <c r="J20" s="5">
        <f>DGET(DATA,"PCTILE10",criteria14)*IF(TypeofResult="Aggregate",Accounts/1000,1)</f>
        <v>26.408219120000002</v>
      </c>
      <c r="K20" s="5">
        <f>DGET(DATA,"PCTILE30",criteria14)*IF(TypeofResult="Aggregate",Accounts/1000,1)</f>
        <v>43.568942480000004</v>
      </c>
      <c r="L20" s="5">
        <f>DGET(DATA,"PCTILE50",criteria14)*IF(TypeofResult="Aggregate",Accounts/1000,1)</f>
        <v>55.45440992000001</v>
      </c>
      <c r="M20" s="5">
        <f>DGET(DATA,"PCTILE70",criteria14)*IF(TypeofResult="Aggregate",Accounts/1000,1)</f>
        <v>67.3399038</v>
      </c>
      <c r="N20" s="5">
        <f>DGET(DATA,"PCTILE90",criteria14)*IF(TypeofResult="Aggregate",Accounts/1000,1)</f>
        <v>84.50058750000001</v>
      </c>
      <c r="O20" s="72"/>
    </row>
    <row r="21" spans="1:15" ht="19.5" customHeight="1">
      <c r="A21" s="101"/>
      <c r="B21" s="101"/>
      <c r="E21" s="104">
        <v>0.625</v>
      </c>
      <c r="F21" s="105">
        <f>DGET(DATA,"Reference Load",criteria15)*IF(TypeofResult="Aggregate",Accounts/1000,1)</f>
        <v>757.7783320000001</v>
      </c>
      <c r="G21" s="105">
        <f>DGET(DATA,"Observed Load",criteria15)*IF(TypeofResult="Aggregate",Accounts/1000,1)</f>
        <v>309.0457908</v>
      </c>
      <c r="H21" s="106">
        <f t="shared" si="0"/>
        <v>448.73254120000007</v>
      </c>
      <c r="I21" s="105">
        <f>DGET(DATA,"Temperature",criteria15)</f>
        <v>79.0129</v>
      </c>
      <c r="J21" s="105">
        <f>DGET(DATA,"PCTILE10",criteria15)*IF(TypeofResult="Aggregate",Accounts/1000,1)</f>
        <v>419.6599104</v>
      </c>
      <c r="K21" s="105">
        <f>DGET(DATA,"PCTILE30",criteria15)*IF(TypeofResult="Aggregate",Accounts/1000,1)</f>
        <v>436.8363259</v>
      </c>
      <c r="L21" s="105">
        <f>DGET(DATA,"PCTILE50",criteria15)*IF(TypeofResult="Aggregate",Accounts/1000,1)</f>
        <v>448.73267340000007</v>
      </c>
      <c r="M21" s="105">
        <f>DGET(DATA,"PCTILE70",criteria15)*IF(TypeofResult="Aggregate",Accounts/1000,1)</f>
        <v>460.6290209</v>
      </c>
      <c r="N21" s="105">
        <f>DGET(DATA,"PCTILE90",criteria15)*IF(TypeofResult="Aggregate",Accounts/1000,1)</f>
        <v>477.8055025</v>
      </c>
      <c r="O21" s="72"/>
    </row>
    <row r="22" spans="1:15" ht="19.5" customHeight="1">
      <c r="A22" s="101"/>
      <c r="B22" s="101"/>
      <c r="E22" s="104">
        <v>0.666666666666667</v>
      </c>
      <c r="F22" s="105">
        <f>DGET(DATA,"Reference Load",criteria16)*IF(TypeofResult="Aggregate",Accounts/1000,1)</f>
        <v>744.243035</v>
      </c>
      <c r="G22" s="105">
        <f>DGET(DATA,"Observed Load",criteria16)*IF(TypeofResult="Aggregate",Accounts/1000,1)</f>
        <v>148.57605687</v>
      </c>
      <c r="H22" s="106">
        <f t="shared" si="0"/>
        <v>595.66697813</v>
      </c>
      <c r="I22" s="105">
        <f>DGET(DATA,"Temperature",criteria16)</f>
        <v>77.55831</v>
      </c>
      <c r="J22" s="105">
        <f>DGET(DATA,"PCTILE10",criteria16)*IF(TypeofResult="Aggregate",Accounts/1000,1)</f>
        <v>566.6310791000001</v>
      </c>
      <c r="K22" s="105">
        <f>DGET(DATA,"PCTILE30",criteria16)*IF(TypeofResult="Aggregate",Accounts/1000,1)</f>
        <v>583.7858798999999</v>
      </c>
      <c r="L22" s="105">
        <f>DGET(DATA,"PCTILE50",criteria16)*IF(TypeofResult="Aggregate",Accounts/1000,1)</f>
        <v>595.6672888</v>
      </c>
      <c r="M22" s="105">
        <f>DGET(DATA,"PCTILE70",criteria16)*IF(TypeofResult="Aggregate",Accounts/1000,1)</f>
        <v>607.5486316</v>
      </c>
      <c r="N22" s="105">
        <f>DGET(DATA,"PCTILE90",criteria16)*IF(TypeofResult="Aggregate",Accounts/1000,1)</f>
        <v>624.7034324</v>
      </c>
      <c r="O22" s="72"/>
    </row>
    <row r="23" spans="1:15" ht="19.5" customHeight="1">
      <c r="A23" s="101"/>
      <c r="B23" s="101"/>
      <c r="E23" s="37">
        <v>0.708333333333334</v>
      </c>
      <c r="F23" s="5">
        <f>DGET(DATA,"Reference Load",criteria17)*IF(TypeofResult="Aggregate",Accounts/1000,1)</f>
        <v>732.358255</v>
      </c>
      <c r="G23" s="5">
        <f>DGET(DATA,"Observed Load",criteria17)*IF(TypeofResult="Aggregate",Accounts/1000,1)</f>
        <v>325.69331376</v>
      </c>
      <c r="H23" s="4">
        <f t="shared" si="0"/>
        <v>406.66494123999996</v>
      </c>
      <c r="I23" s="5">
        <f>DGET(DATA,"Temperature",criteria17)</f>
        <v>74.8718</v>
      </c>
      <c r="J23" s="5">
        <f>DGET(DATA,"PCTILE10",criteria17)*IF(TypeofResult="Aggregate",Accounts/1000,1)</f>
        <v>377.57972500000005</v>
      </c>
      <c r="K23" s="5">
        <f>DGET(DATA,"PCTILE30",criteria17)*IF(TypeofResult="Aggregate",Accounts/1000,1)</f>
        <v>394.7634776</v>
      </c>
      <c r="L23" s="5">
        <f>DGET(DATA,"PCTILE50",criteria17)*IF(TypeofResult="Aggregate",Accounts/1000,1)</f>
        <v>406.6649148</v>
      </c>
      <c r="M23" s="5">
        <f>DGET(DATA,"PCTILE70",criteria17)*IF(TypeofResult="Aggregate",Accounts/1000,1)</f>
        <v>418.566352</v>
      </c>
      <c r="N23" s="5">
        <f>DGET(DATA,"PCTILE90",criteria17)*IF(TypeofResult="Aggregate",Accounts/1000,1)</f>
        <v>435.75010460000004</v>
      </c>
      <c r="O23" s="72"/>
    </row>
    <row r="24" spans="4:15" ht="19.5" customHeight="1">
      <c r="D24" s="40"/>
      <c r="E24" s="37">
        <v>0.75</v>
      </c>
      <c r="F24" s="5">
        <f>DGET(DATA,"Reference Load",criteria18)*IF(TypeofResult="Aggregate",Accounts/1000,1)</f>
        <v>718.156009</v>
      </c>
      <c r="G24" s="5">
        <f>DGET(DATA,"Observed Load",criteria18)*IF(TypeofResult="Aggregate",Accounts/1000,1)</f>
        <v>501.27744725</v>
      </c>
      <c r="H24" s="4">
        <f t="shared" si="0"/>
        <v>216.87856175000002</v>
      </c>
      <c r="I24" s="5">
        <f>DGET(DATA,"Temperature",criteria18)</f>
        <v>72.12068</v>
      </c>
      <c r="J24" s="5">
        <f>DGET(DATA,"PCTILE10",criteria18)*IF(TypeofResult="Aggregate",Accounts/1000,1)</f>
        <v>187.8134994</v>
      </c>
      <c r="K24" s="5">
        <f>DGET(DATA,"PCTILE30",criteria18)*IF(TypeofResult="Aggregate",Accounts/1000,1)</f>
        <v>204.9852879</v>
      </c>
      <c r="L24" s="5">
        <f>DGET(DATA,"PCTILE50",criteria18)*IF(TypeofResult="Aggregate",Accounts/1000,1)</f>
        <v>216.8783965</v>
      </c>
      <c r="M24" s="5">
        <f>DGET(DATA,"PCTILE70",criteria18)*IF(TypeofResult="Aggregate",Accounts/1000,1)</f>
        <v>228.7715051</v>
      </c>
      <c r="N24" s="5">
        <f>DGET(DATA,"PCTILE90",criteria18)*IF(TypeofResult="Aggregate",Accounts/1000,1)</f>
        <v>245.94329360000003</v>
      </c>
      <c r="O24" s="72"/>
    </row>
    <row r="25" spans="1:15" ht="19.5" customHeight="1">
      <c r="A25" s="71"/>
      <c r="B25" s="71"/>
      <c r="D25" s="40"/>
      <c r="E25" s="36">
        <v>0.791666666666667</v>
      </c>
      <c r="F25" s="5">
        <f>DGET(DATA,"Reference Load",criteria19)*IF(TypeofResult="Aggregate",Accounts/1000,1)</f>
        <v>718.661013</v>
      </c>
      <c r="G25" s="5">
        <f>DGET(DATA,"Observed Load",criteria19)*IF(TypeofResult="Aggregate",Accounts/1000,1)</f>
        <v>561.43774091</v>
      </c>
      <c r="H25" s="4">
        <f t="shared" si="0"/>
        <v>157.22327209000002</v>
      </c>
      <c r="I25" s="5">
        <f>DGET(DATA,"Temperature",criteria19)</f>
        <v>69.50884</v>
      </c>
      <c r="J25" s="5">
        <f>DGET(DATA,"PCTILE10",criteria19)*IF(TypeofResult="Aggregate",Accounts/1000,1)</f>
        <v>128.1180606</v>
      </c>
      <c r="K25" s="5">
        <f>DGET(DATA,"PCTILE30",criteria19)*IF(TypeofResult="Aggregate",Accounts/1000,1)</f>
        <v>145.3135129</v>
      </c>
      <c r="L25" s="5">
        <f>DGET(DATA,"PCTILE50",criteria19)*IF(TypeofResult="Aggregate",Accounts/1000,1)</f>
        <v>157.22308040000001</v>
      </c>
      <c r="M25" s="5">
        <f>DGET(DATA,"PCTILE70",criteria19)*IF(TypeofResult="Aggregate",Accounts/1000,1)</f>
        <v>169.1325818</v>
      </c>
      <c r="N25" s="5">
        <f>DGET(DATA,"PCTILE90",criteria19)*IF(TypeofResult="Aggregate",Accounts/1000,1)</f>
        <v>186.32803410000002</v>
      </c>
      <c r="O25" s="72"/>
    </row>
    <row r="26" spans="2:15" ht="19.5" customHeight="1">
      <c r="B26" s="71"/>
      <c r="D26" s="40"/>
      <c r="E26" s="37">
        <v>0.833333333333334</v>
      </c>
      <c r="F26" s="5">
        <f>DGET(DATA,"Reference Load",criteria20)*IF(TypeofResult="Aggregate",Accounts/1000,1)</f>
        <v>720.108603</v>
      </c>
      <c r="G26" s="5">
        <f>DGET(DATA,"Observed Load",criteria20)*IF(TypeofResult="Aggregate",Accounts/1000,1)</f>
        <v>587.48461116</v>
      </c>
      <c r="H26" s="4">
        <f t="shared" si="0"/>
        <v>132.62399184000003</v>
      </c>
      <c r="I26" s="5">
        <f>DGET(DATA,"Temperature",criteria20)</f>
        <v>67.99106</v>
      </c>
      <c r="J26" s="5">
        <f>DGET(DATA,"PCTILE10",criteria20)*IF(TypeofResult="Aggregate",Accounts/1000,1)</f>
        <v>103.52958770000001</v>
      </c>
      <c r="K26" s="5">
        <f>DGET(DATA,"PCTILE30",criteria20)*IF(TypeofResult="Aggregate",Accounts/1000,1)</f>
        <v>120.71876050000002</v>
      </c>
      <c r="L26" s="5">
        <f>DGET(DATA,"PCTILE50",criteria20)*IF(TypeofResult="Aggregate",Accounts/1000,1)</f>
        <v>132.6238993</v>
      </c>
      <c r="M26" s="5">
        <f>DGET(DATA,"PCTILE70",criteria20)*IF(TypeofResult="Aggregate",Accounts/1000,1)</f>
        <v>144.5290381</v>
      </c>
      <c r="N26" s="5">
        <f>DGET(DATA,"PCTILE90",criteria20)*IF(TypeofResult="Aggregate",Accounts/1000,1)</f>
        <v>161.7182109</v>
      </c>
      <c r="O26" s="72"/>
    </row>
    <row r="27" spans="1:15" ht="19.5" customHeight="1">
      <c r="A27" s="71"/>
      <c r="B27" s="71"/>
      <c r="E27" s="37">
        <v>0.875</v>
      </c>
      <c r="F27" s="5">
        <f>DGET(DATA,"Reference Load",criteria21)*IF(TypeofResult="Aggregate",Accounts/1000,1)</f>
        <v>721.1483560000001</v>
      </c>
      <c r="G27" s="5">
        <f>DGET(DATA,"Observed Load",criteria21)*IF(TypeofResult="Aggregate",Accounts/1000,1)</f>
        <v>598.5801439400001</v>
      </c>
      <c r="H27" s="4">
        <f t="shared" si="0"/>
        <v>122.56821206000006</v>
      </c>
      <c r="I27" s="5">
        <f>DGET(DATA,"Temperature",criteria21)</f>
        <v>66.3652</v>
      </c>
      <c r="J27" s="5">
        <f>DGET(DATA,"PCTILE10",criteria21)*IF(TypeofResult="Aggregate",Accounts/1000,1)</f>
        <v>93.28891300000001</v>
      </c>
      <c r="K27" s="5">
        <f>DGET(DATA,"PCTILE30",criteria21)*IF(TypeofResult="Aggregate",Accounts/1000,1)</f>
        <v>110.5875474</v>
      </c>
      <c r="L27" s="5">
        <f>DGET(DATA,"PCTILE50",criteria21)*IF(TypeofResult="Aggregate",Accounts/1000,1)</f>
        <v>122.5685029</v>
      </c>
      <c r="M27" s="5">
        <f>DGET(DATA,"PCTILE70",criteria21)*IF(TypeofResult="Aggregate",Accounts/1000,1)</f>
        <v>134.5494584</v>
      </c>
      <c r="N27" s="5">
        <f>DGET(DATA,"PCTILE90",criteria21)*IF(TypeofResult="Aggregate",Accounts/1000,1)</f>
        <v>151.8480928</v>
      </c>
      <c r="O27" s="72"/>
    </row>
    <row r="28" spans="1:15" ht="19.5" customHeight="1">
      <c r="A28" s="71"/>
      <c r="B28" s="71"/>
      <c r="E28" s="36">
        <v>0.916666666666667</v>
      </c>
      <c r="F28" s="5">
        <f>DGET(DATA,"Reference Load",criteria22)*IF(TypeofResult="Aggregate",Accounts/1000,1)</f>
        <v>713.12646</v>
      </c>
      <c r="G28" s="5">
        <f>DGET(DATA,"Observed Load",criteria22)*IF(TypeofResult="Aggregate",Accounts/1000,1)</f>
        <v>609.8154385600001</v>
      </c>
      <c r="H28" s="4">
        <f t="shared" si="0"/>
        <v>103.31102143999988</v>
      </c>
      <c r="I28" s="5">
        <f>DGET(DATA,"Temperature",criteria22)</f>
        <v>65.46286</v>
      </c>
      <c r="J28" s="5">
        <f>DGET(DATA,"PCTILE10",criteria22)*IF(TypeofResult="Aggregate",Accounts/1000,1)</f>
        <v>74.0225477</v>
      </c>
      <c r="K28" s="5">
        <f>DGET(DATA,"PCTILE30",criteria22)*IF(TypeofResult="Aggregate",Accounts/1000,1)</f>
        <v>91.32633790000001</v>
      </c>
      <c r="L28" s="5">
        <f>DGET(DATA,"PCTILE50",criteria22)*IF(TypeofResult="Aggregate",Accounts/1000,1)</f>
        <v>103.31092890000001</v>
      </c>
      <c r="M28" s="5">
        <f>DGET(DATA,"PCTILE70",criteria22)*IF(TypeofResult="Aggregate",Accounts/1000,1)</f>
        <v>115.29551990000002</v>
      </c>
      <c r="N28" s="5">
        <f>DGET(DATA,"PCTILE90",criteria22)*IF(TypeofResult="Aggregate",Accounts/1000,1)</f>
        <v>132.5993101</v>
      </c>
      <c r="O28" s="72"/>
    </row>
    <row r="29" spans="1:15" ht="19.5" customHeight="1">
      <c r="A29" s="71"/>
      <c r="B29" s="71"/>
      <c r="E29" s="37">
        <v>0.958333333333334</v>
      </c>
      <c r="F29" s="5">
        <f>DGET(DATA,"Reference Load",criteria23)*IF(TypeofResult="Aggregate",Accounts/1000,1)</f>
        <v>736.2112240000001</v>
      </c>
      <c r="G29" s="5">
        <f>DGET(DATA,"Observed Load",criteria23)*IF(TypeofResult="Aggregate",Accounts/1000,1)</f>
        <v>655.56802098</v>
      </c>
      <c r="H29" s="4">
        <f t="shared" si="0"/>
        <v>80.6432030200001</v>
      </c>
      <c r="I29" s="5">
        <f>DGET(DATA,"Temperature",criteria23)</f>
        <v>64.50697</v>
      </c>
      <c r="J29" s="5">
        <f>DGET(DATA,"PCTILE10",criteria23)*IF(TypeofResult="Aggregate",Accounts/1000,1)</f>
        <v>51.03892331</v>
      </c>
      <c r="K29" s="5">
        <f>DGET(DATA,"PCTILE30",criteria23)*IF(TypeofResult="Aggregate",Accounts/1000,1)</f>
        <v>68.5294394</v>
      </c>
      <c r="L29" s="5">
        <f>DGET(DATA,"PCTILE50",criteria23)*IF(TypeofResult="Aggregate",Accounts/1000,1)</f>
        <v>80.643322</v>
      </c>
      <c r="M29" s="5">
        <f>DGET(DATA,"PCTILE70",criteria23)*IF(TypeofResult="Aggregate",Accounts/1000,1)</f>
        <v>92.7572046</v>
      </c>
      <c r="N29" s="5">
        <f>DGET(DATA,"PCTILE90",criteria23)*IF(TypeofResult="Aggregate",Accounts/1000,1)</f>
        <v>110.24772730000001</v>
      </c>
      <c r="O29" s="72"/>
    </row>
    <row r="30" spans="1:15" ht="19.5" customHeight="1">
      <c r="A30" s="101"/>
      <c r="B30" s="101"/>
      <c r="E30" s="37">
        <v>1</v>
      </c>
      <c r="F30" s="5">
        <f>DGET(DATA,"Reference Load",criteria24)*IF(TypeofResult="Aggregate",Accounts/1000,1)</f>
        <v>736.121989</v>
      </c>
      <c r="G30" s="5">
        <f>DGET(DATA,"Observed Load",criteria24)*IF(TypeofResult="Aggregate",Accounts/1000,1)</f>
        <v>658.4100698000001</v>
      </c>
      <c r="H30" s="4">
        <f t="shared" si="0"/>
        <v>77.7119191999999</v>
      </c>
      <c r="I30" s="5">
        <f>DGET(DATA,"Temperature",criteria24)</f>
        <v>64.08939</v>
      </c>
      <c r="J30" s="5">
        <f>DGET(DATA,"PCTILE10",criteria24)*IF(TypeofResult="Aggregate",Accounts/1000,1)</f>
        <v>48.210550579999996</v>
      </c>
      <c r="K30" s="5">
        <f>DGET(DATA,"PCTILE30",criteria24)*IF(TypeofResult="Aggregate",Accounts/1000,1)</f>
        <v>65.64002332</v>
      </c>
      <c r="L30" s="5">
        <f>DGET(DATA,"PCTILE50",criteria24)*IF(TypeofResult="Aggregate",Accounts/1000,1)</f>
        <v>77.7116548</v>
      </c>
      <c r="M30" s="5">
        <f>DGET(DATA,"PCTILE70",criteria24)*IF(TypeofResult="Aggregate",Accounts/1000,1)</f>
        <v>89.7832334</v>
      </c>
      <c r="N30" s="5">
        <f>DGET(DATA,"PCTILE90",criteria24)*IF(TypeofResult="Aggregate",Accounts/1000,1)</f>
        <v>107.21274580000001</v>
      </c>
      <c r="O30" s="72"/>
    </row>
    <row r="31" spans="1:14" ht="26.25" customHeight="1">
      <c r="A31" s="101"/>
      <c r="B31" s="101"/>
      <c r="E31" s="42"/>
      <c r="F31" s="102" t="str">
        <f>IF(TypeofResult="Aggregate","Reference Energy Use (MWh)","Reference Energy Use (kWh)")</f>
        <v>Reference Energy Use (MWh)</v>
      </c>
      <c r="G31" s="102" t="str">
        <f>IF(TypeofResult="Aggregate","Energy Use with DR (MWh)","Energy Use with DR (kWh)")</f>
        <v>Energy Use with DR (MWh)</v>
      </c>
      <c r="H31" s="102" t="str">
        <f>IF(TypeofResult="Aggregate","Change in Energy Use (MWh)","Change in Energy Use (kWh)")</f>
        <v>Change in Energy Use (MWh)</v>
      </c>
      <c r="I31" s="102" t="s">
        <v>36</v>
      </c>
      <c r="J31" s="43" t="s">
        <v>17</v>
      </c>
      <c r="K31" s="44"/>
      <c r="L31" s="44"/>
      <c r="M31" s="44"/>
      <c r="N31" s="45"/>
    </row>
    <row r="32" spans="5:14" ht="26.25" customHeight="1">
      <c r="E32" s="32"/>
      <c r="F32" s="103"/>
      <c r="G32" s="103"/>
      <c r="H32" s="103"/>
      <c r="I32" s="103"/>
      <c r="J32" s="33" t="s">
        <v>19</v>
      </c>
      <c r="K32" s="33" t="s">
        <v>20</v>
      </c>
      <c r="L32" s="33" t="s">
        <v>21</v>
      </c>
      <c r="M32" s="33" t="s">
        <v>22</v>
      </c>
      <c r="N32" s="34" t="s">
        <v>23</v>
      </c>
    </row>
    <row r="33" spans="3:18" ht="24.75" customHeight="1">
      <c r="C33" s="41"/>
      <c r="E33" s="46" t="s">
        <v>25</v>
      </c>
      <c r="F33" s="47">
        <f>SUM(F7:F30)</f>
        <v>17745.157086</v>
      </c>
      <c r="G33" s="6">
        <f>SUM(G7:G30)</f>
        <v>14786.375090930002</v>
      </c>
      <c r="H33" s="6">
        <f>F33-G33</f>
        <v>2958.7819950699977</v>
      </c>
      <c r="I33" s="6">
        <f>SUM(LOOKUP!K3:K26)</f>
        <v>60.12438999999999</v>
      </c>
      <c r="J33" s="85">
        <f>NORMINV(0.1,$H$33,LOOKUP!$L$27)</f>
        <v>2815.0766535209746</v>
      </c>
      <c r="K33" s="85">
        <f>NORMINV(0.3,$H$33,LOOKUP!$L$27)</f>
        <v>2899.978934145042</v>
      </c>
      <c r="L33" s="85">
        <f>NORMINV(0.5,$H$33,LOOKUP!$L$27)</f>
        <v>2958.7819950699977</v>
      </c>
      <c r="M33" s="85">
        <f>NORMINV(0.7,$H$33,LOOKUP!$L$27)</f>
        <v>3017.5850559949536</v>
      </c>
      <c r="N33" s="86">
        <f>NORMINV(0.9,$H$33,LOOKUP!$L$27)</f>
        <v>3102.487336619021</v>
      </c>
      <c r="R33" s="48"/>
    </row>
    <row r="34" spans="3:14" ht="7.5" customHeight="1" thickBot="1">
      <c r="C34" s="41"/>
      <c r="D34" s="49"/>
      <c r="E34" s="50"/>
      <c r="F34" s="51"/>
      <c r="G34" s="52"/>
      <c r="H34" s="53"/>
      <c r="I34" s="7"/>
      <c r="J34" s="53"/>
      <c r="K34" s="53"/>
      <c r="L34" s="53"/>
      <c r="M34" s="53"/>
      <c r="N34" s="54"/>
    </row>
    <row r="35" spans="8:14" ht="15.75" customHeight="1">
      <c r="H35" s="81"/>
      <c r="I35" s="8"/>
      <c r="J35" s="55"/>
      <c r="K35" s="55"/>
      <c r="L35" s="55"/>
      <c r="M35" s="55"/>
      <c r="N35" s="55"/>
    </row>
    <row r="36" spans="5:14" ht="12.75" customHeight="1">
      <c r="E36" s="56"/>
      <c r="F36" s="21"/>
      <c r="G36" s="21"/>
      <c r="H36" s="55"/>
      <c r="I36" s="8"/>
      <c r="J36" s="55"/>
      <c r="K36" s="55"/>
      <c r="L36" s="55"/>
      <c r="M36" s="55"/>
      <c r="N36" s="55"/>
    </row>
    <row r="37" spans="16:17" ht="12.75" customHeight="1">
      <c r="P37" s="57"/>
      <c r="Q37" s="58"/>
    </row>
    <row r="38" spans="4:17" ht="12.75" customHeight="1">
      <c r="D38" s="40"/>
      <c r="P38" s="60"/>
      <c r="Q38" s="60"/>
    </row>
    <row r="39" spans="1:17" ht="12.75">
      <c r="A39" s="20"/>
      <c r="B39" s="20"/>
      <c r="D39" s="40"/>
      <c r="P39" s="61"/>
      <c r="Q39" s="61"/>
    </row>
    <row r="40" spans="1:17" ht="12.75">
      <c r="A40" s="20"/>
      <c r="B40" s="20"/>
      <c r="D40" s="40"/>
      <c r="P40" s="61"/>
      <c r="Q40" s="61"/>
    </row>
    <row r="41" spans="1:5" ht="12.75">
      <c r="A41" s="20"/>
      <c r="B41" s="20"/>
      <c r="D41" s="40"/>
      <c r="E41" s="40"/>
    </row>
    <row r="42" spans="1:5" ht="12.75">
      <c r="A42" s="62"/>
      <c r="B42" s="62"/>
      <c r="E42" s="40"/>
    </row>
    <row r="43" spans="1:5" ht="15">
      <c r="A43" s="63"/>
      <c r="B43" s="64"/>
      <c r="D43" s="40"/>
      <c r="E43" s="40"/>
    </row>
    <row r="44" spans="1:5" ht="12.75">
      <c r="A44" s="65"/>
      <c r="B44" s="66"/>
      <c r="E44" s="40"/>
    </row>
    <row r="45" spans="1:2" ht="15">
      <c r="A45" s="63"/>
      <c r="B45" s="64"/>
    </row>
    <row r="46" spans="1:5" ht="15">
      <c r="A46" s="63"/>
      <c r="B46" s="64"/>
      <c r="E46" s="40"/>
    </row>
    <row r="47" spans="1:4" ht="12.75">
      <c r="A47" s="62"/>
      <c r="B47" s="62"/>
      <c r="D47" s="20"/>
    </row>
    <row r="48" spans="1:4" ht="12.75">
      <c r="A48" s="62"/>
      <c r="B48" s="62"/>
      <c r="D48" s="20"/>
    </row>
    <row r="49" spans="1:4" ht="15">
      <c r="A49" s="63"/>
      <c r="B49" s="67"/>
      <c r="D49" s="20"/>
    </row>
    <row r="50" spans="1:5" ht="14.25">
      <c r="A50" s="56"/>
      <c r="B50" s="66"/>
      <c r="C50" s="20"/>
      <c r="D50" s="20"/>
      <c r="E50" s="20"/>
    </row>
    <row r="51" spans="1:5" ht="14.25">
      <c r="A51" s="63"/>
      <c r="B51" s="68"/>
      <c r="C51" s="20"/>
      <c r="D51" s="20"/>
      <c r="E51" s="20"/>
    </row>
    <row r="52" spans="1:5" ht="12.75">
      <c r="A52" s="62"/>
      <c r="B52" s="62"/>
      <c r="C52" s="20"/>
      <c r="E52" s="20"/>
    </row>
    <row r="53" spans="1:5" ht="12.75">
      <c r="A53" s="20"/>
      <c r="B53" s="20"/>
      <c r="C53" s="20"/>
      <c r="E53" s="20"/>
    </row>
    <row r="54" spans="1:5" ht="12.75">
      <c r="A54" s="20"/>
      <c r="B54" s="20"/>
      <c r="C54" s="20"/>
      <c r="E54" s="20"/>
    </row>
    <row r="55" spans="1:3" ht="12.75">
      <c r="A55" s="20"/>
      <c r="B55" s="20"/>
      <c r="C55" s="20"/>
    </row>
    <row r="56" spans="1:3" ht="12.75">
      <c r="A56" s="20"/>
      <c r="B56" s="20"/>
      <c r="C56" s="20"/>
    </row>
    <row r="57" spans="1:3" ht="12.75">
      <c r="A57" s="20"/>
      <c r="B57" s="20"/>
      <c r="C57" s="20"/>
    </row>
    <row r="58" ht="12.75">
      <c r="C58" s="20"/>
    </row>
    <row r="59" ht="12.75">
      <c r="C59" s="20"/>
    </row>
    <row r="60" ht="12.75">
      <c r="C60" s="20"/>
    </row>
    <row r="61" ht="12.75">
      <c r="C61" s="20"/>
    </row>
    <row r="62" ht="12.75">
      <c r="C62" s="20"/>
    </row>
    <row r="63" ht="12.75">
      <c r="C63" s="20"/>
    </row>
    <row r="64" ht="12.75">
      <c r="C64" s="20"/>
    </row>
    <row r="65" ht="12.75">
      <c r="C65" s="20"/>
    </row>
    <row r="66" ht="12.75">
      <c r="C66" s="20"/>
    </row>
    <row r="67" ht="12.75">
      <c r="C67" s="20"/>
    </row>
    <row r="68" ht="12.75">
      <c r="C68" s="20"/>
    </row>
    <row r="70" ht="12.75">
      <c r="C70" s="62"/>
    </row>
    <row r="71" ht="12.75">
      <c r="C71" s="38"/>
    </row>
    <row r="72" ht="12.75">
      <c r="C72" s="62"/>
    </row>
    <row r="73" ht="12.75">
      <c r="C73" s="62"/>
    </row>
    <row r="74" ht="12.75">
      <c r="C74" s="38"/>
    </row>
    <row r="75" ht="12.75">
      <c r="C75" s="62"/>
    </row>
    <row r="76" ht="12.75">
      <c r="C76" s="62"/>
    </row>
    <row r="77" ht="12.75">
      <c r="C77" s="38"/>
    </row>
    <row r="78" ht="12.75">
      <c r="C78" s="62"/>
    </row>
    <row r="79" ht="12.75">
      <c r="C79" s="62"/>
    </row>
    <row r="80" ht="12.75">
      <c r="C80" s="38"/>
    </row>
    <row r="81" ht="12.75">
      <c r="C81" s="62"/>
    </row>
    <row r="82" ht="12.75">
      <c r="C82" s="62"/>
    </row>
    <row r="83" ht="12.75">
      <c r="C83" s="38"/>
    </row>
    <row r="84" ht="12.75">
      <c r="C84" s="62"/>
    </row>
    <row r="85" ht="12.75">
      <c r="C85" s="62"/>
    </row>
    <row r="86" ht="12.75">
      <c r="C86" s="38"/>
    </row>
    <row r="87" ht="12.75">
      <c r="C87" s="62"/>
    </row>
    <row r="88" ht="12.75">
      <c r="C88" s="62"/>
    </row>
    <row r="89" ht="12.75">
      <c r="C89" s="38"/>
    </row>
    <row r="90" ht="12.75">
      <c r="C90" s="62"/>
    </row>
    <row r="91" ht="12.75">
      <c r="C91" s="62"/>
    </row>
    <row r="92" ht="12.75">
      <c r="C92" s="38"/>
    </row>
    <row r="93" ht="12.75">
      <c r="C93" s="62"/>
    </row>
    <row r="94" ht="12.75">
      <c r="C94" s="62"/>
    </row>
    <row r="95" ht="12.75">
      <c r="C95" s="38"/>
    </row>
    <row r="96" ht="12.75">
      <c r="C96" s="62"/>
    </row>
    <row r="97" ht="12.75">
      <c r="C97" s="62"/>
    </row>
    <row r="98" ht="12.75">
      <c r="C98" s="38"/>
    </row>
    <row r="99" ht="12.75">
      <c r="C99" s="62"/>
    </row>
    <row r="100" ht="12.75">
      <c r="C100" s="62"/>
    </row>
    <row r="101" ht="12.75">
      <c r="C101" s="38"/>
    </row>
    <row r="102" ht="12.75">
      <c r="C102" s="62"/>
    </row>
    <row r="103" ht="12.75">
      <c r="C103" s="62"/>
    </row>
    <row r="104" ht="12.75">
      <c r="C104" s="38"/>
    </row>
    <row r="105" ht="12.75">
      <c r="C105" s="62"/>
    </row>
    <row r="106" ht="12.75">
      <c r="C106" s="62"/>
    </row>
    <row r="107" ht="12.75">
      <c r="C107" s="38"/>
    </row>
    <row r="108" ht="12.75">
      <c r="C108" s="62"/>
    </row>
    <row r="109" ht="12.75">
      <c r="C109" s="62"/>
    </row>
    <row r="110" ht="12.75">
      <c r="C110" s="38"/>
    </row>
    <row r="111" ht="12.75">
      <c r="C111" s="62"/>
    </row>
    <row r="112" ht="12.75">
      <c r="C112" s="62"/>
    </row>
    <row r="113" ht="12.75">
      <c r="C113" s="38"/>
    </row>
    <row r="114" ht="12.75">
      <c r="C114" s="62"/>
    </row>
    <row r="115" ht="12.75">
      <c r="C115" s="62"/>
    </row>
    <row r="116" ht="12.75">
      <c r="C116" s="38"/>
    </row>
    <row r="117" ht="12.75">
      <c r="C117" s="62"/>
    </row>
    <row r="118" ht="12.75">
      <c r="C118" s="62"/>
    </row>
    <row r="119" ht="12.75">
      <c r="C119" s="38"/>
    </row>
  </sheetData>
  <sheetProtection/>
  <protectedRanges>
    <protectedRange sqref="B49 B45:B46 B10:B11 B7:B8" name="INPUT CELLS"/>
  </protectedRanges>
  <mergeCells count="11">
    <mergeCell ref="I31:I32"/>
    <mergeCell ref="F31:F32"/>
    <mergeCell ref="G31:G32"/>
    <mergeCell ref="H31:H32"/>
    <mergeCell ref="A30:B31"/>
    <mergeCell ref="F5:F6"/>
    <mergeCell ref="G5:G6"/>
    <mergeCell ref="I5:I6"/>
    <mergeCell ref="E5:E6"/>
    <mergeCell ref="H5:H6"/>
    <mergeCell ref="A21:B23"/>
  </mergeCells>
  <conditionalFormatting sqref="E14:N14">
    <cfRule type="expression" priority="2" dxfId="1" stopIfTrue="1">
      <formula>$B$7=DATE(2011,3,11)</formula>
    </cfRule>
  </conditionalFormatting>
  <conditionalFormatting sqref="E22:N23">
    <cfRule type="expression" priority="1" dxfId="1" stopIfTrue="1">
      <formula>$B$7=DATE(2011,9,7)</formula>
    </cfRule>
  </conditionalFormatting>
  <dataValidations count="6">
    <dataValidation type="list" allowBlank="1" showInputMessage="1" showErrorMessage="1" sqref="B45">
      <formula1>"1-in-2 weather year, 1-in-10 weather year"</formula1>
    </dataValidation>
    <dataValidation type="list" allowBlank="1" showInputMessage="1" showErrorMessage="1" sqref="B46">
      <formula1>DayTypeList</formula1>
    </dataValidation>
    <dataValidation type="list" allowBlank="1" showInputMessage="1" showErrorMessage="1" sqref="B43">
      <formula1>"PROTOCOLS, CUSTOM"</formula1>
    </dataValidation>
    <dataValidation type="list" allowBlank="1" showInputMessage="1" showErrorMessage="1" sqref="B8">
      <formula1>CustCharList</formula1>
    </dataValidation>
    <dataValidation type="list" allowBlank="1" showErrorMessage="1" promptTitle="Type of Results" prompt="Results can be obtained for the all enrolled customers combined (Aggregate) or for the average customer" errorTitle="Invalid Input" error="Invalid choice" sqref="B6">
      <formula1>TypeofResultList</formula1>
    </dataValidation>
    <dataValidation type="list" allowBlank="1" showInputMessage="1" showErrorMessage="1" sqref="B7">
      <formula1>EventList</formula1>
    </dataValidation>
  </dataValidations>
  <printOptions/>
  <pageMargins left="0.5" right="0.5" top="0.5" bottom="0.5" header="0.5" footer="0.5"/>
  <pageSetup fitToHeight="1" fitToWidth="1" horizontalDpi="600" verticalDpi="600" orientation="landscape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28125" style="0" bestFit="1" customWidth="1"/>
    <col min="2" max="2" width="5.421875" style="0" customWidth="1"/>
    <col min="3" max="3" width="33.00390625" style="0" bestFit="1" customWidth="1"/>
    <col min="4" max="4" width="5.421875" style="0" customWidth="1"/>
    <col min="5" max="5" width="22.7109375" style="0" bestFit="1" customWidth="1"/>
    <col min="6" max="6" width="5.421875" style="0" customWidth="1"/>
    <col min="7" max="7" width="21.421875" style="0" bestFit="1" customWidth="1"/>
    <col min="8" max="8" width="30.140625" style="0" customWidth="1"/>
    <col min="9" max="9" width="4.8515625" style="0" bestFit="1" customWidth="1"/>
    <col min="10" max="10" width="5.421875" style="0" customWidth="1"/>
    <col min="13" max="13" width="10.28125" style="0" customWidth="1"/>
  </cols>
  <sheetData>
    <row r="1" spans="1:5" ht="12.75">
      <c r="A1" t="s">
        <v>34</v>
      </c>
      <c r="C1" t="s">
        <v>31</v>
      </c>
      <c r="E1" t="s">
        <v>1</v>
      </c>
    </row>
    <row r="2" spans="1:14" ht="14.25">
      <c r="A2" s="78">
        <v>40807</v>
      </c>
      <c r="C2" s="69" t="s">
        <v>32</v>
      </c>
      <c r="E2" t="s">
        <v>2</v>
      </c>
      <c r="G2" s="91" t="s">
        <v>30</v>
      </c>
      <c r="H2" s="92" t="s">
        <v>33</v>
      </c>
      <c r="I2" s="93" t="s">
        <v>9</v>
      </c>
      <c r="K2" s="88" t="s">
        <v>37</v>
      </c>
      <c r="L2" s="89" t="s">
        <v>42</v>
      </c>
      <c r="M2" s="90" t="s">
        <v>43</v>
      </c>
      <c r="N2" s="90" t="s">
        <v>0</v>
      </c>
    </row>
    <row r="3" spans="1:14" ht="14.25">
      <c r="A3" s="78"/>
      <c r="C3" s="69" t="s">
        <v>27</v>
      </c>
      <c r="E3" t="s">
        <v>26</v>
      </c>
      <c r="G3" t="str">
        <f>CustChar</f>
        <v>All Customers</v>
      </c>
      <c r="H3" s="78">
        <f>Event</f>
        <v>40807</v>
      </c>
      <c r="I3">
        <v>1</v>
      </c>
      <c r="K3" s="82">
        <f>MAX(0,'INPUTS-OUTPUTS'!I7-70)</f>
        <v>0</v>
      </c>
      <c r="L3" s="82">
        <f>(DGET(DATA,"Standard Error",criteria1))*(IF(TypeofResult="Aggregate",Accounts/1000,1))</f>
        <v>23.08341556</v>
      </c>
      <c r="M3" s="82">
        <f aca="true" t="shared" si="0" ref="M3:M26">L3^2</f>
        <v>532.84407391565</v>
      </c>
      <c r="N3" s="82">
        <f aca="true" t="shared" si="1" ref="N3:N26">FSL</f>
        <v>96.91601829999999</v>
      </c>
    </row>
    <row r="4" spans="1:14" ht="14.25">
      <c r="A4" s="69"/>
      <c r="C4" s="69" t="s">
        <v>28</v>
      </c>
      <c r="K4" s="83">
        <f>MAX(0,'INPUTS-OUTPUTS'!I8-70)</f>
        <v>0</v>
      </c>
      <c r="L4" s="83">
        <f>(DGET(DATA,"Standard Error",criteria2))*(IF(TypeofResult="Aggregate",Accounts/1000,1))</f>
        <v>23.060472250000004</v>
      </c>
      <c r="M4" s="82">
        <f t="shared" si="0"/>
        <v>531.7853803930202</v>
      </c>
      <c r="N4" s="82">
        <f t="shared" si="1"/>
        <v>96.91601829999999</v>
      </c>
    </row>
    <row r="5" spans="1:14" ht="14.25">
      <c r="A5" s="69"/>
      <c r="C5" s="69" t="s">
        <v>38</v>
      </c>
      <c r="G5" s="77" t="s">
        <v>30</v>
      </c>
      <c r="H5" s="92" t="s">
        <v>33</v>
      </c>
      <c r="I5" s="76" t="s">
        <v>9</v>
      </c>
      <c r="K5" s="83">
        <f>MAX(0,'INPUTS-OUTPUTS'!I9-70)</f>
        <v>0</v>
      </c>
      <c r="L5" s="83">
        <f>(DGET(DATA,"Standard Error",criteria3))*(IF(TypeofResult="Aggregate",Accounts/1000,1))</f>
        <v>23.101698820000003</v>
      </c>
      <c r="M5" s="82">
        <f t="shared" si="0"/>
        <v>533.6884883699895</v>
      </c>
      <c r="N5" s="82">
        <f t="shared" si="1"/>
        <v>96.91601829999999</v>
      </c>
    </row>
    <row r="6" spans="1:14" ht="14.25">
      <c r="A6" s="69"/>
      <c r="C6" s="69" t="s">
        <v>39</v>
      </c>
      <c r="G6" t="str">
        <f>CustChar</f>
        <v>All Customers</v>
      </c>
      <c r="H6" s="78">
        <f>Event</f>
        <v>40807</v>
      </c>
      <c r="I6">
        <v>2</v>
      </c>
      <c r="K6" s="83">
        <f>MAX(0,'INPUTS-OUTPUTS'!I10-70)</f>
        <v>0</v>
      </c>
      <c r="L6" s="83">
        <f>(DGET(DATA,"Standard Error",criteria4))*(IF(TypeofResult="Aggregate",Accounts/1000,1))</f>
        <v>23.1726109</v>
      </c>
      <c r="M6" s="82">
        <f t="shared" si="0"/>
        <v>536.9698959227987</v>
      </c>
      <c r="N6" s="82">
        <f t="shared" si="1"/>
        <v>96.91601829999999</v>
      </c>
    </row>
    <row r="7" spans="1:14" ht="14.25">
      <c r="A7" s="69"/>
      <c r="C7" s="69" t="s">
        <v>40</v>
      </c>
      <c r="K7" s="83">
        <f>MAX(0,'INPUTS-OUTPUTS'!I11-70)</f>
        <v>0</v>
      </c>
      <c r="L7" s="83">
        <f>(DGET(DATA,"Standard Error",criteria5))*(IF(TypeofResult="Aggregate",Accounts/1000,1))</f>
        <v>23.15729553</v>
      </c>
      <c r="M7" s="82">
        <f t="shared" si="0"/>
        <v>536.260336263758</v>
      </c>
      <c r="N7" s="82">
        <f t="shared" si="1"/>
        <v>96.91601829999999</v>
      </c>
    </row>
    <row r="8" spans="1:14" ht="14.25">
      <c r="A8" s="69"/>
      <c r="C8" s="95" t="s">
        <v>45</v>
      </c>
      <c r="G8" s="77" t="s">
        <v>30</v>
      </c>
      <c r="H8" s="92" t="s">
        <v>33</v>
      </c>
      <c r="I8" s="76" t="s">
        <v>9</v>
      </c>
      <c r="K8" s="83">
        <f>MAX(0,'INPUTS-OUTPUTS'!I12-70)</f>
        <v>0</v>
      </c>
      <c r="L8" s="83">
        <f>(DGET(DATA,"Standard Error",criteria6))*(IF(TypeofResult="Aggregate",Accounts/1000,1))</f>
        <v>23.161413560000003</v>
      </c>
      <c r="M8" s="82">
        <f t="shared" si="0"/>
        <v>536.451078097352</v>
      </c>
      <c r="N8" s="82">
        <f t="shared" si="1"/>
        <v>96.91601829999999</v>
      </c>
    </row>
    <row r="9" spans="1:14" ht="14.25">
      <c r="A9" s="69"/>
      <c r="C9" s="69" t="s">
        <v>41</v>
      </c>
      <c r="G9" t="str">
        <f>CustChar</f>
        <v>All Customers</v>
      </c>
      <c r="H9" s="78">
        <f>Event</f>
        <v>40807</v>
      </c>
      <c r="I9">
        <v>3</v>
      </c>
      <c r="K9" s="83">
        <f>MAX(0,'INPUTS-OUTPUTS'!I13-70)</f>
        <v>0</v>
      </c>
      <c r="L9" s="83">
        <f>(DGET(DATA,"Standard Error",criteria7))*(IF(TypeofResult="Aggregate",Accounts/1000,1))</f>
        <v>23.176748760000002</v>
      </c>
      <c r="M9" s="82">
        <f t="shared" si="0"/>
        <v>537.1616830841616</v>
      </c>
      <c r="N9" s="82">
        <f t="shared" si="1"/>
        <v>96.91601829999999</v>
      </c>
    </row>
    <row r="10" spans="1:14" ht="14.25">
      <c r="A10" s="69"/>
      <c r="C10" s="94" t="s">
        <v>47</v>
      </c>
      <c r="K10" s="83">
        <f>MAX(0,'INPUTS-OUTPUTS'!I14-70)</f>
        <v>0</v>
      </c>
      <c r="L10" s="83">
        <f>(DGET(DATA,"Standard Error",criteria8))*(IF(TypeofResult="Aggregate",Accounts/1000,1))</f>
        <v>23.125521260000003</v>
      </c>
      <c r="M10" s="82">
        <f t="shared" si="0"/>
        <v>534.7897335467121</v>
      </c>
      <c r="N10" s="82">
        <f t="shared" si="1"/>
        <v>96.91601829999999</v>
      </c>
    </row>
    <row r="11" spans="1:14" ht="14.25">
      <c r="A11" s="69"/>
      <c r="C11" s="94" t="s">
        <v>48</v>
      </c>
      <c r="G11" s="77" t="s">
        <v>30</v>
      </c>
      <c r="H11" s="92" t="s">
        <v>33</v>
      </c>
      <c r="I11" s="76" t="s">
        <v>9</v>
      </c>
      <c r="K11" s="83">
        <f>MAX(0,'INPUTS-OUTPUTS'!I15-70)</f>
        <v>0</v>
      </c>
      <c r="L11" s="83">
        <f>(DGET(DATA,"Standard Error",criteria9))*(IF(TypeofResult="Aggregate",Accounts/1000,1))</f>
        <v>22.77456992</v>
      </c>
      <c r="M11" s="82">
        <f t="shared" si="0"/>
        <v>518.6810350409688</v>
      </c>
      <c r="N11" s="82">
        <f t="shared" si="1"/>
        <v>96.91601829999999</v>
      </c>
    </row>
    <row r="12" spans="1:14" ht="14.25">
      <c r="A12" s="69"/>
      <c r="C12" s="94" t="s">
        <v>49</v>
      </c>
      <c r="G12" t="str">
        <f>CustChar</f>
        <v>All Customers</v>
      </c>
      <c r="H12" s="78">
        <f>Event</f>
        <v>40807</v>
      </c>
      <c r="I12">
        <v>4</v>
      </c>
      <c r="K12" s="83">
        <f>MAX(0,'INPUTS-OUTPUTS'!I16-70)</f>
        <v>2.6234500000000054</v>
      </c>
      <c r="L12" s="83">
        <f>(DGET(DATA,"Standard Error",criteria10))*(IF(TypeofResult="Aggregate",Accounts/1000,1))</f>
        <v>22.79856422</v>
      </c>
      <c r="M12" s="82">
        <f t="shared" si="0"/>
        <v>519.7745304934642</v>
      </c>
      <c r="N12" s="82">
        <f t="shared" si="1"/>
        <v>96.91601829999999</v>
      </c>
    </row>
    <row r="13" spans="1:14" ht="14.25">
      <c r="A13" s="69"/>
      <c r="C13" s="69"/>
      <c r="K13" s="83">
        <f>MAX(0,'INPUTS-OUTPUTS'!I17-70)</f>
        <v>6.417749999999998</v>
      </c>
      <c r="L13" s="83">
        <f>(DGET(DATA,"Standard Error",criteria11))*(IF(TypeofResult="Aggregate",Accounts/1000,1))</f>
        <v>22.74836127</v>
      </c>
      <c r="M13" s="82">
        <f t="shared" si="0"/>
        <v>517.487940470436</v>
      </c>
      <c r="N13" s="82">
        <f t="shared" si="1"/>
        <v>96.91601829999999</v>
      </c>
    </row>
    <row r="14" spans="1:14" ht="14.25">
      <c r="A14" s="69"/>
      <c r="C14" s="69"/>
      <c r="G14" s="77" t="s">
        <v>30</v>
      </c>
      <c r="H14" s="92" t="s">
        <v>33</v>
      </c>
      <c r="I14" s="76" t="s">
        <v>9</v>
      </c>
      <c r="K14" s="83">
        <f>MAX(0,'INPUTS-OUTPUTS'!I18-70)</f>
        <v>8.027929999999998</v>
      </c>
      <c r="L14" s="83">
        <f>(DGET(DATA,"Standard Error",criteria12))*(IF(TypeofResult="Aggregate",Accounts/1000,1))</f>
        <v>22.67092512</v>
      </c>
      <c r="M14" s="82">
        <f t="shared" si="0"/>
        <v>513.970845796647</v>
      </c>
      <c r="N14" s="82">
        <f t="shared" si="1"/>
        <v>96.91601829999999</v>
      </c>
    </row>
    <row r="15" spans="1:14" ht="14.25">
      <c r="A15" s="69"/>
      <c r="G15" t="str">
        <f>CustChar</f>
        <v>All Customers</v>
      </c>
      <c r="H15" s="78">
        <f>Event</f>
        <v>40807</v>
      </c>
      <c r="I15">
        <v>5</v>
      </c>
      <c r="K15" s="83">
        <f>MAX(0,'INPUTS-OUTPUTS'!I19-70)</f>
        <v>9.484099999999998</v>
      </c>
      <c r="L15" s="83">
        <f>(DGET(DATA,"Standard Error",criteria13))*(IF(TypeofResult="Aggregate",Accounts/1000,1))</f>
        <v>22.6721678</v>
      </c>
      <c r="M15" s="82">
        <f t="shared" si="0"/>
        <v>514.0271927513569</v>
      </c>
      <c r="N15" s="82">
        <f t="shared" si="1"/>
        <v>96.91601829999999</v>
      </c>
    </row>
    <row r="16" spans="1:14" ht="14.25">
      <c r="A16" s="69"/>
      <c r="K16" s="83">
        <f>MAX(0,'INPUTS-OUTPUTS'!I20-70)</f>
        <v>10.007469999999998</v>
      </c>
      <c r="L16" s="83">
        <f>(DGET(DATA,"Standard Error",criteria14))*(IF(TypeofResult="Aggregate",Accounts/1000,1))</f>
        <v>22.664863750000002</v>
      </c>
      <c r="M16" s="82">
        <f t="shared" si="0"/>
        <v>513.6960488060641</v>
      </c>
      <c r="N16" s="82">
        <f t="shared" si="1"/>
        <v>96.91601829999999</v>
      </c>
    </row>
    <row r="17" spans="1:14" ht="14.25">
      <c r="A17" s="69"/>
      <c r="G17" s="77" t="s">
        <v>30</v>
      </c>
      <c r="H17" s="92" t="s">
        <v>33</v>
      </c>
      <c r="I17" s="76" t="s">
        <v>9</v>
      </c>
      <c r="K17" s="83">
        <f>MAX(0,'INPUTS-OUTPUTS'!I21-70)</f>
        <v>9.012900000000002</v>
      </c>
      <c r="L17" s="83">
        <f>(DGET(DATA,"Standard Error",criteria15))*(IF(TypeofResult="Aggregate",Accounts/1000,1))</f>
        <v>22.68563898</v>
      </c>
      <c r="M17" s="82">
        <f t="shared" si="0"/>
        <v>514.6382159308954</v>
      </c>
      <c r="N17" s="82">
        <f t="shared" si="1"/>
        <v>96.91601829999999</v>
      </c>
    </row>
    <row r="18" spans="1:14" ht="14.25">
      <c r="A18" s="69"/>
      <c r="G18" t="str">
        <f>CustChar</f>
        <v>All Customers</v>
      </c>
      <c r="H18" s="78">
        <f>Event</f>
        <v>40807</v>
      </c>
      <c r="I18">
        <v>6</v>
      </c>
      <c r="K18" s="83">
        <f>MAX(0,'INPUTS-OUTPUTS'!I22-70)</f>
        <v>7.558310000000006</v>
      </c>
      <c r="L18" s="83">
        <f>(DGET(DATA,"Standard Error",criteria16))*(IF(TypeofResult="Aggregate",Accounts/1000,1))</f>
        <v>22.65704412</v>
      </c>
      <c r="M18" s="82">
        <f t="shared" si="0"/>
        <v>513.3416482556265</v>
      </c>
      <c r="N18" s="82">
        <f t="shared" si="1"/>
        <v>96.91601829999999</v>
      </c>
    </row>
    <row r="19" spans="1:14" ht="14.25">
      <c r="A19" s="69"/>
      <c r="K19" s="83">
        <f>MAX(0,'INPUTS-OUTPUTS'!I23-70)</f>
        <v>4.871799999999993</v>
      </c>
      <c r="L19" s="83">
        <f>(DGET(DATA,"Standard Error",criteria17))*(IF(TypeofResult="Aggregate",Accounts/1000,1))</f>
        <v>22.6953028</v>
      </c>
      <c r="M19" s="82">
        <f t="shared" si="0"/>
        <v>515.0767691836878</v>
      </c>
      <c r="N19" s="82">
        <f t="shared" si="1"/>
        <v>96.91601829999999</v>
      </c>
    </row>
    <row r="20" spans="1:14" ht="14.25">
      <c r="A20" s="69"/>
      <c r="G20" s="77" t="s">
        <v>30</v>
      </c>
      <c r="H20" s="92" t="s">
        <v>33</v>
      </c>
      <c r="I20" s="76" t="s">
        <v>9</v>
      </c>
      <c r="K20" s="83">
        <f>MAX(0,'INPUTS-OUTPUTS'!I24-70)</f>
        <v>2.120679999999993</v>
      </c>
      <c r="L20" s="83">
        <f>(DGET(DATA,"Standard Error",criteria18))*(IF(TypeofResult="Aggregate",Accounts/1000,1))</f>
        <v>22.679458630000003</v>
      </c>
      <c r="M20" s="82">
        <f t="shared" si="0"/>
        <v>514.3578437498816</v>
      </c>
      <c r="N20" s="82">
        <f t="shared" si="1"/>
        <v>96.91601829999999</v>
      </c>
    </row>
    <row r="21" spans="1:14" ht="14.25">
      <c r="A21" s="69"/>
      <c r="G21" t="str">
        <f>CustChar</f>
        <v>All Customers</v>
      </c>
      <c r="H21" s="78">
        <f>Event</f>
        <v>40807</v>
      </c>
      <c r="I21">
        <v>7</v>
      </c>
      <c r="K21" s="83">
        <f>MAX(0,'INPUTS-OUTPUTS'!I25-70)</f>
        <v>0</v>
      </c>
      <c r="L21" s="83">
        <f>(DGET(DATA,"Standard Error",criteria19))*(IF(TypeofResult="Aggregate",Accounts/1000,1))</f>
        <v>22.71073054</v>
      </c>
      <c r="M21" s="82">
        <f t="shared" si="0"/>
        <v>515.7772816604887</v>
      </c>
      <c r="N21" s="82">
        <f t="shared" si="1"/>
        <v>96.91601829999999</v>
      </c>
    </row>
    <row r="22" spans="1:14" ht="14.25">
      <c r="A22" s="69"/>
      <c r="K22" s="83">
        <f>MAX(0,'INPUTS-OUTPUTS'!I26-70)</f>
        <v>0</v>
      </c>
      <c r="L22" s="83">
        <f>(DGET(DATA,"Standard Error",criteria20))*(IF(TypeofResult="Aggregate",Accounts/1000,1))</f>
        <v>22.70242838</v>
      </c>
      <c r="M22" s="82">
        <f t="shared" si="0"/>
        <v>515.4002543490294</v>
      </c>
      <c r="N22" s="82">
        <f t="shared" si="1"/>
        <v>96.91601829999999</v>
      </c>
    </row>
    <row r="23" spans="1:14" ht="14.25">
      <c r="A23" s="69"/>
      <c r="G23" s="77" t="s">
        <v>30</v>
      </c>
      <c r="H23" s="92" t="s">
        <v>33</v>
      </c>
      <c r="I23" s="76" t="s">
        <v>9</v>
      </c>
      <c r="K23" s="83">
        <f>MAX(0,'INPUTS-OUTPUTS'!I27-70)</f>
        <v>0</v>
      </c>
      <c r="L23" s="83">
        <f>(DGET(DATA,"Standard Error",criteria21))*(IF(TypeofResult="Aggregate",Accounts/1000,1))</f>
        <v>22.84698247</v>
      </c>
      <c r="M23" s="82">
        <f t="shared" si="0"/>
        <v>521.9846079844873</v>
      </c>
      <c r="N23" s="82">
        <f t="shared" si="1"/>
        <v>96.91601829999999</v>
      </c>
    </row>
    <row r="24" spans="1:14" ht="14.25">
      <c r="A24" s="69"/>
      <c r="G24" t="str">
        <f>CustChar</f>
        <v>All Customers</v>
      </c>
      <c r="H24" s="78">
        <f>Event</f>
        <v>40807</v>
      </c>
      <c r="I24">
        <v>8</v>
      </c>
      <c r="K24" s="83">
        <f>MAX(0,'INPUTS-OUTPUTS'!I28-70)</f>
        <v>0</v>
      </c>
      <c r="L24" s="83">
        <f>(DGET(DATA,"Standard Error",criteria22))*(IF(TypeofResult="Aggregate",Accounts/1000,1))</f>
        <v>22.853856869999998</v>
      </c>
      <c r="M24" s="82">
        <f t="shared" si="0"/>
        <v>522.2987738344461</v>
      </c>
      <c r="N24" s="82">
        <f t="shared" si="1"/>
        <v>96.91601829999999</v>
      </c>
    </row>
    <row r="25" spans="1:14" ht="14.25">
      <c r="A25" s="69"/>
      <c r="K25" s="83">
        <f>MAX(0,'INPUTS-OUTPUTS'!I29-70)</f>
        <v>0</v>
      </c>
      <c r="L25" s="83">
        <f>(DGET(DATA,"Standard Error",criteria23))*(IF(TypeofResult="Aggregate",Accounts/1000,1))</f>
        <v>23.100436310000003</v>
      </c>
      <c r="M25" s="82">
        <f t="shared" si="0"/>
        <v>533.6301577123666</v>
      </c>
      <c r="N25" s="82">
        <f t="shared" si="1"/>
        <v>96.91601829999999</v>
      </c>
    </row>
    <row r="26" spans="1:14" ht="14.25">
      <c r="A26" s="69"/>
      <c r="G26" s="77" t="s">
        <v>30</v>
      </c>
      <c r="H26" s="92" t="s">
        <v>33</v>
      </c>
      <c r="I26" s="76" t="s">
        <v>9</v>
      </c>
      <c r="K26" s="83">
        <f>MAX(0,'INPUTS-OUTPUTS'!I30-70)</f>
        <v>0</v>
      </c>
      <c r="L26" s="83">
        <f>(DGET(DATA,"Standard Error",criteria24))*(IF(TypeofResult="Aggregate",Accounts/1000,1))</f>
        <v>23.019814140000005</v>
      </c>
      <c r="M26" s="82">
        <f t="shared" si="0"/>
        <v>529.9118430401442</v>
      </c>
      <c r="N26" s="82">
        <f t="shared" si="1"/>
        <v>96.91601829999999</v>
      </c>
    </row>
    <row r="27" spans="1:14" ht="14.25">
      <c r="A27" s="69"/>
      <c r="G27" t="str">
        <f>CustChar</f>
        <v>All Customers</v>
      </c>
      <c r="H27" s="78">
        <f>Event</f>
        <v>40807</v>
      </c>
      <c r="I27">
        <v>9</v>
      </c>
      <c r="K27" s="11"/>
      <c r="L27" s="84">
        <f>SQRT(M27)</f>
        <v>112.13387382345012</v>
      </c>
      <c r="M27" s="84">
        <f>SUM(M3:M26)</f>
        <v>12574.005658653432</v>
      </c>
      <c r="N27" s="11"/>
    </row>
    <row r="28" ht="12.75">
      <c r="A28" s="69"/>
    </row>
    <row r="29" spans="1:9" ht="12.75">
      <c r="A29" s="69"/>
      <c r="G29" s="77" t="s">
        <v>30</v>
      </c>
      <c r="H29" s="92" t="s">
        <v>33</v>
      </c>
      <c r="I29" s="76" t="s">
        <v>9</v>
      </c>
    </row>
    <row r="30" spans="1:9" ht="12.75">
      <c r="A30" s="69"/>
      <c r="G30" t="str">
        <f>CustChar</f>
        <v>All Customers</v>
      </c>
      <c r="H30" s="78">
        <f>Event</f>
        <v>40807</v>
      </c>
      <c r="I30">
        <v>10</v>
      </c>
    </row>
    <row r="31" ht="12.75">
      <c r="A31" s="69"/>
    </row>
    <row r="32" spans="1:9" ht="12.75">
      <c r="A32" s="69"/>
      <c r="G32" s="77" t="s">
        <v>30</v>
      </c>
      <c r="H32" s="92" t="s">
        <v>33</v>
      </c>
      <c r="I32" s="76" t="s">
        <v>9</v>
      </c>
    </row>
    <row r="33" spans="1:9" ht="12.75">
      <c r="A33" s="69"/>
      <c r="G33" t="str">
        <f>CustChar</f>
        <v>All Customers</v>
      </c>
      <c r="H33" s="78">
        <f>Event</f>
        <v>40807</v>
      </c>
      <c r="I33">
        <v>11</v>
      </c>
    </row>
    <row r="34" ht="12.75">
      <c r="A34" s="69"/>
    </row>
    <row r="35" spans="1:9" ht="12.75">
      <c r="A35" s="69"/>
      <c r="G35" s="77" t="s">
        <v>30</v>
      </c>
      <c r="H35" s="92" t="s">
        <v>33</v>
      </c>
      <c r="I35" s="76" t="s">
        <v>9</v>
      </c>
    </row>
    <row r="36" spans="7:9" ht="12.75">
      <c r="G36" t="str">
        <f>CustChar</f>
        <v>All Customers</v>
      </c>
      <c r="H36" s="78">
        <f>Event</f>
        <v>40807</v>
      </c>
      <c r="I36">
        <v>12</v>
      </c>
    </row>
    <row r="38" spans="7:9" ht="12.75">
      <c r="G38" s="77" t="s">
        <v>30</v>
      </c>
      <c r="H38" s="92" t="s">
        <v>33</v>
      </c>
      <c r="I38" s="76" t="s">
        <v>9</v>
      </c>
    </row>
    <row r="39" spans="7:9" ht="12.75">
      <c r="G39" t="str">
        <f>CustChar</f>
        <v>All Customers</v>
      </c>
      <c r="H39" s="78">
        <f>Event</f>
        <v>40807</v>
      </c>
      <c r="I39">
        <v>13</v>
      </c>
    </row>
    <row r="41" spans="7:9" ht="12.75">
      <c r="G41" s="77" t="s">
        <v>30</v>
      </c>
      <c r="H41" s="92" t="s">
        <v>33</v>
      </c>
      <c r="I41" s="76" t="s">
        <v>9</v>
      </c>
    </row>
    <row r="42" spans="7:9" ht="12.75">
      <c r="G42" t="str">
        <f>CustChar</f>
        <v>All Customers</v>
      </c>
      <c r="H42" s="78">
        <f>Event</f>
        <v>40807</v>
      </c>
      <c r="I42">
        <v>14</v>
      </c>
    </row>
    <row r="44" spans="7:9" ht="12.75">
      <c r="G44" s="77" t="s">
        <v>30</v>
      </c>
      <c r="H44" s="92" t="s">
        <v>33</v>
      </c>
      <c r="I44" s="76" t="s">
        <v>9</v>
      </c>
    </row>
    <row r="45" spans="7:9" ht="12.75">
      <c r="G45" t="str">
        <f>CustChar</f>
        <v>All Customers</v>
      </c>
      <c r="H45" s="78">
        <f>Event</f>
        <v>40807</v>
      </c>
      <c r="I45">
        <v>15</v>
      </c>
    </row>
    <row r="47" spans="7:9" ht="12.75">
      <c r="G47" s="77" t="s">
        <v>30</v>
      </c>
      <c r="H47" s="92" t="s">
        <v>33</v>
      </c>
      <c r="I47" s="76" t="s">
        <v>9</v>
      </c>
    </row>
    <row r="48" spans="7:9" ht="12.75">
      <c r="G48" t="str">
        <f>CustChar</f>
        <v>All Customers</v>
      </c>
      <c r="H48" s="78">
        <f>Event</f>
        <v>40807</v>
      </c>
      <c r="I48">
        <v>16</v>
      </c>
    </row>
    <row r="50" spans="7:9" ht="12.75">
      <c r="G50" s="77" t="s">
        <v>30</v>
      </c>
      <c r="H50" s="92" t="s">
        <v>33</v>
      </c>
      <c r="I50" s="76" t="s">
        <v>9</v>
      </c>
    </row>
    <row r="51" spans="7:9" ht="12.75">
      <c r="G51" t="str">
        <f>CustChar</f>
        <v>All Customers</v>
      </c>
      <c r="H51" s="78">
        <f>Event</f>
        <v>40807</v>
      </c>
      <c r="I51">
        <v>17</v>
      </c>
    </row>
    <row r="53" spans="7:9" ht="12.75">
      <c r="G53" s="77" t="s">
        <v>30</v>
      </c>
      <c r="H53" s="92" t="s">
        <v>33</v>
      </c>
      <c r="I53" s="76" t="s">
        <v>9</v>
      </c>
    </row>
    <row r="54" spans="7:9" ht="12.75">
      <c r="G54" t="str">
        <f>CustChar</f>
        <v>All Customers</v>
      </c>
      <c r="H54" s="78">
        <f>Event</f>
        <v>40807</v>
      </c>
      <c r="I54">
        <v>18</v>
      </c>
    </row>
    <row r="56" spans="7:9" ht="12.75">
      <c r="G56" s="77" t="s">
        <v>30</v>
      </c>
      <c r="H56" s="92" t="s">
        <v>33</v>
      </c>
      <c r="I56" s="76" t="s">
        <v>9</v>
      </c>
    </row>
    <row r="57" spans="7:9" ht="12.75">
      <c r="G57" t="str">
        <f>CustChar</f>
        <v>All Customers</v>
      </c>
      <c r="H57" s="78">
        <f>Event</f>
        <v>40807</v>
      </c>
      <c r="I57">
        <v>19</v>
      </c>
    </row>
    <row r="59" spans="7:9" ht="12.75">
      <c r="G59" s="77" t="s">
        <v>30</v>
      </c>
      <c r="H59" s="92" t="s">
        <v>33</v>
      </c>
      <c r="I59" s="76" t="s">
        <v>9</v>
      </c>
    </row>
    <row r="60" spans="7:9" ht="12.75">
      <c r="G60" t="str">
        <f>CustChar</f>
        <v>All Customers</v>
      </c>
      <c r="H60" s="78">
        <f>Event</f>
        <v>40807</v>
      </c>
      <c r="I60">
        <v>20</v>
      </c>
    </row>
    <row r="62" spans="7:9" ht="12.75">
      <c r="G62" s="77" t="s">
        <v>30</v>
      </c>
      <c r="H62" s="92" t="s">
        <v>33</v>
      </c>
      <c r="I62" s="76" t="s">
        <v>9</v>
      </c>
    </row>
    <row r="63" spans="7:9" ht="12.75">
      <c r="G63" t="str">
        <f>CustChar</f>
        <v>All Customers</v>
      </c>
      <c r="H63" s="78">
        <f>Event</f>
        <v>40807</v>
      </c>
      <c r="I63">
        <v>21</v>
      </c>
    </row>
    <row r="65" spans="7:9" ht="12.75">
      <c r="G65" s="77" t="s">
        <v>30</v>
      </c>
      <c r="H65" s="92" t="s">
        <v>33</v>
      </c>
      <c r="I65" s="76" t="s">
        <v>9</v>
      </c>
    </row>
    <row r="66" spans="7:9" ht="12.75">
      <c r="G66" t="str">
        <f>CustChar</f>
        <v>All Customers</v>
      </c>
      <c r="H66" s="78">
        <f>Event</f>
        <v>40807</v>
      </c>
      <c r="I66">
        <v>22</v>
      </c>
    </row>
    <row r="68" spans="7:9" ht="12.75">
      <c r="G68" s="77" t="s">
        <v>30</v>
      </c>
      <c r="H68" s="92" t="s">
        <v>33</v>
      </c>
      <c r="I68" s="76" t="s">
        <v>9</v>
      </c>
    </row>
    <row r="69" spans="7:9" ht="12.75">
      <c r="G69" t="str">
        <f>CustChar</f>
        <v>All Customers</v>
      </c>
      <c r="H69" s="78">
        <f>Event</f>
        <v>40807</v>
      </c>
      <c r="I69">
        <v>23</v>
      </c>
    </row>
    <row r="71" spans="7:9" ht="12.75">
      <c r="G71" s="77" t="s">
        <v>30</v>
      </c>
      <c r="H71" s="92" t="s">
        <v>33</v>
      </c>
      <c r="I71" s="76" t="s">
        <v>9</v>
      </c>
    </row>
    <row r="72" spans="7:9" ht="12.75">
      <c r="G72" t="str">
        <f>CustChar</f>
        <v>All Customers</v>
      </c>
      <c r="H72" s="78">
        <f>Event</f>
        <v>40807</v>
      </c>
      <c r="I72">
        <v>24</v>
      </c>
    </row>
    <row r="74" spans="7:8" ht="12.75">
      <c r="G74" s="77" t="s">
        <v>30</v>
      </c>
      <c r="H74" s="92" t="s">
        <v>33</v>
      </c>
    </row>
    <row r="75" spans="7:8" ht="12.75">
      <c r="G75" t="str">
        <f>CustChar</f>
        <v>All Customers</v>
      </c>
      <c r="H75" s="78">
        <f>Event</f>
        <v>40807</v>
      </c>
    </row>
  </sheetData>
  <sheetProtection/>
  <conditionalFormatting sqref="K3:N26">
    <cfRule type="expression" priority="3" dxfId="0" stopIfTrue="1">
      <formula>($D$45="CUSTOM")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00390625" style="0" bestFit="1" customWidth="1"/>
    <col min="2" max="2" width="12.28125" style="0" bestFit="1" customWidth="1"/>
    <col min="3" max="3" width="4.8515625" style="0" bestFit="1" customWidth="1"/>
    <col min="4" max="4" width="14.00390625" style="0" bestFit="1" customWidth="1"/>
    <col min="5" max="5" width="13.421875" style="0" bestFit="1" customWidth="1"/>
    <col min="6" max="6" width="11.28125" style="0" bestFit="1" customWidth="1"/>
    <col min="7" max="7" width="13.140625" style="0" bestFit="1" customWidth="1"/>
    <col min="8" max="8" width="9.57421875" style="0" bestFit="1" customWidth="1"/>
    <col min="9" max="11" width="10.57421875" style="0" bestFit="1" customWidth="1"/>
    <col min="12" max="12" width="9.57421875" style="0" bestFit="1" customWidth="1"/>
    <col min="13" max="13" width="5.57421875" style="0" bestFit="1" customWidth="1"/>
  </cols>
  <sheetData>
    <row r="1" spans="1:14" s="3" customFormat="1" ht="26.25" customHeight="1">
      <c r="A1" s="1" t="s">
        <v>30</v>
      </c>
      <c r="B1" s="2" t="s">
        <v>33</v>
      </c>
      <c r="C1" s="2" t="s">
        <v>9</v>
      </c>
      <c r="D1" s="2" t="s">
        <v>10</v>
      </c>
      <c r="E1" s="2" t="s">
        <v>11</v>
      </c>
      <c r="F1" s="2" t="s">
        <v>12</v>
      </c>
      <c r="G1" s="2" t="s">
        <v>13</v>
      </c>
      <c r="H1" s="2" t="s">
        <v>3</v>
      </c>
      <c r="I1" s="2" t="s">
        <v>4</v>
      </c>
      <c r="J1" s="2" t="s">
        <v>5</v>
      </c>
      <c r="K1" s="2" t="s">
        <v>6</v>
      </c>
      <c r="L1" s="2" t="s">
        <v>7</v>
      </c>
      <c r="M1" s="2" t="s">
        <v>8</v>
      </c>
      <c r="N1" s="2" t="s">
        <v>0</v>
      </c>
    </row>
    <row r="2" spans="1:14" ht="12.75">
      <c r="A2" t="s">
        <v>32</v>
      </c>
      <c r="B2" s="80">
        <v>40807</v>
      </c>
      <c r="C2">
        <v>1</v>
      </c>
      <c r="D2">
        <v>1080.021</v>
      </c>
      <c r="E2">
        <v>1029.3593</v>
      </c>
      <c r="F2">
        <v>62.6574</v>
      </c>
      <c r="G2">
        <v>34.92196</v>
      </c>
      <c r="H2">
        <v>5.907284</v>
      </c>
      <c r="I2">
        <v>32.34848</v>
      </c>
      <c r="J2">
        <v>50.66158</v>
      </c>
      <c r="K2">
        <v>68.97468</v>
      </c>
      <c r="L2">
        <v>95.41588</v>
      </c>
      <c r="M2">
        <v>661</v>
      </c>
      <c r="N2">
        <v>146.6203</v>
      </c>
    </row>
    <row r="3" spans="1:14" ht="12.75">
      <c r="A3" t="s">
        <v>32</v>
      </c>
      <c r="B3" s="80">
        <v>40807</v>
      </c>
      <c r="C3">
        <v>2</v>
      </c>
      <c r="D3">
        <v>1066.655</v>
      </c>
      <c r="E3">
        <v>1029.868</v>
      </c>
      <c r="F3">
        <v>62.0477</v>
      </c>
      <c r="G3">
        <v>34.88725</v>
      </c>
      <c r="H3">
        <v>-7.922985</v>
      </c>
      <c r="I3">
        <v>18.49194</v>
      </c>
      <c r="J3">
        <v>36.78683</v>
      </c>
      <c r="K3">
        <v>55.08172</v>
      </c>
      <c r="L3">
        <v>81.49664</v>
      </c>
      <c r="M3">
        <v>661</v>
      </c>
      <c r="N3">
        <v>146.6203</v>
      </c>
    </row>
    <row r="4" spans="1:14" ht="12.75">
      <c r="A4" t="s">
        <v>32</v>
      </c>
      <c r="B4" s="80">
        <v>40807</v>
      </c>
      <c r="C4">
        <v>3</v>
      </c>
      <c r="D4">
        <v>1054.53</v>
      </c>
      <c r="E4">
        <v>1013.0386</v>
      </c>
      <c r="F4">
        <v>61.49595</v>
      </c>
      <c r="G4">
        <v>34.94962</v>
      </c>
      <c r="H4">
        <v>-3.298022</v>
      </c>
      <c r="I4">
        <v>23.16412</v>
      </c>
      <c r="J4">
        <v>41.49171</v>
      </c>
      <c r="K4">
        <v>59.81931</v>
      </c>
      <c r="L4">
        <v>86.28145</v>
      </c>
      <c r="M4">
        <v>661</v>
      </c>
      <c r="N4">
        <v>146.6203</v>
      </c>
    </row>
    <row r="5" spans="1:14" ht="12.75">
      <c r="A5" t="s">
        <v>32</v>
      </c>
      <c r="B5" s="80">
        <v>40807</v>
      </c>
      <c r="C5">
        <v>4</v>
      </c>
      <c r="D5">
        <v>1059.661</v>
      </c>
      <c r="E5">
        <v>1026.1904</v>
      </c>
      <c r="F5">
        <v>60.93927</v>
      </c>
      <c r="G5">
        <v>35.0569</v>
      </c>
      <c r="H5">
        <v>-11.45663</v>
      </c>
      <c r="I5">
        <v>15.08674</v>
      </c>
      <c r="J5">
        <v>33.4706</v>
      </c>
      <c r="K5">
        <v>51.85445</v>
      </c>
      <c r="L5">
        <v>78.39782</v>
      </c>
      <c r="M5">
        <v>661</v>
      </c>
      <c r="N5">
        <v>146.6203</v>
      </c>
    </row>
    <row r="6" spans="1:14" ht="12.75">
      <c r="A6" t="s">
        <v>32</v>
      </c>
      <c r="B6" s="80">
        <v>40807</v>
      </c>
      <c r="C6">
        <v>5</v>
      </c>
      <c r="D6">
        <v>1085.224</v>
      </c>
      <c r="E6">
        <v>1045.0859</v>
      </c>
      <c r="F6">
        <v>60.72145</v>
      </c>
      <c r="G6">
        <v>35.03373</v>
      </c>
      <c r="H6">
        <v>-4.759776</v>
      </c>
      <c r="I6">
        <v>21.76605</v>
      </c>
      <c r="J6">
        <v>40.13776</v>
      </c>
      <c r="K6">
        <v>58.50947</v>
      </c>
      <c r="L6">
        <v>85.03529</v>
      </c>
      <c r="M6">
        <v>661</v>
      </c>
      <c r="N6">
        <v>146.6203</v>
      </c>
    </row>
    <row r="7" spans="1:14" ht="12.75">
      <c r="A7" t="s">
        <v>32</v>
      </c>
      <c r="B7" s="80">
        <v>40807</v>
      </c>
      <c r="C7">
        <v>6</v>
      </c>
      <c r="D7">
        <v>1128.875</v>
      </c>
      <c r="E7">
        <v>1077.3308</v>
      </c>
      <c r="F7">
        <v>60.34596</v>
      </c>
      <c r="G7">
        <v>35.03996</v>
      </c>
      <c r="H7">
        <v>6.638961</v>
      </c>
      <c r="I7">
        <v>33.1695</v>
      </c>
      <c r="J7">
        <v>51.54447</v>
      </c>
      <c r="K7">
        <v>69.91944</v>
      </c>
      <c r="L7">
        <v>96.44998</v>
      </c>
      <c r="M7">
        <v>661</v>
      </c>
      <c r="N7">
        <v>146.6203</v>
      </c>
    </row>
    <row r="8" spans="1:14" ht="12.75">
      <c r="A8" t="s">
        <v>32</v>
      </c>
      <c r="B8" s="80">
        <v>40807</v>
      </c>
      <c r="C8">
        <v>7</v>
      </c>
      <c r="D8">
        <v>1163.5</v>
      </c>
      <c r="E8">
        <v>1040.1994</v>
      </c>
      <c r="F8">
        <v>61.05272</v>
      </c>
      <c r="G8">
        <v>35.06316</v>
      </c>
      <c r="H8">
        <v>78.36556</v>
      </c>
      <c r="I8">
        <v>104.9137</v>
      </c>
      <c r="J8">
        <v>123.3008</v>
      </c>
      <c r="K8">
        <v>141.6879</v>
      </c>
      <c r="L8">
        <v>168.2361</v>
      </c>
      <c r="M8">
        <v>661</v>
      </c>
      <c r="N8">
        <v>146.6203</v>
      </c>
    </row>
    <row r="9" spans="1:14" ht="12.75">
      <c r="A9" t="s">
        <v>32</v>
      </c>
      <c r="B9" s="80">
        <v>40807</v>
      </c>
      <c r="C9">
        <v>8</v>
      </c>
      <c r="D9">
        <v>1162.665</v>
      </c>
      <c r="E9">
        <v>1068.2709</v>
      </c>
      <c r="F9">
        <v>63.56936</v>
      </c>
      <c r="G9">
        <v>34.98566</v>
      </c>
      <c r="H9">
        <v>49.55862</v>
      </c>
      <c r="I9">
        <v>76.04806</v>
      </c>
      <c r="J9">
        <v>94.39455</v>
      </c>
      <c r="K9">
        <v>112.7411</v>
      </c>
      <c r="L9">
        <v>139.2305</v>
      </c>
      <c r="M9">
        <v>661</v>
      </c>
      <c r="N9">
        <v>146.6203</v>
      </c>
    </row>
    <row r="10" spans="1:14" ht="12.75">
      <c r="A10" t="s">
        <v>32</v>
      </c>
      <c r="B10" s="80">
        <v>40807</v>
      </c>
      <c r="C10">
        <v>9</v>
      </c>
      <c r="D10">
        <v>1159.995</v>
      </c>
      <c r="E10">
        <v>1083.0624</v>
      </c>
      <c r="F10">
        <v>67.60844</v>
      </c>
      <c r="G10">
        <v>34.45472</v>
      </c>
      <c r="H10">
        <v>32.77694</v>
      </c>
      <c r="I10">
        <v>58.86437</v>
      </c>
      <c r="J10">
        <v>76.93244</v>
      </c>
      <c r="K10">
        <v>95.00052</v>
      </c>
      <c r="L10">
        <v>121.088</v>
      </c>
      <c r="M10">
        <v>661</v>
      </c>
      <c r="N10">
        <v>146.6203</v>
      </c>
    </row>
    <row r="11" spans="1:14" ht="12.75">
      <c r="A11" t="s">
        <v>32</v>
      </c>
      <c r="B11" s="80">
        <v>40807</v>
      </c>
      <c r="C11">
        <v>10</v>
      </c>
      <c r="D11">
        <v>1174.765</v>
      </c>
      <c r="E11">
        <v>1085.9485</v>
      </c>
      <c r="F11">
        <v>72.62345</v>
      </c>
      <c r="G11">
        <v>34.49102</v>
      </c>
      <c r="H11">
        <v>44.61434</v>
      </c>
      <c r="I11">
        <v>70.72925</v>
      </c>
      <c r="J11">
        <v>88.81636</v>
      </c>
      <c r="K11">
        <v>106.9035</v>
      </c>
      <c r="L11">
        <v>133.0184</v>
      </c>
      <c r="M11">
        <v>661</v>
      </c>
      <c r="N11">
        <v>146.6203</v>
      </c>
    </row>
    <row r="12" spans="1:14" ht="12.75">
      <c r="A12" t="s">
        <v>32</v>
      </c>
      <c r="B12" s="80">
        <v>40807</v>
      </c>
      <c r="C12">
        <v>11</v>
      </c>
      <c r="D12">
        <v>1178.971</v>
      </c>
      <c r="E12">
        <v>1096.9593</v>
      </c>
      <c r="F12">
        <v>76.41775</v>
      </c>
      <c r="G12">
        <v>34.41507</v>
      </c>
      <c r="H12">
        <v>37.90747</v>
      </c>
      <c r="I12">
        <v>63.96488</v>
      </c>
      <c r="J12">
        <v>82.01216</v>
      </c>
      <c r="K12">
        <v>100.0594</v>
      </c>
      <c r="L12">
        <v>126.1168</v>
      </c>
      <c r="M12">
        <v>661</v>
      </c>
      <c r="N12">
        <v>146.6203</v>
      </c>
    </row>
    <row r="13" spans="1:14" ht="12.75">
      <c r="A13" t="s">
        <v>32</v>
      </c>
      <c r="B13" s="80">
        <v>40807</v>
      </c>
      <c r="C13">
        <v>12</v>
      </c>
      <c r="D13">
        <v>1171.771</v>
      </c>
      <c r="E13">
        <v>1105.6145</v>
      </c>
      <c r="F13">
        <v>78.02793</v>
      </c>
      <c r="G13">
        <v>34.29792</v>
      </c>
      <c r="H13">
        <v>22.20193</v>
      </c>
      <c r="I13">
        <v>48.17064</v>
      </c>
      <c r="J13">
        <v>66.15648</v>
      </c>
      <c r="K13">
        <v>84.14233</v>
      </c>
      <c r="L13">
        <v>110.111</v>
      </c>
      <c r="M13">
        <v>661</v>
      </c>
      <c r="N13">
        <v>146.6203</v>
      </c>
    </row>
    <row r="14" spans="1:14" ht="12.75">
      <c r="A14" t="s">
        <v>32</v>
      </c>
      <c r="B14" s="80">
        <v>40807</v>
      </c>
      <c r="C14">
        <v>13</v>
      </c>
      <c r="D14">
        <v>1160.665</v>
      </c>
      <c r="E14">
        <v>1097.1973</v>
      </c>
      <c r="F14">
        <v>79.4841</v>
      </c>
      <c r="G14">
        <v>34.2998</v>
      </c>
      <c r="H14">
        <v>19.51038</v>
      </c>
      <c r="I14">
        <v>45.48051</v>
      </c>
      <c r="J14">
        <v>63.46735</v>
      </c>
      <c r="K14">
        <v>81.45419</v>
      </c>
      <c r="L14">
        <v>107.4243</v>
      </c>
      <c r="M14">
        <v>661</v>
      </c>
      <c r="N14">
        <v>146.6203</v>
      </c>
    </row>
    <row r="15" spans="1:14" ht="12.75">
      <c r="A15" t="s">
        <v>32</v>
      </c>
      <c r="B15" s="80">
        <v>40807</v>
      </c>
      <c r="C15">
        <v>14</v>
      </c>
      <c r="D15">
        <v>1157.912</v>
      </c>
      <c r="E15">
        <v>1074.0176</v>
      </c>
      <c r="F15">
        <v>80.00747</v>
      </c>
      <c r="G15">
        <v>34.28875</v>
      </c>
      <c r="H15">
        <v>39.95192</v>
      </c>
      <c r="I15">
        <v>65.91368</v>
      </c>
      <c r="J15">
        <v>83.89472</v>
      </c>
      <c r="K15">
        <v>101.8758</v>
      </c>
      <c r="L15">
        <v>127.8375</v>
      </c>
      <c r="M15">
        <v>661</v>
      </c>
      <c r="N15">
        <v>146.6203</v>
      </c>
    </row>
    <row r="16" spans="1:14" ht="12.75">
      <c r="A16" t="s">
        <v>32</v>
      </c>
      <c r="B16" s="80">
        <v>40807</v>
      </c>
      <c r="C16">
        <v>15</v>
      </c>
      <c r="D16">
        <v>1146.412</v>
      </c>
      <c r="E16">
        <v>467.5428</v>
      </c>
      <c r="F16">
        <v>79.0129</v>
      </c>
      <c r="G16">
        <v>34.32018</v>
      </c>
      <c r="H16">
        <v>634.8864</v>
      </c>
      <c r="I16">
        <v>660.8719</v>
      </c>
      <c r="J16">
        <v>678.8694</v>
      </c>
      <c r="K16">
        <v>696.8669</v>
      </c>
      <c r="L16">
        <v>722.8525</v>
      </c>
      <c r="M16">
        <v>661</v>
      </c>
      <c r="N16">
        <v>146.6203</v>
      </c>
    </row>
    <row r="17" spans="1:14" ht="12.75">
      <c r="A17" t="s">
        <v>32</v>
      </c>
      <c r="B17" s="80">
        <v>40807</v>
      </c>
      <c r="C17">
        <v>16</v>
      </c>
      <c r="D17">
        <v>1125.935</v>
      </c>
      <c r="E17">
        <v>224.77467</v>
      </c>
      <c r="F17">
        <v>77.55831</v>
      </c>
      <c r="G17">
        <v>34.27692</v>
      </c>
      <c r="H17">
        <v>857.2331</v>
      </c>
      <c r="I17">
        <v>883.1859</v>
      </c>
      <c r="J17">
        <v>901.1608</v>
      </c>
      <c r="K17">
        <v>919.1356</v>
      </c>
      <c r="L17">
        <v>945.0884</v>
      </c>
      <c r="M17">
        <v>661</v>
      </c>
      <c r="N17">
        <v>146.6203</v>
      </c>
    </row>
    <row r="18" spans="1:14" ht="12.75">
      <c r="A18" t="s">
        <v>32</v>
      </c>
      <c r="B18" s="80">
        <v>40807</v>
      </c>
      <c r="C18">
        <v>17</v>
      </c>
      <c r="D18">
        <v>1107.955</v>
      </c>
      <c r="E18">
        <v>492.72816</v>
      </c>
      <c r="F18">
        <v>74.8718</v>
      </c>
      <c r="G18">
        <v>34.3348</v>
      </c>
      <c r="H18">
        <v>571.225</v>
      </c>
      <c r="I18">
        <v>597.2216</v>
      </c>
      <c r="J18">
        <v>615.2268</v>
      </c>
      <c r="K18">
        <v>633.232</v>
      </c>
      <c r="L18">
        <v>659.2286</v>
      </c>
      <c r="M18">
        <v>661</v>
      </c>
      <c r="N18">
        <v>146.6203</v>
      </c>
    </row>
    <row r="19" spans="1:14" ht="12.75">
      <c r="A19" t="s">
        <v>32</v>
      </c>
      <c r="B19" s="80">
        <v>40807</v>
      </c>
      <c r="C19">
        <v>18</v>
      </c>
      <c r="D19">
        <v>1086.469</v>
      </c>
      <c r="E19">
        <v>758.36225</v>
      </c>
      <c r="F19">
        <v>72.12068</v>
      </c>
      <c r="G19">
        <v>34.31083</v>
      </c>
      <c r="H19">
        <v>284.1354</v>
      </c>
      <c r="I19">
        <v>310.1139</v>
      </c>
      <c r="J19">
        <v>328.1065</v>
      </c>
      <c r="K19">
        <v>346.0991</v>
      </c>
      <c r="L19">
        <v>372.0776</v>
      </c>
      <c r="M19">
        <v>661</v>
      </c>
      <c r="N19">
        <v>146.6203</v>
      </c>
    </row>
    <row r="20" spans="1:14" ht="12.75">
      <c r="A20" t="s">
        <v>32</v>
      </c>
      <c r="B20" s="80">
        <v>40807</v>
      </c>
      <c r="C20">
        <v>19</v>
      </c>
      <c r="D20">
        <v>1087.233</v>
      </c>
      <c r="E20">
        <v>849.37631</v>
      </c>
      <c r="F20">
        <v>69.50884</v>
      </c>
      <c r="G20">
        <v>34.35814</v>
      </c>
      <c r="H20">
        <v>193.8246</v>
      </c>
      <c r="I20">
        <v>219.8389</v>
      </c>
      <c r="J20">
        <v>237.8564</v>
      </c>
      <c r="K20">
        <v>255.8738</v>
      </c>
      <c r="L20">
        <v>281.8881</v>
      </c>
      <c r="M20">
        <v>661</v>
      </c>
      <c r="N20">
        <v>146.6203</v>
      </c>
    </row>
    <row r="21" spans="1:14" ht="12.75">
      <c r="A21" t="s">
        <v>32</v>
      </c>
      <c r="B21" s="80">
        <v>40807</v>
      </c>
      <c r="C21">
        <v>20</v>
      </c>
      <c r="D21">
        <v>1089.423</v>
      </c>
      <c r="E21">
        <v>888.78156</v>
      </c>
      <c r="F21">
        <v>67.99106</v>
      </c>
      <c r="G21">
        <v>34.34558</v>
      </c>
      <c r="H21">
        <v>156.6257</v>
      </c>
      <c r="I21">
        <v>182.6305</v>
      </c>
      <c r="J21">
        <v>200.6413</v>
      </c>
      <c r="K21">
        <v>218.6521</v>
      </c>
      <c r="L21">
        <v>244.6569</v>
      </c>
      <c r="M21">
        <v>661</v>
      </c>
      <c r="N21">
        <v>146.6203</v>
      </c>
    </row>
    <row r="22" spans="1:14" ht="12.75">
      <c r="A22" t="s">
        <v>32</v>
      </c>
      <c r="B22" s="80">
        <v>40807</v>
      </c>
      <c r="C22">
        <v>21</v>
      </c>
      <c r="D22">
        <v>1090.996</v>
      </c>
      <c r="E22">
        <v>905.56754</v>
      </c>
      <c r="F22">
        <v>66.3652</v>
      </c>
      <c r="G22">
        <v>34.56427</v>
      </c>
      <c r="H22">
        <v>141.133</v>
      </c>
      <c r="I22">
        <v>167.3034</v>
      </c>
      <c r="J22">
        <v>185.4289</v>
      </c>
      <c r="K22">
        <v>203.5544</v>
      </c>
      <c r="L22">
        <v>229.7248</v>
      </c>
      <c r="M22">
        <v>661</v>
      </c>
      <c r="N22">
        <v>146.6203</v>
      </c>
    </row>
    <row r="23" spans="1:14" ht="12.75">
      <c r="A23" t="s">
        <v>32</v>
      </c>
      <c r="B23" s="80">
        <v>40807</v>
      </c>
      <c r="C23">
        <v>22</v>
      </c>
      <c r="D23">
        <v>1078.86</v>
      </c>
      <c r="E23">
        <v>922.56496</v>
      </c>
      <c r="F23">
        <v>65.46286</v>
      </c>
      <c r="G23">
        <v>34.57467</v>
      </c>
      <c r="H23">
        <v>111.9857</v>
      </c>
      <c r="I23">
        <v>138.1639</v>
      </c>
      <c r="J23">
        <v>156.2949</v>
      </c>
      <c r="K23">
        <v>174.4259</v>
      </c>
      <c r="L23">
        <v>200.6041</v>
      </c>
      <c r="M23">
        <v>661</v>
      </c>
      <c r="N23">
        <v>146.6203</v>
      </c>
    </row>
    <row r="24" spans="1:14" ht="12.75">
      <c r="A24" t="s">
        <v>32</v>
      </c>
      <c r="B24" s="80">
        <v>40807</v>
      </c>
      <c r="C24">
        <v>23</v>
      </c>
      <c r="D24">
        <v>1113.784</v>
      </c>
      <c r="E24">
        <v>991.78218</v>
      </c>
      <c r="F24">
        <v>64.50697</v>
      </c>
      <c r="G24">
        <v>34.94771</v>
      </c>
      <c r="H24">
        <v>77.21471</v>
      </c>
      <c r="I24">
        <v>103.6754</v>
      </c>
      <c r="J24">
        <v>122.002</v>
      </c>
      <c r="K24">
        <v>140.3286</v>
      </c>
      <c r="L24">
        <v>166.7893</v>
      </c>
      <c r="M24">
        <v>661</v>
      </c>
      <c r="N24">
        <v>146.6203</v>
      </c>
    </row>
    <row r="25" spans="1:14" ht="12.75">
      <c r="A25" t="s">
        <v>32</v>
      </c>
      <c r="B25" s="80">
        <v>40807</v>
      </c>
      <c r="C25">
        <v>24</v>
      </c>
      <c r="D25">
        <v>1113.649</v>
      </c>
      <c r="E25">
        <v>996.0818</v>
      </c>
      <c r="F25">
        <v>64.08939</v>
      </c>
      <c r="G25">
        <v>34.82574</v>
      </c>
      <c r="H25">
        <v>72.93578</v>
      </c>
      <c r="I25">
        <v>99.30412</v>
      </c>
      <c r="J25">
        <v>117.5668</v>
      </c>
      <c r="K25">
        <v>135.8294</v>
      </c>
      <c r="L25">
        <v>162.1978</v>
      </c>
      <c r="M25">
        <v>661</v>
      </c>
      <c r="N25">
        <v>146.6203</v>
      </c>
    </row>
    <row r="26" spans="1:14" ht="12.75">
      <c r="A26" t="s">
        <v>27</v>
      </c>
      <c r="B26" s="80">
        <v>40807</v>
      </c>
      <c r="C26">
        <v>1</v>
      </c>
      <c r="D26">
        <v>2124.514</v>
      </c>
      <c r="E26">
        <v>2087.8478</v>
      </c>
      <c r="F26">
        <v>61.13806</v>
      </c>
      <c r="G26">
        <v>69.68677</v>
      </c>
      <c r="H26">
        <v>-52.64106</v>
      </c>
      <c r="I26">
        <v>0.1223512</v>
      </c>
      <c r="J26">
        <v>36.66613</v>
      </c>
      <c r="K26">
        <v>73.20991</v>
      </c>
      <c r="L26">
        <v>125.9733</v>
      </c>
      <c r="M26">
        <v>62</v>
      </c>
      <c r="N26">
        <v>136.2903</v>
      </c>
    </row>
    <row r="27" spans="1:14" ht="12.75">
      <c r="A27" t="s">
        <v>27</v>
      </c>
      <c r="B27" s="80">
        <v>40807</v>
      </c>
      <c r="C27">
        <v>2</v>
      </c>
      <c r="D27">
        <v>2121.795</v>
      </c>
      <c r="E27">
        <v>2087.8205</v>
      </c>
      <c r="F27">
        <v>60.74274</v>
      </c>
      <c r="G27">
        <v>69.6116</v>
      </c>
      <c r="H27">
        <v>-55.23662</v>
      </c>
      <c r="I27">
        <v>-2.53013</v>
      </c>
      <c r="J27">
        <v>33.97423</v>
      </c>
      <c r="K27">
        <v>70.47858</v>
      </c>
      <c r="L27">
        <v>123.1851</v>
      </c>
      <c r="M27">
        <v>62</v>
      </c>
      <c r="N27">
        <v>136.2903</v>
      </c>
    </row>
    <row r="28" spans="1:14" ht="12.75">
      <c r="A28" t="s">
        <v>27</v>
      </c>
      <c r="B28" s="80">
        <v>40807</v>
      </c>
      <c r="C28">
        <v>3</v>
      </c>
      <c r="D28">
        <v>2117.66</v>
      </c>
      <c r="E28">
        <v>2058.374</v>
      </c>
      <c r="F28">
        <v>60.14065</v>
      </c>
      <c r="G28">
        <v>69.56422</v>
      </c>
      <c r="H28">
        <v>-29.86443</v>
      </c>
      <c r="I28">
        <v>22.80619</v>
      </c>
      <c r="J28">
        <v>59.28571</v>
      </c>
      <c r="K28">
        <v>95.76521</v>
      </c>
      <c r="L28">
        <v>148.4358</v>
      </c>
      <c r="M28">
        <v>62</v>
      </c>
      <c r="N28">
        <v>136.2903</v>
      </c>
    </row>
    <row r="29" spans="1:14" ht="12.75">
      <c r="A29" t="s">
        <v>27</v>
      </c>
      <c r="B29" s="80">
        <v>40807</v>
      </c>
      <c r="C29">
        <v>4</v>
      </c>
      <c r="D29">
        <v>2154.202</v>
      </c>
      <c r="E29">
        <v>2089.897</v>
      </c>
      <c r="F29">
        <v>59.46661</v>
      </c>
      <c r="G29">
        <v>69.58553</v>
      </c>
      <c r="H29">
        <v>-24.87234</v>
      </c>
      <c r="I29">
        <v>27.81442</v>
      </c>
      <c r="J29">
        <v>64.30511</v>
      </c>
      <c r="K29">
        <v>100.7958</v>
      </c>
      <c r="L29">
        <v>153.4826</v>
      </c>
      <c r="M29">
        <v>62</v>
      </c>
      <c r="N29">
        <v>136.2903</v>
      </c>
    </row>
    <row r="30" spans="1:14" ht="12.75">
      <c r="A30" t="s">
        <v>27</v>
      </c>
      <c r="B30" s="80">
        <v>40807</v>
      </c>
      <c r="C30">
        <v>5</v>
      </c>
      <c r="D30">
        <v>2228.394</v>
      </c>
      <c r="E30">
        <v>2011.4039</v>
      </c>
      <c r="F30">
        <v>59.20258</v>
      </c>
      <c r="G30">
        <v>69.70678</v>
      </c>
      <c r="H30">
        <v>127.6573</v>
      </c>
      <c r="I30">
        <v>180.4358</v>
      </c>
      <c r="J30">
        <v>216.9901</v>
      </c>
      <c r="K30">
        <v>253.5444</v>
      </c>
      <c r="L30">
        <v>306.3229</v>
      </c>
      <c r="M30">
        <v>62</v>
      </c>
      <c r="N30">
        <v>136.2903</v>
      </c>
    </row>
    <row r="31" spans="1:14" ht="12.75">
      <c r="A31" t="s">
        <v>27</v>
      </c>
      <c r="B31" s="80">
        <v>40807</v>
      </c>
      <c r="C31">
        <v>6</v>
      </c>
      <c r="D31">
        <v>2287.51</v>
      </c>
      <c r="E31">
        <v>1907.243</v>
      </c>
      <c r="F31">
        <v>58.88323</v>
      </c>
      <c r="G31">
        <v>69.91026</v>
      </c>
      <c r="H31">
        <v>290.6734</v>
      </c>
      <c r="I31">
        <v>343.606</v>
      </c>
      <c r="J31">
        <v>380.267</v>
      </c>
      <c r="K31">
        <v>416.928</v>
      </c>
      <c r="L31">
        <v>469.8606</v>
      </c>
      <c r="M31">
        <v>62</v>
      </c>
      <c r="N31">
        <v>136.2903</v>
      </c>
    </row>
    <row r="32" spans="1:14" ht="12.75">
      <c r="A32" t="s">
        <v>27</v>
      </c>
      <c r="B32" s="80">
        <v>40807</v>
      </c>
      <c r="C32">
        <v>7</v>
      </c>
      <c r="D32">
        <v>2328.279</v>
      </c>
      <c r="E32">
        <v>1894.4212</v>
      </c>
      <c r="F32">
        <v>59.23629</v>
      </c>
      <c r="G32">
        <v>69.94889</v>
      </c>
      <c r="H32">
        <v>344.215</v>
      </c>
      <c r="I32">
        <v>397.1768</v>
      </c>
      <c r="J32">
        <v>433.8581</v>
      </c>
      <c r="K32">
        <v>470.5393</v>
      </c>
      <c r="L32">
        <v>523.5012</v>
      </c>
      <c r="M32">
        <v>62</v>
      </c>
      <c r="N32">
        <v>136.2903</v>
      </c>
    </row>
    <row r="33" spans="1:14" ht="12.75">
      <c r="A33" t="s">
        <v>27</v>
      </c>
      <c r="B33" s="80">
        <v>40807</v>
      </c>
      <c r="C33">
        <v>8</v>
      </c>
      <c r="D33">
        <v>2307.252</v>
      </c>
      <c r="E33">
        <v>1873.2211</v>
      </c>
      <c r="F33">
        <v>62.16581</v>
      </c>
      <c r="G33">
        <v>69.97623</v>
      </c>
      <c r="H33">
        <v>344.3525</v>
      </c>
      <c r="I33">
        <v>397.3351</v>
      </c>
      <c r="J33">
        <v>434.0306</v>
      </c>
      <c r="K33">
        <v>470.7262</v>
      </c>
      <c r="L33">
        <v>523.7088</v>
      </c>
      <c r="M33">
        <v>62</v>
      </c>
      <c r="N33">
        <v>136.2903</v>
      </c>
    </row>
    <row r="34" spans="1:14" ht="12.75">
      <c r="A34" t="s">
        <v>27</v>
      </c>
      <c r="B34" s="80">
        <v>40807</v>
      </c>
      <c r="C34">
        <v>9</v>
      </c>
      <c r="D34">
        <v>2278.832</v>
      </c>
      <c r="E34">
        <v>1861.9666</v>
      </c>
      <c r="F34">
        <v>66.24984</v>
      </c>
      <c r="G34">
        <v>69.98679</v>
      </c>
      <c r="H34">
        <v>327.1735</v>
      </c>
      <c r="I34">
        <v>380.164</v>
      </c>
      <c r="J34">
        <v>416.8651</v>
      </c>
      <c r="K34">
        <v>453.5663</v>
      </c>
      <c r="L34">
        <v>506.5568</v>
      </c>
      <c r="M34">
        <v>62</v>
      </c>
      <c r="N34">
        <v>136.2903</v>
      </c>
    </row>
    <row r="35" spans="1:14" ht="12.75">
      <c r="A35" t="s">
        <v>27</v>
      </c>
      <c r="B35" s="80">
        <v>40807</v>
      </c>
      <c r="C35">
        <v>10</v>
      </c>
      <c r="D35">
        <v>2265.204</v>
      </c>
      <c r="E35">
        <v>1831.6025</v>
      </c>
      <c r="F35">
        <v>71.17548</v>
      </c>
      <c r="G35">
        <v>70.02254</v>
      </c>
      <c r="H35">
        <v>343.8636</v>
      </c>
      <c r="I35">
        <v>396.8812</v>
      </c>
      <c r="J35">
        <v>433.6011</v>
      </c>
      <c r="K35">
        <v>470.321</v>
      </c>
      <c r="L35">
        <v>523.3386</v>
      </c>
      <c r="M35">
        <v>62</v>
      </c>
      <c r="N35">
        <v>136.2903</v>
      </c>
    </row>
    <row r="36" spans="1:14" ht="12.75">
      <c r="A36" t="s">
        <v>27</v>
      </c>
      <c r="B36" s="80">
        <v>40807</v>
      </c>
      <c r="C36">
        <v>11</v>
      </c>
      <c r="D36">
        <v>2255.881</v>
      </c>
      <c r="E36">
        <v>1819.3324</v>
      </c>
      <c r="F36">
        <v>74.49597</v>
      </c>
      <c r="G36">
        <v>70.00053</v>
      </c>
      <c r="H36">
        <v>346.8394</v>
      </c>
      <c r="I36">
        <v>399.8404</v>
      </c>
      <c r="J36">
        <v>436.5487</v>
      </c>
      <c r="K36">
        <v>473.257</v>
      </c>
      <c r="L36">
        <v>526.258</v>
      </c>
      <c r="M36">
        <v>62</v>
      </c>
      <c r="N36">
        <v>136.2903</v>
      </c>
    </row>
    <row r="37" spans="1:14" ht="12.75">
      <c r="A37" t="s">
        <v>27</v>
      </c>
      <c r="B37" s="80">
        <v>40807</v>
      </c>
      <c r="C37">
        <v>12</v>
      </c>
      <c r="D37">
        <v>2221.368</v>
      </c>
      <c r="E37">
        <v>1748.4004</v>
      </c>
      <c r="F37">
        <v>75.93016</v>
      </c>
      <c r="G37">
        <v>69.9557</v>
      </c>
      <c r="H37">
        <v>383.3159</v>
      </c>
      <c r="I37">
        <v>436.2829</v>
      </c>
      <c r="J37">
        <v>472.9677</v>
      </c>
      <c r="K37">
        <v>509.6525</v>
      </c>
      <c r="L37">
        <v>562.6196</v>
      </c>
      <c r="M37">
        <v>62</v>
      </c>
      <c r="N37">
        <v>136.2903</v>
      </c>
    </row>
    <row r="38" spans="1:14" ht="12.75">
      <c r="A38" t="s">
        <v>27</v>
      </c>
      <c r="B38" s="80">
        <v>40807</v>
      </c>
      <c r="C38">
        <v>13</v>
      </c>
      <c r="D38">
        <v>2177.352</v>
      </c>
      <c r="E38">
        <v>1699.8073</v>
      </c>
      <c r="F38">
        <v>77.21113</v>
      </c>
      <c r="G38">
        <v>69.92003</v>
      </c>
      <c r="H38">
        <v>387.9387</v>
      </c>
      <c r="I38">
        <v>440.8787</v>
      </c>
      <c r="J38">
        <v>477.5448</v>
      </c>
      <c r="K38">
        <v>514.2109</v>
      </c>
      <c r="L38">
        <v>567.1509</v>
      </c>
      <c r="M38">
        <v>62</v>
      </c>
      <c r="N38">
        <v>136.2903</v>
      </c>
    </row>
    <row r="39" spans="1:14" ht="12.75">
      <c r="A39" t="s">
        <v>27</v>
      </c>
      <c r="B39" s="80">
        <v>40807</v>
      </c>
      <c r="C39">
        <v>14</v>
      </c>
      <c r="D39">
        <v>2163.996</v>
      </c>
      <c r="E39">
        <v>1636.4346</v>
      </c>
      <c r="F39">
        <v>78.10645</v>
      </c>
      <c r="G39">
        <v>69.93646</v>
      </c>
      <c r="H39">
        <v>437.9343</v>
      </c>
      <c r="I39">
        <v>490.8867</v>
      </c>
      <c r="J39">
        <v>527.5615</v>
      </c>
      <c r="K39">
        <v>564.2361</v>
      </c>
      <c r="L39">
        <v>617.1887</v>
      </c>
      <c r="M39">
        <v>62</v>
      </c>
      <c r="N39">
        <v>136.2903</v>
      </c>
    </row>
    <row r="40" spans="1:14" ht="12.75">
      <c r="A40" t="s">
        <v>27</v>
      </c>
      <c r="B40" s="80">
        <v>40807</v>
      </c>
      <c r="C40">
        <v>15</v>
      </c>
      <c r="D40">
        <v>2132.561</v>
      </c>
      <c r="E40">
        <v>822.86007</v>
      </c>
      <c r="F40">
        <v>77.4679</v>
      </c>
      <c r="G40">
        <v>69.83662</v>
      </c>
      <c r="H40">
        <v>1220.202</v>
      </c>
      <c r="I40">
        <v>1273.078</v>
      </c>
      <c r="J40">
        <v>1309.701</v>
      </c>
      <c r="K40">
        <v>1346.323</v>
      </c>
      <c r="L40">
        <v>1399.2</v>
      </c>
      <c r="M40">
        <v>62</v>
      </c>
      <c r="N40">
        <v>136.2903</v>
      </c>
    </row>
    <row r="41" spans="1:14" ht="12.75">
      <c r="A41" t="s">
        <v>27</v>
      </c>
      <c r="B41" s="80">
        <v>40807</v>
      </c>
      <c r="C41">
        <v>16</v>
      </c>
      <c r="D41">
        <v>2106.54</v>
      </c>
      <c r="E41">
        <v>169.74005</v>
      </c>
      <c r="F41">
        <v>76.10532</v>
      </c>
      <c r="G41">
        <v>69.73228</v>
      </c>
      <c r="H41">
        <v>1847.435</v>
      </c>
      <c r="I41">
        <v>1900.233</v>
      </c>
      <c r="J41">
        <v>1936.8</v>
      </c>
      <c r="K41">
        <v>1973.368</v>
      </c>
      <c r="L41">
        <v>2026.166</v>
      </c>
      <c r="M41">
        <v>62</v>
      </c>
      <c r="N41">
        <v>136.2903</v>
      </c>
    </row>
    <row r="42" spans="1:14" ht="12.75">
      <c r="A42" t="s">
        <v>27</v>
      </c>
      <c r="B42" s="80">
        <v>40807</v>
      </c>
      <c r="C42">
        <v>17</v>
      </c>
      <c r="D42">
        <v>2102.238</v>
      </c>
      <c r="E42">
        <v>446.77764</v>
      </c>
      <c r="F42">
        <v>73.58548</v>
      </c>
      <c r="G42">
        <v>69.6889</v>
      </c>
      <c r="H42">
        <v>1566.151</v>
      </c>
      <c r="I42">
        <v>1618.916</v>
      </c>
      <c r="J42">
        <v>1655.46</v>
      </c>
      <c r="K42">
        <v>1692.005</v>
      </c>
      <c r="L42">
        <v>1744.77</v>
      </c>
      <c r="M42">
        <v>62</v>
      </c>
      <c r="N42">
        <v>136.2903</v>
      </c>
    </row>
    <row r="43" spans="1:14" ht="12.75">
      <c r="A43" t="s">
        <v>27</v>
      </c>
      <c r="B43" s="80">
        <v>40807</v>
      </c>
      <c r="C43">
        <v>18</v>
      </c>
      <c r="D43">
        <v>2098.534</v>
      </c>
      <c r="E43">
        <v>1278.2839</v>
      </c>
      <c r="F43">
        <v>70.91</v>
      </c>
      <c r="G43">
        <v>69.66466</v>
      </c>
      <c r="H43">
        <v>730.9711</v>
      </c>
      <c r="I43">
        <v>783.7178</v>
      </c>
      <c r="J43">
        <v>820.25</v>
      </c>
      <c r="K43">
        <v>856.7822</v>
      </c>
      <c r="L43">
        <v>909.5289</v>
      </c>
      <c r="M43">
        <v>62</v>
      </c>
      <c r="N43">
        <v>136.2903</v>
      </c>
    </row>
    <row r="44" spans="1:14" ht="12.75">
      <c r="A44" t="s">
        <v>27</v>
      </c>
      <c r="B44" s="80">
        <v>40807</v>
      </c>
      <c r="C44">
        <v>19</v>
      </c>
      <c r="D44">
        <v>2129.886</v>
      </c>
      <c r="E44">
        <v>1769.9866</v>
      </c>
      <c r="F44">
        <v>68.26435</v>
      </c>
      <c r="G44">
        <v>69.67076</v>
      </c>
      <c r="H44">
        <v>270.6129</v>
      </c>
      <c r="I44">
        <v>323.3642</v>
      </c>
      <c r="J44">
        <v>359.8996</v>
      </c>
      <c r="K44">
        <v>396.435</v>
      </c>
      <c r="L44">
        <v>449.1863</v>
      </c>
      <c r="M44">
        <v>62</v>
      </c>
      <c r="N44">
        <v>136.2903</v>
      </c>
    </row>
    <row r="45" spans="1:14" ht="12.75">
      <c r="A45" t="s">
        <v>27</v>
      </c>
      <c r="B45" s="80">
        <v>40807</v>
      </c>
      <c r="C45">
        <v>20</v>
      </c>
      <c r="D45">
        <v>2150.666</v>
      </c>
      <c r="E45">
        <v>2001.1763</v>
      </c>
      <c r="F45">
        <v>66.74823</v>
      </c>
      <c r="G45">
        <v>69.70355</v>
      </c>
      <c r="H45">
        <v>60.16049</v>
      </c>
      <c r="I45">
        <v>112.9366</v>
      </c>
      <c r="J45">
        <v>149.4892</v>
      </c>
      <c r="K45">
        <v>186.0418</v>
      </c>
      <c r="L45">
        <v>238.8179</v>
      </c>
      <c r="M45">
        <v>62</v>
      </c>
      <c r="N45">
        <v>136.2903</v>
      </c>
    </row>
    <row r="46" spans="1:14" ht="12.75">
      <c r="A46" t="s">
        <v>27</v>
      </c>
      <c r="B46" s="80">
        <v>40807</v>
      </c>
      <c r="C46">
        <v>21</v>
      </c>
      <c r="D46">
        <v>2158.127</v>
      </c>
      <c r="E46">
        <v>1995.2735</v>
      </c>
      <c r="F46">
        <v>65.23887</v>
      </c>
      <c r="G46">
        <v>69.62959</v>
      </c>
      <c r="H46">
        <v>73.61977</v>
      </c>
      <c r="I46">
        <v>126.3399</v>
      </c>
      <c r="J46">
        <v>162.8537</v>
      </c>
      <c r="K46">
        <v>199.3675</v>
      </c>
      <c r="L46">
        <v>252.0876</v>
      </c>
      <c r="M46">
        <v>62</v>
      </c>
      <c r="N46">
        <v>136.2903</v>
      </c>
    </row>
    <row r="47" spans="1:14" ht="12.75">
      <c r="A47" t="s">
        <v>27</v>
      </c>
      <c r="B47" s="80">
        <v>40807</v>
      </c>
      <c r="C47">
        <v>22</v>
      </c>
      <c r="D47">
        <v>2146.367</v>
      </c>
      <c r="E47">
        <v>2043.5053</v>
      </c>
      <c r="F47">
        <v>64.32677</v>
      </c>
      <c r="G47">
        <v>69.65356</v>
      </c>
      <c r="H47">
        <v>13.59746</v>
      </c>
      <c r="I47">
        <v>66.33573</v>
      </c>
      <c r="J47">
        <v>102.8621</v>
      </c>
      <c r="K47">
        <v>139.3885</v>
      </c>
      <c r="L47">
        <v>192.1267</v>
      </c>
      <c r="M47">
        <v>62</v>
      </c>
      <c r="N47">
        <v>136.2903</v>
      </c>
    </row>
    <row r="48" spans="1:14" ht="12.75">
      <c r="A48" t="s">
        <v>27</v>
      </c>
      <c r="B48" s="80">
        <v>40807</v>
      </c>
      <c r="C48">
        <v>23</v>
      </c>
      <c r="D48">
        <v>2122.179</v>
      </c>
      <c r="E48">
        <v>2038.2839</v>
      </c>
      <c r="F48">
        <v>63.19</v>
      </c>
      <c r="G48">
        <v>69.74787</v>
      </c>
      <c r="H48">
        <v>-5.490668</v>
      </c>
      <c r="I48">
        <v>47.319</v>
      </c>
      <c r="J48">
        <v>83.89483</v>
      </c>
      <c r="K48">
        <v>120.4706</v>
      </c>
      <c r="L48">
        <v>173.2803</v>
      </c>
      <c r="M48">
        <v>62</v>
      </c>
      <c r="N48">
        <v>136.2903</v>
      </c>
    </row>
    <row r="49" spans="1:14" ht="12.75">
      <c r="A49" t="s">
        <v>27</v>
      </c>
      <c r="B49" s="80">
        <v>40807</v>
      </c>
      <c r="C49">
        <v>24</v>
      </c>
      <c r="D49">
        <v>2129.822</v>
      </c>
      <c r="E49">
        <v>2055.0028</v>
      </c>
      <c r="F49">
        <v>62.61516</v>
      </c>
      <c r="G49">
        <v>69.7683</v>
      </c>
      <c r="H49">
        <v>-14.59221</v>
      </c>
      <c r="I49">
        <v>38.23294</v>
      </c>
      <c r="J49">
        <v>74.81947</v>
      </c>
      <c r="K49">
        <v>111.406</v>
      </c>
      <c r="L49">
        <v>164.2312</v>
      </c>
      <c r="M49">
        <v>62</v>
      </c>
      <c r="N49">
        <v>136.2903</v>
      </c>
    </row>
    <row r="50" spans="1:14" ht="12.75">
      <c r="A50" t="s">
        <v>28</v>
      </c>
      <c r="B50" s="80">
        <v>40807</v>
      </c>
      <c r="C50">
        <v>1</v>
      </c>
      <c r="D50">
        <v>1243.243</v>
      </c>
      <c r="E50">
        <v>1218.3658</v>
      </c>
      <c r="F50">
        <v>62.61575</v>
      </c>
      <c r="G50">
        <v>59.94556</v>
      </c>
      <c r="H50">
        <v>-51.94572</v>
      </c>
      <c r="I50">
        <v>-6.55788</v>
      </c>
      <c r="J50">
        <v>24.8776</v>
      </c>
      <c r="K50">
        <v>56.31308</v>
      </c>
      <c r="L50">
        <v>101.7009</v>
      </c>
      <c r="M50">
        <v>374</v>
      </c>
      <c r="N50">
        <v>172.4545</v>
      </c>
    </row>
    <row r="51" spans="1:14" ht="12.75">
      <c r="A51" t="s">
        <v>28</v>
      </c>
      <c r="B51" s="80">
        <v>40807</v>
      </c>
      <c r="C51">
        <v>2</v>
      </c>
      <c r="D51">
        <v>1224.077</v>
      </c>
      <c r="E51">
        <v>1224.2612</v>
      </c>
      <c r="F51">
        <v>62.15425</v>
      </c>
      <c r="G51">
        <v>59.88791</v>
      </c>
      <c r="H51">
        <v>-76.93399</v>
      </c>
      <c r="I51">
        <v>-31.5898</v>
      </c>
      <c r="J51">
        <v>-0.1845486</v>
      </c>
      <c r="K51">
        <v>31.2207</v>
      </c>
      <c r="L51">
        <v>76.5649</v>
      </c>
      <c r="M51">
        <v>374</v>
      </c>
      <c r="N51">
        <v>172.4545</v>
      </c>
    </row>
    <row r="52" spans="1:14" ht="12.75">
      <c r="A52" t="s">
        <v>28</v>
      </c>
      <c r="B52" s="80">
        <v>40807</v>
      </c>
      <c r="C52">
        <v>3</v>
      </c>
      <c r="D52">
        <v>1206.513</v>
      </c>
      <c r="E52">
        <v>1204.5031</v>
      </c>
      <c r="F52">
        <v>61.69607</v>
      </c>
      <c r="G52">
        <v>60.00418</v>
      </c>
      <c r="H52">
        <v>-74.88833</v>
      </c>
      <c r="I52">
        <v>-29.4561</v>
      </c>
      <c r="J52">
        <v>2.010127</v>
      </c>
      <c r="K52">
        <v>33.47635</v>
      </c>
      <c r="L52">
        <v>78.90858</v>
      </c>
      <c r="M52">
        <v>374</v>
      </c>
      <c r="N52">
        <v>172.4545</v>
      </c>
    </row>
    <row r="53" spans="1:14" ht="12.75">
      <c r="A53" t="s">
        <v>28</v>
      </c>
      <c r="B53" s="80">
        <v>40807</v>
      </c>
      <c r="C53">
        <v>4</v>
      </c>
      <c r="D53">
        <v>1209.947</v>
      </c>
      <c r="E53">
        <v>1200.0108</v>
      </c>
      <c r="F53">
        <v>61.14158</v>
      </c>
      <c r="G53">
        <v>60.19824</v>
      </c>
      <c r="H53">
        <v>-67.21095</v>
      </c>
      <c r="I53">
        <v>-21.63179</v>
      </c>
      <c r="J53">
        <v>9.936193</v>
      </c>
      <c r="K53">
        <v>41.50418</v>
      </c>
      <c r="L53">
        <v>87.08334</v>
      </c>
      <c r="M53">
        <v>374</v>
      </c>
      <c r="N53">
        <v>172.4545</v>
      </c>
    </row>
    <row r="54" spans="1:14" ht="12.75">
      <c r="A54" t="s">
        <v>28</v>
      </c>
      <c r="B54" s="80">
        <v>40807</v>
      </c>
      <c r="C54">
        <v>5</v>
      </c>
      <c r="D54">
        <v>1235.423</v>
      </c>
      <c r="E54">
        <v>1204.5261</v>
      </c>
      <c r="F54">
        <v>60.97251</v>
      </c>
      <c r="G54">
        <v>60.14971</v>
      </c>
      <c r="H54">
        <v>-46.18789</v>
      </c>
      <c r="I54">
        <v>-0.645469</v>
      </c>
      <c r="J54">
        <v>30.89707</v>
      </c>
      <c r="K54">
        <v>62.43961</v>
      </c>
      <c r="L54">
        <v>107.982</v>
      </c>
      <c r="M54">
        <v>374</v>
      </c>
      <c r="N54">
        <v>172.4545</v>
      </c>
    </row>
    <row r="55" spans="1:14" ht="12.75">
      <c r="A55" t="s">
        <v>28</v>
      </c>
      <c r="B55" s="80">
        <v>40807</v>
      </c>
      <c r="C55">
        <v>6</v>
      </c>
      <c r="D55">
        <v>1287.131</v>
      </c>
      <c r="E55">
        <v>1261.8727</v>
      </c>
      <c r="F55">
        <v>60.75326</v>
      </c>
      <c r="G55">
        <v>60.15615</v>
      </c>
      <c r="H55">
        <v>-51.83471</v>
      </c>
      <c r="I55">
        <v>-6.287414</v>
      </c>
      <c r="J55">
        <v>25.2585</v>
      </c>
      <c r="K55">
        <v>56.80442</v>
      </c>
      <c r="L55">
        <v>102.3517</v>
      </c>
      <c r="M55">
        <v>374</v>
      </c>
      <c r="N55">
        <v>172.4545</v>
      </c>
    </row>
    <row r="56" spans="1:14" ht="12.75">
      <c r="A56" t="s">
        <v>28</v>
      </c>
      <c r="B56" s="80">
        <v>40807</v>
      </c>
      <c r="C56">
        <v>7</v>
      </c>
      <c r="D56">
        <v>1322.218</v>
      </c>
      <c r="E56">
        <v>1177.2828</v>
      </c>
      <c r="F56">
        <v>61.28684</v>
      </c>
      <c r="G56">
        <v>60.193</v>
      </c>
      <c r="H56">
        <v>67.79427</v>
      </c>
      <c r="I56">
        <v>113.3695</v>
      </c>
      <c r="J56">
        <v>144.9347</v>
      </c>
      <c r="K56">
        <v>176.5</v>
      </c>
      <c r="L56">
        <v>222.0751</v>
      </c>
      <c r="M56">
        <v>374</v>
      </c>
      <c r="N56">
        <v>172.4545</v>
      </c>
    </row>
    <row r="57" spans="1:14" ht="12.75">
      <c r="A57" t="s">
        <v>28</v>
      </c>
      <c r="B57" s="80">
        <v>40807</v>
      </c>
      <c r="C57">
        <v>8</v>
      </c>
      <c r="D57">
        <v>1306.385</v>
      </c>
      <c r="E57">
        <v>1215.7519</v>
      </c>
      <c r="F57">
        <v>63.59794</v>
      </c>
      <c r="G57">
        <v>60.05049</v>
      </c>
      <c r="H57">
        <v>13.67493</v>
      </c>
      <c r="I57">
        <v>59.14222</v>
      </c>
      <c r="J57">
        <v>90.63274</v>
      </c>
      <c r="K57">
        <v>122.1232</v>
      </c>
      <c r="L57">
        <v>167.5905</v>
      </c>
      <c r="M57">
        <v>374</v>
      </c>
      <c r="N57">
        <v>172.4545</v>
      </c>
    </row>
    <row r="58" spans="1:14" ht="12.75">
      <c r="A58" t="s">
        <v>28</v>
      </c>
      <c r="B58" s="80">
        <v>40807</v>
      </c>
      <c r="C58">
        <v>9</v>
      </c>
      <c r="D58">
        <v>1287.748</v>
      </c>
      <c r="E58">
        <v>1225.263</v>
      </c>
      <c r="F58">
        <v>67.43882</v>
      </c>
      <c r="G58">
        <v>59.08538</v>
      </c>
      <c r="H58">
        <v>-13.23555</v>
      </c>
      <c r="I58">
        <v>31.50101</v>
      </c>
      <c r="J58">
        <v>62.48541</v>
      </c>
      <c r="K58">
        <v>93.46981</v>
      </c>
      <c r="L58">
        <v>138.2064</v>
      </c>
      <c r="M58">
        <v>374</v>
      </c>
      <c r="N58">
        <v>172.4545</v>
      </c>
    </row>
    <row r="59" spans="1:14" ht="12.75">
      <c r="A59" t="s">
        <v>28</v>
      </c>
      <c r="B59" s="80">
        <v>40807</v>
      </c>
      <c r="C59">
        <v>10</v>
      </c>
      <c r="D59">
        <v>1305.061</v>
      </c>
      <c r="E59">
        <v>1224.3477</v>
      </c>
      <c r="F59">
        <v>72.22345</v>
      </c>
      <c r="G59">
        <v>59.14877</v>
      </c>
      <c r="H59">
        <v>4.910776</v>
      </c>
      <c r="I59">
        <v>49.69533</v>
      </c>
      <c r="J59">
        <v>80.71298</v>
      </c>
      <c r="K59">
        <v>111.7306</v>
      </c>
      <c r="L59">
        <v>156.5152</v>
      </c>
      <c r="M59">
        <v>374</v>
      </c>
      <c r="N59">
        <v>172.4545</v>
      </c>
    </row>
    <row r="60" spans="1:14" ht="12.75">
      <c r="A60" t="s">
        <v>28</v>
      </c>
      <c r="B60" s="80">
        <v>40807</v>
      </c>
      <c r="C60">
        <v>11</v>
      </c>
      <c r="D60">
        <v>1303.708</v>
      </c>
      <c r="E60">
        <v>1228.3981</v>
      </c>
      <c r="F60">
        <v>75.79139</v>
      </c>
      <c r="G60">
        <v>59.0081</v>
      </c>
      <c r="H60">
        <v>-0.312368</v>
      </c>
      <c r="I60">
        <v>44.36568</v>
      </c>
      <c r="J60">
        <v>75.30956</v>
      </c>
      <c r="K60">
        <v>106.2534</v>
      </c>
      <c r="L60">
        <v>150.9315</v>
      </c>
      <c r="M60">
        <v>374</v>
      </c>
      <c r="N60">
        <v>172.4545</v>
      </c>
    </row>
    <row r="61" spans="1:14" ht="12.75">
      <c r="A61" t="s">
        <v>28</v>
      </c>
      <c r="B61" s="80">
        <v>40807</v>
      </c>
      <c r="C61">
        <v>12</v>
      </c>
      <c r="D61">
        <v>1290.925</v>
      </c>
      <c r="E61">
        <v>1249.5632</v>
      </c>
      <c r="F61">
        <v>77.20254</v>
      </c>
      <c r="G61">
        <v>58.80275</v>
      </c>
      <c r="H61">
        <v>-33.99651</v>
      </c>
      <c r="I61">
        <v>10.52606</v>
      </c>
      <c r="J61">
        <v>41.36226</v>
      </c>
      <c r="K61">
        <v>72.19845</v>
      </c>
      <c r="L61">
        <v>116.721</v>
      </c>
      <c r="M61">
        <v>374</v>
      </c>
      <c r="N61">
        <v>172.4545</v>
      </c>
    </row>
    <row r="62" spans="1:14" ht="12.75">
      <c r="A62" t="s">
        <v>28</v>
      </c>
      <c r="B62" s="80">
        <v>40807</v>
      </c>
      <c r="C62">
        <v>13</v>
      </c>
      <c r="D62">
        <v>1280.849</v>
      </c>
      <c r="E62">
        <v>1244.8291</v>
      </c>
      <c r="F62">
        <v>78.5811</v>
      </c>
      <c r="G62">
        <v>58.79512</v>
      </c>
      <c r="H62">
        <v>-39.32856</v>
      </c>
      <c r="I62">
        <v>5.188228</v>
      </c>
      <c r="J62">
        <v>36.02042</v>
      </c>
      <c r="K62">
        <v>66.85262</v>
      </c>
      <c r="L62">
        <v>111.3694</v>
      </c>
      <c r="M62">
        <v>374</v>
      </c>
      <c r="N62">
        <v>172.4545</v>
      </c>
    </row>
    <row r="63" spans="1:14" ht="12.75">
      <c r="A63" t="s">
        <v>28</v>
      </c>
      <c r="B63" s="80">
        <v>40807</v>
      </c>
      <c r="C63">
        <v>14</v>
      </c>
      <c r="D63">
        <v>1269.947</v>
      </c>
      <c r="E63">
        <v>1206.5507</v>
      </c>
      <c r="F63">
        <v>79.28361</v>
      </c>
      <c r="G63">
        <v>58.7718</v>
      </c>
      <c r="H63">
        <v>-11.92258</v>
      </c>
      <c r="I63">
        <v>32.57656</v>
      </c>
      <c r="J63">
        <v>63.39652</v>
      </c>
      <c r="K63">
        <v>94.21648</v>
      </c>
      <c r="L63">
        <v>138.7156</v>
      </c>
      <c r="M63">
        <v>374</v>
      </c>
      <c r="N63">
        <v>172.4545</v>
      </c>
    </row>
    <row r="64" spans="1:14" ht="12.75">
      <c r="A64" t="s">
        <v>28</v>
      </c>
      <c r="B64" s="80">
        <v>40807</v>
      </c>
      <c r="C64">
        <v>15</v>
      </c>
      <c r="D64">
        <v>1257.551</v>
      </c>
      <c r="E64">
        <v>458.91856</v>
      </c>
      <c r="F64">
        <v>78.31642</v>
      </c>
      <c r="G64">
        <v>58.83576</v>
      </c>
      <c r="H64">
        <v>723.2309</v>
      </c>
      <c r="I64">
        <v>767.7784</v>
      </c>
      <c r="J64">
        <v>798.632</v>
      </c>
      <c r="K64">
        <v>829.4855</v>
      </c>
      <c r="L64">
        <v>874.033</v>
      </c>
      <c r="M64">
        <v>374</v>
      </c>
      <c r="N64">
        <v>172.4545</v>
      </c>
    </row>
    <row r="65" spans="1:14" ht="12.75">
      <c r="A65" t="s">
        <v>28</v>
      </c>
      <c r="B65" s="80">
        <v>40807</v>
      </c>
      <c r="C65">
        <v>16</v>
      </c>
      <c r="D65">
        <v>1235.227</v>
      </c>
      <c r="E65">
        <v>222.0844</v>
      </c>
      <c r="F65">
        <v>76.79358</v>
      </c>
      <c r="G65">
        <v>58.76097</v>
      </c>
      <c r="H65">
        <v>937.8376</v>
      </c>
      <c r="I65">
        <v>982.3285</v>
      </c>
      <c r="J65">
        <v>1013.143</v>
      </c>
      <c r="K65">
        <v>1043.957</v>
      </c>
      <c r="L65">
        <v>1088.448</v>
      </c>
      <c r="M65">
        <v>374</v>
      </c>
      <c r="N65">
        <v>172.4545</v>
      </c>
    </row>
    <row r="66" spans="1:14" ht="12.75">
      <c r="A66" t="s">
        <v>28</v>
      </c>
      <c r="B66" s="80">
        <v>40807</v>
      </c>
      <c r="C66">
        <v>17</v>
      </c>
      <c r="D66">
        <v>1220.705</v>
      </c>
      <c r="E66">
        <v>535.89224</v>
      </c>
      <c r="F66">
        <v>74.22693</v>
      </c>
      <c r="G66">
        <v>58.87712</v>
      </c>
      <c r="H66">
        <v>609.359</v>
      </c>
      <c r="I66">
        <v>653.9379</v>
      </c>
      <c r="J66">
        <v>684.813</v>
      </c>
      <c r="K66">
        <v>715.6883</v>
      </c>
      <c r="L66">
        <v>760.2672</v>
      </c>
      <c r="M66">
        <v>374</v>
      </c>
      <c r="N66">
        <v>172.4545</v>
      </c>
    </row>
    <row r="67" spans="1:14" ht="12.75">
      <c r="A67" t="s">
        <v>28</v>
      </c>
      <c r="B67" s="80">
        <v>40807</v>
      </c>
      <c r="C67">
        <v>18</v>
      </c>
      <c r="D67">
        <v>1199.566</v>
      </c>
      <c r="E67">
        <v>784.27409</v>
      </c>
      <c r="F67">
        <v>71.57618</v>
      </c>
      <c r="G67">
        <v>58.83991</v>
      </c>
      <c r="H67">
        <v>339.8858</v>
      </c>
      <c r="I67">
        <v>384.4365</v>
      </c>
      <c r="J67">
        <v>415.2922</v>
      </c>
      <c r="K67">
        <v>446.1479</v>
      </c>
      <c r="L67">
        <v>490.6986</v>
      </c>
      <c r="M67">
        <v>374</v>
      </c>
      <c r="N67">
        <v>172.4545</v>
      </c>
    </row>
    <row r="68" spans="1:14" ht="12.75">
      <c r="A68" t="s">
        <v>28</v>
      </c>
      <c r="B68" s="80">
        <v>40807</v>
      </c>
      <c r="C68">
        <v>19</v>
      </c>
      <c r="D68">
        <v>1202.83</v>
      </c>
      <c r="E68">
        <v>863.2186</v>
      </c>
      <c r="F68">
        <v>69.08356</v>
      </c>
      <c r="G68">
        <v>58.92592</v>
      </c>
      <c r="H68">
        <v>264.0952</v>
      </c>
      <c r="I68">
        <v>308.7111</v>
      </c>
      <c r="J68">
        <v>339.6118</v>
      </c>
      <c r="K68">
        <v>370.5126</v>
      </c>
      <c r="L68">
        <v>415.1284</v>
      </c>
      <c r="M68">
        <v>374</v>
      </c>
      <c r="N68">
        <v>172.4545</v>
      </c>
    </row>
    <row r="69" spans="1:14" ht="12.75">
      <c r="A69" t="s">
        <v>28</v>
      </c>
      <c r="B69" s="80">
        <v>40807</v>
      </c>
      <c r="C69">
        <v>20</v>
      </c>
      <c r="D69">
        <v>1206.591</v>
      </c>
      <c r="E69">
        <v>889.49664</v>
      </c>
      <c r="F69">
        <v>67.59233</v>
      </c>
      <c r="G69">
        <v>58.89947</v>
      </c>
      <c r="H69">
        <v>241.6121</v>
      </c>
      <c r="I69">
        <v>286.2079</v>
      </c>
      <c r="J69">
        <v>317.0948</v>
      </c>
      <c r="K69">
        <v>347.9817</v>
      </c>
      <c r="L69">
        <v>392.5775</v>
      </c>
      <c r="M69">
        <v>374</v>
      </c>
      <c r="N69">
        <v>172.4545</v>
      </c>
    </row>
    <row r="70" spans="1:14" ht="12.75">
      <c r="A70" t="s">
        <v>28</v>
      </c>
      <c r="B70" s="80">
        <v>40807</v>
      </c>
      <c r="C70">
        <v>21</v>
      </c>
      <c r="D70">
        <v>1212.297</v>
      </c>
      <c r="E70">
        <v>925.25998</v>
      </c>
      <c r="F70">
        <v>66.03786</v>
      </c>
      <c r="G70">
        <v>59.29811</v>
      </c>
      <c r="H70">
        <v>211.043</v>
      </c>
      <c r="I70">
        <v>255.9406</v>
      </c>
      <c r="J70">
        <v>287.0365</v>
      </c>
      <c r="K70">
        <v>318.1325</v>
      </c>
      <c r="L70">
        <v>363.0301</v>
      </c>
      <c r="M70">
        <v>374</v>
      </c>
      <c r="N70">
        <v>172.4545</v>
      </c>
    </row>
    <row r="71" spans="1:14" ht="12.75">
      <c r="A71" t="s">
        <v>28</v>
      </c>
      <c r="B71" s="80">
        <v>40807</v>
      </c>
      <c r="C71">
        <v>22</v>
      </c>
      <c r="D71">
        <v>1203.549</v>
      </c>
      <c r="E71">
        <v>962.40409</v>
      </c>
      <c r="F71">
        <v>65.19687</v>
      </c>
      <c r="G71">
        <v>59.3134</v>
      </c>
      <c r="H71">
        <v>165.1322</v>
      </c>
      <c r="I71">
        <v>210.0414</v>
      </c>
      <c r="J71">
        <v>241.1453</v>
      </c>
      <c r="K71">
        <v>272.2493</v>
      </c>
      <c r="L71">
        <v>317.1585</v>
      </c>
      <c r="M71">
        <v>374</v>
      </c>
      <c r="N71">
        <v>172.4545</v>
      </c>
    </row>
    <row r="72" spans="1:14" ht="12.75">
      <c r="A72" t="s">
        <v>28</v>
      </c>
      <c r="B72" s="80">
        <v>40807</v>
      </c>
      <c r="C72">
        <v>23</v>
      </c>
      <c r="D72">
        <v>1284.305</v>
      </c>
      <c r="E72">
        <v>1100.2823</v>
      </c>
      <c r="F72">
        <v>64.35628</v>
      </c>
      <c r="G72">
        <v>59.99319</v>
      </c>
      <c r="H72">
        <v>107.1379</v>
      </c>
      <c r="I72">
        <v>152.5618</v>
      </c>
      <c r="J72">
        <v>184.0223</v>
      </c>
      <c r="K72">
        <v>215.4828</v>
      </c>
      <c r="L72">
        <v>260.9067</v>
      </c>
      <c r="M72">
        <v>374</v>
      </c>
      <c r="N72">
        <v>172.4545</v>
      </c>
    </row>
    <row r="73" spans="1:14" ht="12.75">
      <c r="A73" t="s">
        <v>28</v>
      </c>
      <c r="B73" s="80">
        <v>40807</v>
      </c>
      <c r="C73">
        <v>24</v>
      </c>
      <c r="D73">
        <v>1291.693</v>
      </c>
      <c r="E73">
        <v>1112.2081</v>
      </c>
      <c r="F73">
        <v>63.99765</v>
      </c>
      <c r="G73">
        <v>59.77122</v>
      </c>
      <c r="H73">
        <v>102.8854</v>
      </c>
      <c r="I73">
        <v>148.1412</v>
      </c>
      <c r="J73">
        <v>179.4853</v>
      </c>
      <c r="K73">
        <v>210.8293</v>
      </c>
      <c r="L73">
        <v>256.0852</v>
      </c>
      <c r="M73">
        <v>374</v>
      </c>
      <c r="N73">
        <v>172.4545</v>
      </c>
    </row>
    <row r="74" spans="1:14" ht="12.75">
      <c r="A74" t="s">
        <v>38</v>
      </c>
      <c r="B74" s="80">
        <v>40807</v>
      </c>
      <c r="C74">
        <v>1</v>
      </c>
      <c r="D74">
        <v>797.3776</v>
      </c>
      <c r="E74">
        <v>464.60079</v>
      </c>
      <c r="F74">
        <v>63.35507</v>
      </c>
      <c r="G74">
        <v>46.91507</v>
      </c>
      <c r="H74">
        <v>272.6527</v>
      </c>
      <c r="I74">
        <v>308.1746</v>
      </c>
      <c r="J74">
        <v>332.7768</v>
      </c>
      <c r="K74">
        <v>357.3791</v>
      </c>
      <c r="L74">
        <v>392.9009</v>
      </c>
      <c r="M74">
        <v>67</v>
      </c>
      <c r="N74">
        <v>106.9851</v>
      </c>
    </row>
    <row r="75" spans="1:14" ht="12.75">
      <c r="A75" t="s">
        <v>38</v>
      </c>
      <c r="B75" s="80">
        <v>40807</v>
      </c>
      <c r="C75">
        <v>2</v>
      </c>
      <c r="D75">
        <v>802.6865</v>
      </c>
      <c r="E75">
        <v>460.5142</v>
      </c>
      <c r="F75">
        <v>62.47418</v>
      </c>
      <c r="G75">
        <v>46.8731</v>
      </c>
      <c r="H75">
        <v>282.102</v>
      </c>
      <c r="I75">
        <v>317.592</v>
      </c>
      <c r="J75">
        <v>342.1723</v>
      </c>
      <c r="K75">
        <v>366.7526</v>
      </c>
      <c r="L75">
        <v>402.2426</v>
      </c>
      <c r="M75">
        <v>67</v>
      </c>
      <c r="N75">
        <v>106.9851</v>
      </c>
    </row>
    <row r="76" spans="1:14" ht="12.75">
      <c r="A76" t="s">
        <v>38</v>
      </c>
      <c r="B76" s="80">
        <v>40807</v>
      </c>
      <c r="C76">
        <v>3</v>
      </c>
      <c r="D76">
        <v>803.6714</v>
      </c>
      <c r="E76">
        <v>468.09659</v>
      </c>
      <c r="F76">
        <v>61.72582</v>
      </c>
      <c r="G76">
        <v>46.83814</v>
      </c>
      <c r="H76">
        <v>275.5493</v>
      </c>
      <c r="I76">
        <v>311.0128</v>
      </c>
      <c r="J76">
        <v>335.5748</v>
      </c>
      <c r="K76">
        <v>360.1367</v>
      </c>
      <c r="L76">
        <v>395.6003</v>
      </c>
      <c r="M76">
        <v>67</v>
      </c>
      <c r="N76">
        <v>106.9851</v>
      </c>
    </row>
    <row r="77" spans="1:14" ht="12.75">
      <c r="A77" t="s">
        <v>38</v>
      </c>
      <c r="B77" s="80">
        <v>40807</v>
      </c>
      <c r="C77">
        <v>4</v>
      </c>
      <c r="D77">
        <v>797.8921</v>
      </c>
      <c r="E77">
        <v>587.75569</v>
      </c>
      <c r="F77">
        <v>61.01104</v>
      </c>
      <c r="G77">
        <v>46.85986</v>
      </c>
      <c r="H77">
        <v>150.0831</v>
      </c>
      <c r="I77">
        <v>185.5631</v>
      </c>
      <c r="J77">
        <v>210.1364</v>
      </c>
      <c r="K77">
        <v>234.7097</v>
      </c>
      <c r="L77">
        <v>270.1897</v>
      </c>
      <c r="M77">
        <v>67</v>
      </c>
      <c r="N77">
        <v>106.9851</v>
      </c>
    </row>
    <row r="78" spans="1:14" ht="12.75">
      <c r="A78" t="s">
        <v>38</v>
      </c>
      <c r="B78" s="80">
        <v>40807</v>
      </c>
      <c r="C78">
        <v>5</v>
      </c>
      <c r="D78">
        <v>801.4132</v>
      </c>
      <c r="E78">
        <v>785.22495</v>
      </c>
      <c r="F78">
        <v>60.64657</v>
      </c>
      <c r="G78">
        <v>46.93026</v>
      </c>
      <c r="H78">
        <v>-43.95529</v>
      </c>
      <c r="I78">
        <v>-8.421992</v>
      </c>
      <c r="J78">
        <v>16.18826</v>
      </c>
      <c r="K78">
        <v>40.79852</v>
      </c>
      <c r="L78">
        <v>76.33182</v>
      </c>
      <c r="M78">
        <v>67</v>
      </c>
      <c r="N78">
        <v>106.9851</v>
      </c>
    </row>
    <row r="79" spans="1:14" ht="12.75">
      <c r="A79" t="s">
        <v>38</v>
      </c>
      <c r="B79" s="80">
        <v>40807</v>
      </c>
      <c r="C79">
        <v>6</v>
      </c>
      <c r="D79">
        <v>808.9526</v>
      </c>
      <c r="E79">
        <v>791.98942</v>
      </c>
      <c r="F79">
        <v>60.13149</v>
      </c>
      <c r="G79">
        <v>46.88012</v>
      </c>
      <c r="H79">
        <v>-43.11613</v>
      </c>
      <c r="I79">
        <v>-7.620802</v>
      </c>
      <c r="J79">
        <v>16.96316</v>
      </c>
      <c r="K79">
        <v>41.54712</v>
      </c>
      <c r="L79">
        <v>77.04245</v>
      </c>
      <c r="M79">
        <v>67</v>
      </c>
      <c r="N79">
        <v>106.9851</v>
      </c>
    </row>
    <row r="80" spans="1:14" ht="12.75">
      <c r="A80" t="s">
        <v>38</v>
      </c>
      <c r="B80" s="80">
        <v>40807</v>
      </c>
      <c r="C80">
        <v>7</v>
      </c>
      <c r="D80">
        <v>813.3802</v>
      </c>
      <c r="E80">
        <v>800.39092</v>
      </c>
      <c r="F80">
        <v>60.98045</v>
      </c>
      <c r="G80">
        <v>47.04504</v>
      </c>
      <c r="H80">
        <v>-47.30132</v>
      </c>
      <c r="I80">
        <v>-11.68111</v>
      </c>
      <c r="J80">
        <v>12.98933</v>
      </c>
      <c r="K80">
        <v>37.65978</v>
      </c>
      <c r="L80">
        <v>73.27998</v>
      </c>
      <c r="M80">
        <v>67</v>
      </c>
      <c r="N80">
        <v>106.9851</v>
      </c>
    </row>
    <row r="81" spans="1:14" ht="12.75">
      <c r="A81" t="s">
        <v>38</v>
      </c>
      <c r="B81" s="80">
        <v>40807</v>
      </c>
      <c r="C81">
        <v>8</v>
      </c>
      <c r="D81">
        <v>808.7568</v>
      </c>
      <c r="E81">
        <v>790.65269</v>
      </c>
      <c r="F81">
        <v>63.8506</v>
      </c>
      <c r="G81">
        <v>47.06691</v>
      </c>
      <c r="H81">
        <v>-42.21453</v>
      </c>
      <c r="I81">
        <v>-6.577769</v>
      </c>
      <c r="J81">
        <v>18.10414</v>
      </c>
      <c r="K81">
        <v>42.78605</v>
      </c>
      <c r="L81">
        <v>78.42281</v>
      </c>
      <c r="M81">
        <v>67</v>
      </c>
      <c r="N81">
        <v>106.9851</v>
      </c>
    </row>
    <row r="82" spans="1:14" ht="12.75">
      <c r="A82" t="s">
        <v>38</v>
      </c>
      <c r="B82" s="80">
        <v>40807</v>
      </c>
      <c r="C82">
        <v>9</v>
      </c>
      <c r="D82">
        <v>797.4132</v>
      </c>
      <c r="E82">
        <v>789.33657</v>
      </c>
      <c r="F82">
        <v>68.15507</v>
      </c>
      <c r="G82">
        <v>47.0112</v>
      </c>
      <c r="H82">
        <v>-52.17064</v>
      </c>
      <c r="I82">
        <v>-16.57606</v>
      </c>
      <c r="J82">
        <v>8.076633</v>
      </c>
      <c r="K82">
        <v>32.72933</v>
      </c>
      <c r="L82">
        <v>68.32391</v>
      </c>
      <c r="M82">
        <v>67</v>
      </c>
      <c r="N82">
        <v>106.9851</v>
      </c>
    </row>
    <row r="83" spans="1:14" ht="12.75">
      <c r="A83" t="s">
        <v>38</v>
      </c>
      <c r="B83" s="80">
        <v>40807</v>
      </c>
      <c r="C83">
        <v>10</v>
      </c>
      <c r="D83">
        <v>794.0995</v>
      </c>
      <c r="E83">
        <v>771.92523</v>
      </c>
      <c r="F83">
        <v>73.51955</v>
      </c>
      <c r="G83">
        <v>47.06475</v>
      </c>
      <c r="H83">
        <v>-38.14165</v>
      </c>
      <c r="I83">
        <v>-2.506521</v>
      </c>
      <c r="J83">
        <v>22.17426</v>
      </c>
      <c r="K83">
        <v>46.85504</v>
      </c>
      <c r="L83">
        <v>82.49017</v>
      </c>
      <c r="M83">
        <v>67</v>
      </c>
      <c r="N83">
        <v>106.9851</v>
      </c>
    </row>
    <row r="84" spans="1:14" ht="12.75">
      <c r="A84" t="s">
        <v>38</v>
      </c>
      <c r="B84" s="80">
        <v>40807</v>
      </c>
      <c r="C84">
        <v>11</v>
      </c>
      <c r="D84">
        <v>792.1908</v>
      </c>
      <c r="E84">
        <v>792.98643</v>
      </c>
      <c r="F84">
        <v>77.63075</v>
      </c>
      <c r="G84">
        <v>47.16096</v>
      </c>
      <c r="H84">
        <v>-61.23485</v>
      </c>
      <c r="I84">
        <v>-25.52687</v>
      </c>
      <c r="J84">
        <v>-0.7956381</v>
      </c>
      <c r="K84">
        <v>23.9356</v>
      </c>
      <c r="L84">
        <v>59.64357</v>
      </c>
      <c r="M84">
        <v>67</v>
      </c>
      <c r="N84">
        <v>106.9851</v>
      </c>
    </row>
    <row r="85" spans="1:14" ht="12.75">
      <c r="A85" t="s">
        <v>38</v>
      </c>
      <c r="B85" s="80">
        <v>40807</v>
      </c>
      <c r="C85">
        <v>12</v>
      </c>
      <c r="D85">
        <v>786.5124</v>
      </c>
      <c r="E85">
        <v>785.13121</v>
      </c>
      <c r="F85">
        <v>79.28224</v>
      </c>
      <c r="G85">
        <v>46.89046</v>
      </c>
      <c r="H85">
        <v>-58.71136</v>
      </c>
      <c r="I85">
        <v>-23.2082</v>
      </c>
      <c r="J85">
        <v>1.381185</v>
      </c>
      <c r="K85">
        <v>25.97057</v>
      </c>
      <c r="L85">
        <v>61.47373</v>
      </c>
      <c r="M85">
        <v>67</v>
      </c>
      <c r="N85">
        <v>106.9851</v>
      </c>
    </row>
    <row r="86" spans="1:14" ht="12.75">
      <c r="A86" t="s">
        <v>38</v>
      </c>
      <c r="B86" s="80">
        <v>40807</v>
      </c>
      <c r="C86">
        <v>13</v>
      </c>
      <c r="D86">
        <v>757.1364</v>
      </c>
      <c r="E86">
        <v>760.37748</v>
      </c>
      <c r="F86">
        <v>80.66403</v>
      </c>
      <c r="G86">
        <v>47.36826</v>
      </c>
      <c r="H86">
        <v>-63.946</v>
      </c>
      <c r="I86">
        <v>-28.08107</v>
      </c>
      <c r="J86">
        <v>-3.241128</v>
      </c>
      <c r="K86">
        <v>21.59881</v>
      </c>
      <c r="L86">
        <v>57.46375</v>
      </c>
      <c r="M86">
        <v>67</v>
      </c>
      <c r="N86">
        <v>106.9851</v>
      </c>
    </row>
    <row r="87" spans="1:14" ht="12.75">
      <c r="A87" t="s">
        <v>38</v>
      </c>
      <c r="B87" s="80">
        <v>40807</v>
      </c>
      <c r="C87">
        <v>14</v>
      </c>
      <c r="D87">
        <v>764.9647</v>
      </c>
      <c r="E87">
        <v>777.42017</v>
      </c>
      <c r="F87">
        <v>81.35328</v>
      </c>
      <c r="G87">
        <v>47.47602</v>
      </c>
      <c r="H87">
        <v>-73.29848</v>
      </c>
      <c r="I87">
        <v>-37.35196</v>
      </c>
      <c r="J87">
        <v>-12.45551</v>
      </c>
      <c r="K87">
        <v>12.44094</v>
      </c>
      <c r="L87">
        <v>48.38746</v>
      </c>
      <c r="M87">
        <v>67</v>
      </c>
      <c r="N87">
        <v>106.9851</v>
      </c>
    </row>
    <row r="88" spans="1:14" ht="12.75">
      <c r="A88" t="s">
        <v>38</v>
      </c>
      <c r="B88" s="80">
        <v>40807</v>
      </c>
      <c r="C88">
        <v>15</v>
      </c>
      <c r="D88">
        <v>761.7014</v>
      </c>
      <c r="E88">
        <v>316.44591</v>
      </c>
      <c r="F88">
        <v>80.47134</v>
      </c>
      <c r="G88">
        <v>47.33575</v>
      </c>
      <c r="H88">
        <v>384.5922</v>
      </c>
      <c r="I88">
        <v>420.4326</v>
      </c>
      <c r="J88">
        <v>445.2555</v>
      </c>
      <c r="K88">
        <v>470.0783</v>
      </c>
      <c r="L88">
        <v>505.9187</v>
      </c>
      <c r="M88">
        <v>67</v>
      </c>
      <c r="N88">
        <v>106.9851</v>
      </c>
    </row>
    <row r="89" spans="1:14" ht="12.75">
      <c r="A89" t="s">
        <v>38</v>
      </c>
      <c r="B89" s="80">
        <v>40807</v>
      </c>
      <c r="C89">
        <v>16</v>
      </c>
      <c r="D89">
        <v>783.1489</v>
      </c>
      <c r="E89">
        <v>167.91994</v>
      </c>
      <c r="F89">
        <v>79.12582</v>
      </c>
      <c r="G89">
        <v>47.31912</v>
      </c>
      <c r="H89">
        <v>554.5871</v>
      </c>
      <c r="I89">
        <v>590.4148</v>
      </c>
      <c r="J89">
        <v>615.229</v>
      </c>
      <c r="K89">
        <v>640.0432</v>
      </c>
      <c r="L89">
        <v>675.8708</v>
      </c>
      <c r="M89">
        <v>67</v>
      </c>
      <c r="N89">
        <v>106.9851</v>
      </c>
    </row>
    <row r="90" spans="1:14" ht="12.75">
      <c r="A90" t="s">
        <v>38</v>
      </c>
      <c r="B90" s="80">
        <v>40807</v>
      </c>
      <c r="C90">
        <v>17</v>
      </c>
      <c r="D90">
        <v>800.3768</v>
      </c>
      <c r="E90">
        <v>418.18737</v>
      </c>
      <c r="F90">
        <v>76.34642</v>
      </c>
      <c r="G90">
        <v>46.98672</v>
      </c>
      <c r="H90">
        <v>321.9736</v>
      </c>
      <c r="I90">
        <v>357.5496</v>
      </c>
      <c r="J90">
        <v>382.1895</v>
      </c>
      <c r="K90">
        <v>406.8293</v>
      </c>
      <c r="L90">
        <v>442.4054</v>
      </c>
      <c r="M90">
        <v>67</v>
      </c>
      <c r="N90">
        <v>106.9851</v>
      </c>
    </row>
    <row r="91" spans="1:14" ht="12.75">
      <c r="A91" t="s">
        <v>38</v>
      </c>
      <c r="B91" s="80">
        <v>40807</v>
      </c>
      <c r="C91">
        <v>18</v>
      </c>
      <c r="D91">
        <v>793.6644</v>
      </c>
      <c r="E91">
        <v>718.12346</v>
      </c>
      <c r="F91">
        <v>73.52209</v>
      </c>
      <c r="G91">
        <v>46.76736</v>
      </c>
      <c r="H91">
        <v>15.60612</v>
      </c>
      <c r="I91">
        <v>51.01608</v>
      </c>
      <c r="J91">
        <v>75.54091</v>
      </c>
      <c r="K91">
        <v>100.0657</v>
      </c>
      <c r="L91">
        <v>135.4757</v>
      </c>
      <c r="M91">
        <v>67</v>
      </c>
      <c r="N91">
        <v>106.9851</v>
      </c>
    </row>
    <row r="92" spans="1:14" ht="12.75">
      <c r="A92" t="s">
        <v>38</v>
      </c>
      <c r="B92" s="80">
        <v>40807</v>
      </c>
      <c r="C92">
        <v>19</v>
      </c>
      <c r="D92">
        <v>808.9188</v>
      </c>
      <c r="E92">
        <v>761.19061</v>
      </c>
      <c r="F92">
        <v>70.7609</v>
      </c>
      <c r="G92">
        <v>46.77278</v>
      </c>
      <c r="H92">
        <v>-12.21351</v>
      </c>
      <c r="I92">
        <v>23.20055</v>
      </c>
      <c r="J92">
        <v>47.72822</v>
      </c>
      <c r="K92">
        <v>72.25589</v>
      </c>
      <c r="L92">
        <v>107.6699</v>
      </c>
      <c r="M92">
        <v>67</v>
      </c>
      <c r="N92">
        <v>106.9851</v>
      </c>
    </row>
    <row r="93" spans="1:14" ht="12.75">
      <c r="A93" t="s">
        <v>38</v>
      </c>
      <c r="B93" s="80">
        <v>40807</v>
      </c>
      <c r="C93">
        <v>20</v>
      </c>
      <c r="D93">
        <v>817.5808</v>
      </c>
      <c r="E93">
        <v>804.58194</v>
      </c>
      <c r="F93">
        <v>69.14313</v>
      </c>
      <c r="G93">
        <v>46.87129</v>
      </c>
      <c r="H93">
        <v>-47.06911</v>
      </c>
      <c r="I93">
        <v>-11.58046</v>
      </c>
      <c r="J93">
        <v>12.99887</v>
      </c>
      <c r="K93">
        <v>37.5782</v>
      </c>
      <c r="L93">
        <v>73.06685</v>
      </c>
      <c r="M93">
        <v>67</v>
      </c>
      <c r="N93">
        <v>106.9851</v>
      </c>
    </row>
    <row r="94" spans="1:14" ht="12.75">
      <c r="A94" t="s">
        <v>38</v>
      </c>
      <c r="B94" s="80">
        <v>40807</v>
      </c>
      <c r="C94">
        <v>21</v>
      </c>
      <c r="D94">
        <v>829.4769</v>
      </c>
      <c r="E94">
        <v>818.47358</v>
      </c>
      <c r="F94">
        <v>67.23478</v>
      </c>
      <c r="G94">
        <v>46.95999</v>
      </c>
      <c r="H94">
        <v>-49.1783</v>
      </c>
      <c r="I94">
        <v>-13.6225</v>
      </c>
      <c r="J94">
        <v>11.00335</v>
      </c>
      <c r="K94">
        <v>35.62919</v>
      </c>
      <c r="L94">
        <v>71.18499</v>
      </c>
      <c r="M94">
        <v>67</v>
      </c>
      <c r="N94">
        <v>106.9851</v>
      </c>
    </row>
    <row r="95" spans="1:14" ht="12.75">
      <c r="A95" t="s">
        <v>38</v>
      </c>
      <c r="B95" s="80">
        <v>40807</v>
      </c>
      <c r="C95">
        <v>22</v>
      </c>
      <c r="D95">
        <v>833.3647</v>
      </c>
      <c r="E95">
        <v>800.68345</v>
      </c>
      <c r="F95">
        <v>66.33567</v>
      </c>
      <c r="G95">
        <v>47.06179</v>
      </c>
      <c r="H95">
        <v>-27.63082</v>
      </c>
      <c r="I95">
        <v>8.002068</v>
      </c>
      <c r="J95">
        <v>32.68129</v>
      </c>
      <c r="K95">
        <v>57.36052</v>
      </c>
      <c r="L95">
        <v>92.99341</v>
      </c>
      <c r="M95">
        <v>67</v>
      </c>
      <c r="N95">
        <v>106.9851</v>
      </c>
    </row>
    <row r="96" spans="1:14" ht="12.75">
      <c r="A96" t="s">
        <v>38</v>
      </c>
      <c r="B96" s="80">
        <v>40807</v>
      </c>
      <c r="C96">
        <v>23</v>
      </c>
      <c r="D96">
        <v>823.1994</v>
      </c>
      <c r="E96">
        <v>792.21329</v>
      </c>
      <c r="F96">
        <v>65.28209</v>
      </c>
      <c r="G96">
        <v>46.90506</v>
      </c>
      <c r="H96">
        <v>-29.12514</v>
      </c>
      <c r="I96">
        <v>6.389076</v>
      </c>
      <c r="J96">
        <v>30.98611</v>
      </c>
      <c r="K96">
        <v>55.58315</v>
      </c>
      <c r="L96">
        <v>91.09737</v>
      </c>
      <c r="M96">
        <v>67</v>
      </c>
      <c r="N96">
        <v>106.9851</v>
      </c>
    </row>
    <row r="97" spans="1:14" ht="12.75">
      <c r="A97" t="s">
        <v>38</v>
      </c>
      <c r="B97" s="80">
        <v>40807</v>
      </c>
      <c r="C97">
        <v>24</v>
      </c>
      <c r="D97">
        <v>806.7613</v>
      </c>
      <c r="E97">
        <v>773.66703</v>
      </c>
      <c r="F97">
        <v>64.89313</v>
      </c>
      <c r="G97">
        <v>46.87761</v>
      </c>
      <c r="H97">
        <v>-26.98181</v>
      </c>
      <c r="I97">
        <v>8.511618</v>
      </c>
      <c r="J97">
        <v>33.09426</v>
      </c>
      <c r="K97">
        <v>57.6769</v>
      </c>
      <c r="L97">
        <v>93.17033</v>
      </c>
      <c r="M97">
        <v>67</v>
      </c>
      <c r="N97">
        <v>106.9851</v>
      </c>
    </row>
    <row r="98" spans="1:14" ht="12.75">
      <c r="A98" t="s">
        <v>39</v>
      </c>
      <c r="B98" s="80">
        <v>40807</v>
      </c>
      <c r="C98">
        <v>1</v>
      </c>
      <c r="D98">
        <v>430.5858</v>
      </c>
      <c r="E98">
        <v>434.99938</v>
      </c>
      <c r="F98">
        <v>62.72615</v>
      </c>
      <c r="G98">
        <v>10.56228</v>
      </c>
      <c r="H98">
        <v>-17.94968</v>
      </c>
      <c r="I98">
        <v>-9.952435</v>
      </c>
      <c r="J98">
        <v>-4.413568</v>
      </c>
      <c r="K98">
        <v>1.125299</v>
      </c>
      <c r="L98">
        <v>9.122544</v>
      </c>
      <c r="M98">
        <v>39</v>
      </c>
      <c r="N98">
        <v>83.89744</v>
      </c>
    </row>
    <row r="99" spans="1:14" ht="12.75">
      <c r="A99" t="s">
        <v>39</v>
      </c>
      <c r="B99" s="80">
        <v>40807</v>
      </c>
      <c r="C99">
        <v>2</v>
      </c>
      <c r="D99">
        <v>428.7017</v>
      </c>
      <c r="E99">
        <v>437.43168</v>
      </c>
      <c r="F99">
        <v>62.54872</v>
      </c>
      <c r="G99">
        <v>10.54946</v>
      </c>
      <c r="H99">
        <v>-22.24967</v>
      </c>
      <c r="I99">
        <v>-14.26214</v>
      </c>
      <c r="J99">
        <v>-8.729994</v>
      </c>
      <c r="K99">
        <v>-3.197852</v>
      </c>
      <c r="L99">
        <v>4.789682</v>
      </c>
      <c r="M99">
        <v>39</v>
      </c>
      <c r="N99">
        <v>83.89744</v>
      </c>
    </row>
    <row r="100" spans="1:14" ht="12.75">
      <c r="A100" t="s">
        <v>39</v>
      </c>
      <c r="B100" s="80">
        <v>40807</v>
      </c>
      <c r="C100">
        <v>3</v>
      </c>
      <c r="D100">
        <v>426.6624</v>
      </c>
      <c r="E100">
        <v>429.48863</v>
      </c>
      <c r="F100">
        <v>62.36667</v>
      </c>
      <c r="G100">
        <v>10.55531</v>
      </c>
      <c r="H100">
        <v>-16.35335</v>
      </c>
      <c r="I100">
        <v>-8.361393</v>
      </c>
      <c r="J100">
        <v>-2.826186</v>
      </c>
      <c r="K100">
        <v>2.709022</v>
      </c>
      <c r="L100">
        <v>10.70098</v>
      </c>
      <c r="M100">
        <v>39</v>
      </c>
      <c r="N100">
        <v>83.89744</v>
      </c>
    </row>
    <row r="101" spans="1:14" ht="12.75">
      <c r="A101" t="s">
        <v>39</v>
      </c>
      <c r="B101" s="80">
        <v>40807</v>
      </c>
      <c r="C101">
        <v>4</v>
      </c>
      <c r="D101">
        <v>433.2549</v>
      </c>
      <c r="E101">
        <v>441.8409</v>
      </c>
      <c r="F101">
        <v>62.09231</v>
      </c>
      <c r="G101">
        <v>10.55005</v>
      </c>
      <c r="H101">
        <v>-22.10648</v>
      </c>
      <c r="I101">
        <v>-14.1185</v>
      </c>
      <c r="J101">
        <v>-8.586045</v>
      </c>
      <c r="K101">
        <v>-3.053593</v>
      </c>
      <c r="L101">
        <v>4.934389</v>
      </c>
      <c r="M101">
        <v>39</v>
      </c>
      <c r="N101">
        <v>83.89744</v>
      </c>
    </row>
    <row r="102" spans="1:14" ht="12.75">
      <c r="A102" t="s">
        <v>39</v>
      </c>
      <c r="B102" s="80">
        <v>40807</v>
      </c>
      <c r="C102">
        <v>5</v>
      </c>
      <c r="D102">
        <v>454.663</v>
      </c>
      <c r="E102">
        <v>467.365</v>
      </c>
      <c r="F102">
        <v>62.01974</v>
      </c>
      <c r="G102">
        <v>10.5593</v>
      </c>
      <c r="H102">
        <v>-26.23427</v>
      </c>
      <c r="I102">
        <v>-18.23928</v>
      </c>
      <c r="J102">
        <v>-12.70198</v>
      </c>
      <c r="K102">
        <v>-7.164674</v>
      </c>
      <c r="L102">
        <v>0.8303123</v>
      </c>
      <c r="M102">
        <v>39</v>
      </c>
      <c r="N102">
        <v>83.89744</v>
      </c>
    </row>
    <row r="103" spans="1:14" ht="12.75">
      <c r="A103" t="s">
        <v>39</v>
      </c>
      <c r="B103" s="80">
        <v>40807</v>
      </c>
      <c r="C103">
        <v>6</v>
      </c>
      <c r="D103">
        <v>484.5079</v>
      </c>
      <c r="E103">
        <v>492.79066</v>
      </c>
      <c r="F103">
        <v>61.99744</v>
      </c>
      <c r="G103">
        <v>10.62719</v>
      </c>
      <c r="H103">
        <v>-21.90204</v>
      </c>
      <c r="I103">
        <v>-13.85565</v>
      </c>
      <c r="J103">
        <v>-8.282751</v>
      </c>
      <c r="K103">
        <v>-2.709849</v>
      </c>
      <c r="L103">
        <v>5.336536</v>
      </c>
      <c r="M103">
        <v>39</v>
      </c>
      <c r="N103">
        <v>83.89744</v>
      </c>
    </row>
    <row r="104" spans="1:14" ht="12.75">
      <c r="A104" t="s">
        <v>39</v>
      </c>
      <c r="B104" s="80">
        <v>40807</v>
      </c>
      <c r="C104">
        <v>7</v>
      </c>
      <c r="D104">
        <v>508.3582</v>
      </c>
      <c r="E104">
        <v>521.79681</v>
      </c>
      <c r="F104">
        <v>62.40692</v>
      </c>
      <c r="G104">
        <v>10.60999</v>
      </c>
      <c r="H104">
        <v>-27.0359</v>
      </c>
      <c r="I104">
        <v>-19.00254</v>
      </c>
      <c r="J104">
        <v>-13.43866</v>
      </c>
      <c r="K104">
        <v>-7.874773</v>
      </c>
      <c r="L104">
        <v>0.1585907</v>
      </c>
      <c r="M104">
        <v>39</v>
      </c>
      <c r="N104">
        <v>83.89744</v>
      </c>
    </row>
    <row r="105" spans="1:14" ht="12.75">
      <c r="A105" t="s">
        <v>39</v>
      </c>
      <c r="B105" s="80">
        <v>40807</v>
      </c>
      <c r="C105">
        <v>8</v>
      </c>
      <c r="D105">
        <v>519.8907</v>
      </c>
      <c r="E105">
        <v>533.54141</v>
      </c>
      <c r="F105">
        <v>63.91513</v>
      </c>
      <c r="G105">
        <v>10.57194</v>
      </c>
      <c r="H105">
        <v>-27.19916</v>
      </c>
      <c r="I105">
        <v>-19.1946</v>
      </c>
      <c r="J105">
        <v>-13.65067</v>
      </c>
      <c r="K105">
        <v>-8.106733</v>
      </c>
      <c r="L105">
        <v>-0.102175</v>
      </c>
      <c r="M105">
        <v>39</v>
      </c>
      <c r="N105">
        <v>83.89744</v>
      </c>
    </row>
    <row r="106" spans="1:14" ht="12.75">
      <c r="A106" t="s">
        <v>39</v>
      </c>
      <c r="B106" s="80">
        <v>40807</v>
      </c>
      <c r="C106">
        <v>9</v>
      </c>
      <c r="D106">
        <v>552.5425</v>
      </c>
      <c r="E106">
        <v>568.67319</v>
      </c>
      <c r="F106">
        <v>67.16462</v>
      </c>
      <c r="G106">
        <v>10.55989</v>
      </c>
      <c r="H106">
        <v>-29.66376</v>
      </c>
      <c r="I106">
        <v>-21.66833</v>
      </c>
      <c r="J106">
        <v>-16.13071</v>
      </c>
      <c r="K106">
        <v>-10.5931</v>
      </c>
      <c r="L106">
        <v>-2.597665</v>
      </c>
      <c r="M106">
        <v>39</v>
      </c>
      <c r="N106">
        <v>83.89744</v>
      </c>
    </row>
    <row r="107" spans="1:14" ht="12.75">
      <c r="A107" t="s">
        <v>39</v>
      </c>
      <c r="B107" s="80">
        <v>40807</v>
      </c>
      <c r="C107">
        <v>10</v>
      </c>
      <c r="D107">
        <v>574.123</v>
      </c>
      <c r="E107">
        <v>591.95574</v>
      </c>
      <c r="F107">
        <v>71.34821</v>
      </c>
      <c r="G107">
        <v>10.64301</v>
      </c>
      <c r="H107">
        <v>-31.47232</v>
      </c>
      <c r="I107">
        <v>-23.41395</v>
      </c>
      <c r="J107">
        <v>-17.83275</v>
      </c>
      <c r="K107">
        <v>-12.25155</v>
      </c>
      <c r="L107">
        <v>-4.193184</v>
      </c>
      <c r="M107">
        <v>39</v>
      </c>
      <c r="N107">
        <v>83.89744</v>
      </c>
    </row>
    <row r="108" spans="1:14" ht="12.75">
      <c r="A108" t="s">
        <v>39</v>
      </c>
      <c r="B108" s="80">
        <v>40807</v>
      </c>
      <c r="C108">
        <v>11</v>
      </c>
      <c r="D108">
        <v>590.6126</v>
      </c>
      <c r="E108">
        <v>613.2988</v>
      </c>
      <c r="F108">
        <v>74.41718</v>
      </c>
      <c r="G108">
        <v>10.69305</v>
      </c>
      <c r="H108">
        <v>-36.38988</v>
      </c>
      <c r="I108">
        <v>-28.29363</v>
      </c>
      <c r="J108">
        <v>-22.68619</v>
      </c>
      <c r="K108">
        <v>-17.07875</v>
      </c>
      <c r="L108">
        <v>-8.982503</v>
      </c>
      <c r="M108">
        <v>39</v>
      </c>
      <c r="N108">
        <v>83.89744</v>
      </c>
    </row>
    <row r="109" spans="1:14" ht="12.75">
      <c r="A109" t="s">
        <v>39</v>
      </c>
      <c r="B109" s="80">
        <v>40807</v>
      </c>
      <c r="C109">
        <v>12</v>
      </c>
      <c r="D109">
        <v>599.2426</v>
      </c>
      <c r="E109">
        <v>613.82755</v>
      </c>
      <c r="F109">
        <v>75.96333</v>
      </c>
      <c r="G109">
        <v>10.61929</v>
      </c>
      <c r="H109">
        <v>-28.1941</v>
      </c>
      <c r="I109">
        <v>-20.1537</v>
      </c>
      <c r="J109">
        <v>-14.58494</v>
      </c>
      <c r="K109">
        <v>-9.016176</v>
      </c>
      <c r="L109">
        <v>-0.9757726</v>
      </c>
      <c r="M109">
        <v>39</v>
      </c>
      <c r="N109">
        <v>83.89744</v>
      </c>
    </row>
    <row r="110" spans="1:14" ht="12.75">
      <c r="A110" t="s">
        <v>39</v>
      </c>
      <c r="B110" s="80">
        <v>40807</v>
      </c>
      <c r="C110">
        <v>13</v>
      </c>
      <c r="D110">
        <v>608.7683</v>
      </c>
      <c r="E110">
        <v>613.8706</v>
      </c>
      <c r="F110">
        <v>77.63103</v>
      </c>
      <c r="G110">
        <v>10.63167</v>
      </c>
      <c r="H110">
        <v>-18.72732</v>
      </c>
      <c r="I110">
        <v>-10.67754</v>
      </c>
      <c r="J110">
        <v>-5.10229</v>
      </c>
      <c r="K110">
        <v>0.472961</v>
      </c>
      <c r="L110">
        <v>8.522738</v>
      </c>
      <c r="M110">
        <v>39</v>
      </c>
      <c r="N110">
        <v>83.89744</v>
      </c>
    </row>
    <row r="111" spans="1:14" ht="12.75">
      <c r="A111" t="s">
        <v>39</v>
      </c>
      <c r="B111" s="80">
        <v>40807</v>
      </c>
      <c r="C111">
        <v>14</v>
      </c>
      <c r="D111">
        <v>618.3445</v>
      </c>
      <c r="E111">
        <v>637.54498</v>
      </c>
      <c r="F111">
        <v>78.03026</v>
      </c>
      <c r="G111">
        <v>10.60812</v>
      </c>
      <c r="H111">
        <v>-32.79535</v>
      </c>
      <c r="I111">
        <v>-24.7634</v>
      </c>
      <c r="J111">
        <v>-19.2005</v>
      </c>
      <c r="K111">
        <v>-13.6376</v>
      </c>
      <c r="L111">
        <v>-5.605652</v>
      </c>
      <c r="M111">
        <v>39</v>
      </c>
      <c r="N111">
        <v>83.89744</v>
      </c>
    </row>
    <row r="112" spans="1:14" ht="12.75">
      <c r="A112" t="s">
        <v>39</v>
      </c>
      <c r="B112" s="80">
        <v>40807</v>
      </c>
      <c r="C112">
        <v>15</v>
      </c>
      <c r="D112">
        <v>619.1202</v>
      </c>
      <c r="E112">
        <v>433.71682</v>
      </c>
      <c r="F112">
        <v>76.75897</v>
      </c>
      <c r="G112">
        <v>10.72742</v>
      </c>
      <c r="H112">
        <v>171.6556</v>
      </c>
      <c r="I112">
        <v>179.7779</v>
      </c>
      <c r="J112">
        <v>185.4034</v>
      </c>
      <c r="K112">
        <v>191.0288</v>
      </c>
      <c r="L112">
        <v>199.1511</v>
      </c>
      <c r="M112">
        <v>39</v>
      </c>
      <c r="N112">
        <v>83.89744</v>
      </c>
    </row>
    <row r="113" spans="1:14" ht="12.75">
      <c r="A113" t="s">
        <v>39</v>
      </c>
      <c r="B113" s="80">
        <v>40807</v>
      </c>
      <c r="C113">
        <v>16</v>
      </c>
      <c r="D113">
        <v>616.4601</v>
      </c>
      <c r="E113">
        <v>281.82813</v>
      </c>
      <c r="F113">
        <v>75.07872</v>
      </c>
      <c r="G113">
        <v>10.73653</v>
      </c>
      <c r="H113">
        <v>320.8725</v>
      </c>
      <c r="I113">
        <v>329.0017</v>
      </c>
      <c r="J113">
        <v>334.632</v>
      </c>
      <c r="K113">
        <v>340.2622</v>
      </c>
      <c r="L113">
        <v>348.3914</v>
      </c>
      <c r="M113">
        <v>39</v>
      </c>
      <c r="N113">
        <v>83.89744</v>
      </c>
    </row>
    <row r="114" spans="1:14" ht="12.75">
      <c r="A114" t="s">
        <v>39</v>
      </c>
      <c r="B114" s="80">
        <v>40807</v>
      </c>
      <c r="C114">
        <v>17</v>
      </c>
      <c r="D114">
        <v>608.3879</v>
      </c>
      <c r="E114">
        <v>455.15474</v>
      </c>
      <c r="F114">
        <v>72.70487</v>
      </c>
      <c r="G114">
        <v>10.62561</v>
      </c>
      <c r="H114">
        <v>139.6159</v>
      </c>
      <c r="I114">
        <v>147.6611</v>
      </c>
      <c r="J114">
        <v>153.2332</v>
      </c>
      <c r="K114">
        <v>158.8053</v>
      </c>
      <c r="L114">
        <v>166.8505</v>
      </c>
      <c r="M114">
        <v>39</v>
      </c>
      <c r="N114">
        <v>83.89744</v>
      </c>
    </row>
    <row r="115" spans="1:14" ht="12.75">
      <c r="A115" t="s">
        <v>39</v>
      </c>
      <c r="B115" s="80">
        <v>40807</v>
      </c>
      <c r="C115">
        <v>18</v>
      </c>
      <c r="D115">
        <v>600.7905</v>
      </c>
      <c r="E115">
        <v>580.10958</v>
      </c>
      <c r="F115">
        <v>70.27949</v>
      </c>
      <c r="G115">
        <v>10.59217</v>
      </c>
      <c r="H115">
        <v>7.106477</v>
      </c>
      <c r="I115">
        <v>15.12635</v>
      </c>
      <c r="J115">
        <v>20.68089</v>
      </c>
      <c r="K115">
        <v>26.23543</v>
      </c>
      <c r="L115">
        <v>34.2553</v>
      </c>
      <c r="M115">
        <v>39</v>
      </c>
      <c r="N115">
        <v>83.89744</v>
      </c>
    </row>
    <row r="116" spans="1:14" ht="12.75">
      <c r="A116" t="s">
        <v>39</v>
      </c>
      <c r="B116" s="80">
        <v>40807</v>
      </c>
      <c r="C116">
        <v>19</v>
      </c>
      <c r="D116">
        <v>588.2542</v>
      </c>
      <c r="E116">
        <v>574.45987</v>
      </c>
      <c r="F116">
        <v>67.92179</v>
      </c>
      <c r="G116">
        <v>10.62104</v>
      </c>
      <c r="H116">
        <v>0.1829412</v>
      </c>
      <c r="I116">
        <v>8.224669</v>
      </c>
      <c r="J116">
        <v>13.79435</v>
      </c>
      <c r="K116">
        <v>19.36402</v>
      </c>
      <c r="L116">
        <v>27.40575</v>
      </c>
      <c r="M116">
        <v>39</v>
      </c>
      <c r="N116">
        <v>83.89744</v>
      </c>
    </row>
    <row r="117" spans="1:14" ht="12.75">
      <c r="A117" t="s">
        <v>39</v>
      </c>
      <c r="B117" s="80">
        <v>40807</v>
      </c>
      <c r="C117">
        <v>20</v>
      </c>
      <c r="D117">
        <v>565.8757</v>
      </c>
      <c r="E117">
        <v>551.94345</v>
      </c>
      <c r="F117">
        <v>66.58949</v>
      </c>
      <c r="G117">
        <v>10.56705</v>
      </c>
      <c r="H117">
        <v>0.3900524</v>
      </c>
      <c r="I117">
        <v>8.390909</v>
      </c>
      <c r="J117">
        <v>13.93228</v>
      </c>
      <c r="K117">
        <v>19.47365</v>
      </c>
      <c r="L117">
        <v>27.4745</v>
      </c>
      <c r="M117">
        <v>39</v>
      </c>
      <c r="N117">
        <v>83.89744</v>
      </c>
    </row>
    <row r="118" spans="1:14" ht="12.75">
      <c r="A118" t="s">
        <v>39</v>
      </c>
      <c r="B118" s="80">
        <v>40807</v>
      </c>
      <c r="C118">
        <v>21</v>
      </c>
      <c r="D118">
        <v>539.6069</v>
      </c>
      <c r="E118">
        <v>527.60398</v>
      </c>
      <c r="F118">
        <v>65.47103</v>
      </c>
      <c r="G118">
        <v>10.60868</v>
      </c>
      <c r="H118">
        <v>-1.592681</v>
      </c>
      <c r="I118">
        <v>6.439694</v>
      </c>
      <c r="J118">
        <v>12.00289</v>
      </c>
      <c r="K118">
        <v>17.56609</v>
      </c>
      <c r="L118">
        <v>25.59847</v>
      </c>
      <c r="M118">
        <v>39</v>
      </c>
      <c r="N118">
        <v>83.89744</v>
      </c>
    </row>
    <row r="119" spans="1:14" ht="12.75">
      <c r="A119" t="s">
        <v>39</v>
      </c>
      <c r="B119" s="80">
        <v>40807</v>
      </c>
      <c r="C119">
        <v>22</v>
      </c>
      <c r="D119">
        <v>509.3796</v>
      </c>
      <c r="E119">
        <v>502.35834</v>
      </c>
      <c r="F119">
        <v>64.71154</v>
      </c>
      <c r="G119">
        <v>10.72345</v>
      </c>
      <c r="H119">
        <v>-6.721353</v>
      </c>
      <c r="I119">
        <v>1.397916</v>
      </c>
      <c r="J119">
        <v>7.021296</v>
      </c>
      <c r="K119">
        <v>12.64468</v>
      </c>
      <c r="L119">
        <v>20.76394</v>
      </c>
      <c r="M119">
        <v>39</v>
      </c>
      <c r="N119">
        <v>83.89744</v>
      </c>
    </row>
    <row r="120" spans="1:14" ht="12.75">
      <c r="A120" t="s">
        <v>39</v>
      </c>
      <c r="B120" s="80">
        <v>40807</v>
      </c>
      <c r="C120">
        <v>23</v>
      </c>
      <c r="D120">
        <v>467.5146</v>
      </c>
      <c r="E120">
        <v>462.03118</v>
      </c>
      <c r="F120">
        <v>64.10795</v>
      </c>
      <c r="G120">
        <v>10.64797</v>
      </c>
      <c r="H120">
        <v>-8.162514</v>
      </c>
      <c r="I120">
        <v>-0.1003906</v>
      </c>
      <c r="J120">
        <v>5.483411</v>
      </c>
      <c r="K120">
        <v>11.06721</v>
      </c>
      <c r="L120">
        <v>19.12934</v>
      </c>
      <c r="M120">
        <v>39</v>
      </c>
      <c r="N120">
        <v>83.89744</v>
      </c>
    </row>
    <row r="121" spans="1:14" ht="12.75">
      <c r="A121" t="s">
        <v>39</v>
      </c>
      <c r="B121" s="80">
        <v>40807</v>
      </c>
      <c r="C121">
        <v>24</v>
      </c>
      <c r="D121">
        <v>447.1162</v>
      </c>
      <c r="E121">
        <v>449.23579</v>
      </c>
      <c r="F121">
        <v>63.7541</v>
      </c>
      <c r="G121">
        <v>10.54394</v>
      </c>
      <c r="H121">
        <v>-15.63215</v>
      </c>
      <c r="I121">
        <v>-7.648798</v>
      </c>
      <c r="J121">
        <v>-2.11955</v>
      </c>
      <c r="K121">
        <v>3.409698</v>
      </c>
      <c r="L121">
        <v>11.39305</v>
      </c>
      <c r="M121">
        <v>39</v>
      </c>
      <c r="N121">
        <v>83.89744</v>
      </c>
    </row>
    <row r="122" spans="1:14" ht="12.75">
      <c r="A122" t="s">
        <v>40</v>
      </c>
      <c r="B122" s="80">
        <v>40807</v>
      </c>
      <c r="C122">
        <v>1</v>
      </c>
      <c r="D122">
        <v>663.7156</v>
      </c>
      <c r="E122">
        <v>663.25706</v>
      </c>
      <c r="F122">
        <v>64.48302</v>
      </c>
      <c r="G122">
        <v>21.94695</v>
      </c>
      <c r="H122">
        <v>-27.66756</v>
      </c>
      <c r="I122">
        <v>-11.05041</v>
      </c>
      <c r="J122">
        <v>0.458581</v>
      </c>
      <c r="K122">
        <v>11.96757</v>
      </c>
      <c r="L122">
        <v>28.58472</v>
      </c>
      <c r="M122">
        <v>43</v>
      </c>
      <c r="N122">
        <v>231.9535</v>
      </c>
    </row>
    <row r="123" spans="1:14" ht="12.75">
      <c r="A123" t="s">
        <v>40</v>
      </c>
      <c r="B123" s="80">
        <v>40807</v>
      </c>
      <c r="C123">
        <v>2</v>
      </c>
      <c r="D123">
        <v>638.6429</v>
      </c>
      <c r="E123">
        <v>642.62544</v>
      </c>
      <c r="F123">
        <v>63.94209</v>
      </c>
      <c r="G123">
        <v>21.52297</v>
      </c>
      <c r="H123">
        <v>-31.56529</v>
      </c>
      <c r="I123">
        <v>-15.26915</v>
      </c>
      <c r="J123">
        <v>-3.982494</v>
      </c>
      <c r="K123">
        <v>7.304163</v>
      </c>
      <c r="L123">
        <v>23.6003</v>
      </c>
      <c r="M123">
        <v>43</v>
      </c>
      <c r="N123">
        <v>231.9535</v>
      </c>
    </row>
    <row r="124" spans="1:14" ht="12.75">
      <c r="A124" t="s">
        <v>40</v>
      </c>
      <c r="B124" s="80">
        <v>40807</v>
      </c>
      <c r="C124">
        <v>3</v>
      </c>
      <c r="D124">
        <v>623.8414</v>
      </c>
      <c r="E124">
        <v>608.29011</v>
      </c>
      <c r="F124">
        <v>63.48907</v>
      </c>
      <c r="G124">
        <v>21.43693</v>
      </c>
      <c r="H124">
        <v>-11.92121</v>
      </c>
      <c r="I124">
        <v>4.309787</v>
      </c>
      <c r="J124">
        <v>15.55132</v>
      </c>
      <c r="K124">
        <v>26.79286</v>
      </c>
      <c r="L124">
        <v>43.02385</v>
      </c>
      <c r="M124">
        <v>43</v>
      </c>
      <c r="N124">
        <v>231.9535</v>
      </c>
    </row>
    <row r="125" spans="1:14" ht="12.75">
      <c r="A125" t="s">
        <v>40</v>
      </c>
      <c r="B125" s="80">
        <v>40807</v>
      </c>
      <c r="C125">
        <v>4</v>
      </c>
      <c r="D125">
        <v>620.222</v>
      </c>
      <c r="E125">
        <v>605.45662</v>
      </c>
      <c r="F125">
        <v>62.98791</v>
      </c>
      <c r="G125">
        <v>21.43799</v>
      </c>
      <c r="H125">
        <v>-12.70847</v>
      </c>
      <c r="I125">
        <v>3.52333</v>
      </c>
      <c r="J125">
        <v>14.76542</v>
      </c>
      <c r="K125">
        <v>26.00752</v>
      </c>
      <c r="L125">
        <v>42.23932</v>
      </c>
      <c r="M125">
        <v>43</v>
      </c>
      <c r="N125">
        <v>231.9535</v>
      </c>
    </row>
    <row r="126" spans="1:14" ht="12.75">
      <c r="A126" t="s">
        <v>40</v>
      </c>
      <c r="B126" s="80">
        <v>40807</v>
      </c>
      <c r="C126">
        <v>5</v>
      </c>
      <c r="D126">
        <v>652.0565</v>
      </c>
      <c r="E126">
        <v>629.30031</v>
      </c>
      <c r="F126">
        <v>62.65186</v>
      </c>
      <c r="G126">
        <v>21.59995</v>
      </c>
      <c r="H126">
        <v>-4.925302</v>
      </c>
      <c r="I126">
        <v>11.42912</v>
      </c>
      <c r="J126">
        <v>22.75614</v>
      </c>
      <c r="K126">
        <v>34.08317</v>
      </c>
      <c r="L126">
        <v>50.43759</v>
      </c>
      <c r="M126">
        <v>43</v>
      </c>
      <c r="N126">
        <v>231.9535</v>
      </c>
    </row>
    <row r="127" spans="1:14" ht="12.75">
      <c r="A127" t="s">
        <v>40</v>
      </c>
      <c r="B127" s="80">
        <v>40807</v>
      </c>
      <c r="C127">
        <v>6</v>
      </c>
      <c r="D127">
        <v>708.7133</v>
      </c>
      <c r="E127">
        <v>693.62543</v>
      </c>
      <c r="F127">
        <v>62.59163</v>
      </c>
      <c r="G127">
        <v>21.46283</v>
      </c>
      <c r="H127">
        <v>-12.41783</v>
      </c>
      <c r="I127">
        <v>3.832773</v>
      </c>
      <c r="J127">
        <v>15.08789</v>
      </c>
      <c r="K127">
        <v>26.34301</v>
      </c>
      <c r="L127">
        <v>42.59361</v>
      </c>
      <c r="M127">
        <v>43</v>
      </c>
      <c r="N127">
        <v>231.9535</v>
      </c>
    </row>
    <row r="128" spans="1:14" ht="12.75">
      <c r="A128" t="s">
        <v>40</v>
      </c>
      <c r="B128" s="80">
        <v>40807</v>
      </c>
      <c r="C128">
        <v>7</v>
      </c>
      <c r="D128">
        <v>748.13</v>
      </c>
      <c r="E128">
        <v>740.02028</v>
      </c>
      <c r="F128">
        <v>63.30326</v>
      </c>
      <c r="G128">
        <v>21.42896</v>
      </c>
      <c r="H128">
        <v>-19.35258</v>
      </c>
      <c r="I128">
        <v>-3.127629</v>
      </c>
      <c r="J128">
        <v>8.109726</v>
      </c>
      <c r="K128">
        <v>19.34708</v>
      </c>
      <c r="L128">
        <v>35.57204</v>
      </c>
      <c r="M128">
        <v>43</v>
      </c>
      <c r="N128">
        <v>231.9535</v>
      </c>
    </row>
    <row r="129" spans="1:14" ht="12.75">
      <c r="A129" t="s">
        <v>40</v>
      </c>
      <c r="B129" s="80">
        <v>40807</v>
      </c>
      <c r="C129">
        <v>8</v>
      </c>
      <c r="D129">
        <v>765.5015</v>
      </c>
      <c r="E129">
        <v>756.68773</v>
      </c>
      <c r="F129">
        <v>65.54512</v>
      </c>
      <c r="G129">
        <v>21.43286</v>
      </c>
      <c r="H129">
        <v>-18.65358</v>
      </c>
      <c r="I129">
        <v>-2.425664</v>
      </c>
      <c r="J129">
        <v>8.81374</v>
      </c>
      <c r="K129">
        <v>20.05314</v>
      </c>
      <c r="L129">
        <v>36.28106</v>
      </c>
      <c r="M129">
        <v>43</v>
      </c>
      <c r="N129">
        <v>231.9535</v>
      </c>
    </row>
    <row r="130" spans="1:14" ht="12.75">
      <c r="A130" t="s">
        <v>40</v>
      </c>
      <c r="B130" s="80">
        <v>40807</v>
      </c>
      <c r="C130">
        <v>9</v>
      </c>
      <c r="D130">
        <v>786.604</v>
      </c>
      <c r="E130">
        <v>768.67749</v>
      </c>
      <c r="F130">
        <v>69.12837</v>
      </c>
      <c r="G130">
        <v>21.35212</v>
      </c>
      <c r="H130">
        <v>-9.437336</v>
      </c>
      <c r="I130">
        <v>6.729447</v>
      </c>
      <c r="J130">
        <v>17.92651</v>
      </c>
      <c r="K130">
        <v>29.12358</v>
      </c>
      <c r="L130">
        <v>45.29036</v>
      </c>
      <c r="M130">
        <v>43</v>
      </c>
      <c r="N130">
        <v>231.9535</v>
      </c>
    </row>
    <row r="131" spans="1:14" ht="12.75">
      <c r="A131" t="s">
        <v>40</v>
      </c>
      <c r="B131" s="80">
        <v>40807</v>
      </c>
      <c r="C131">
        <v>10</v>
      </c>
      <c r="D131">
        <v>797.4017</v>
      </c>
      <c r="E131">
        <v>789.02399</v>
      </c>
      <c r="F131">
        <v>73.49116</v>
      </c>
      <c r="G131">
        <v>21.35114</v>
      </c>
      <c r="H131">
        <v>-18.98484</v>
      </c>
      <c r="I131">
        <v>-2.818802</v>
      </c>
      <c r="J131">
        <v>8.377747</v>
      </c>
      <c r="K131">
        <v>19.5743</v>
      </c>
      <c r="L131">
        <v>35.74033</v>
      </c>
      <c r="M131">
        <v>43</v>
      </c>
      <c r="N131">
        <v>231.9535</v>
      </c>
    </row>
    <row r="132" spans="1:14" ht="12.75">
      <c r="A132" t="s">
        <v>40</v>
      </c>
      <c r="B132" s="80">
        <v>40807</v>
      </c>
      <c r="C132">
        <v>11</v>
      </c>
      <c r="D132">
        <v>819.1348</v>
      </c>
      <c r="E132">
        <v>820.89423</v>
      </c>
      <c r="F132">
        <v>76.68186</v>
      </c>
      <c r="G132">
        <v>21.40868</v>
      </c>
      <c r="H132">
        <v>-29.19572</v>
      </c>
      <c r="I132">
        <v>-12.98612</v>
      </c>
      <c r="J132">
        <v>-1.759398</v>
      </c>
      <c r="K132">
        <v>9.467323</v>
      </c>
      <c r="L132">
        <v>25.67693</v>
      </c>
      <c r="M132">
        <v>43</v>
      </c>
      <c r="N132">
        <v>231.9535</v>
      </c>
    </row>
    <row r="133" spans="1:14" ht="12.75">
      <c r="A133" t="s">
        <v>40</v>
      </c>
      <c r="B133" s="80">
        <v>40807</v>
      </c>
      <c r="C133">
        <v>12</v>
      </c>
      <c r="D133">
        <v>827.5298</v>
      </c>
      <c r="E133">
        <v>833.10817</v>
      </c>
      <c r="F133">
        <v>78.10372</v>
      </c>
      <c r="G133">
        <v>21.41226</v>
      </c>
      <c r="H133">
        <v>-33.01923</v>
      </c>
      <c r="I133">
        <v>-16.80692</v>
      </c>
      <c r="J133">
        <v>-5.578321</v>
      </c>
      <c r="K133">
        <v>5.650277</v>
      </c>
      <c r="L133">
        <v>21.86259</v>
      </c>
      <c r="M133">
        <v>43</v>
      </c>
      <c r="N133">
        <v>231.9535</v>
      </c>
    </row>
    <row r="134" spans="1:14" ht="12.75">
      <c r="A134" t="s">
        <v>40</v>
      </c>
      <c r="B134" s="80">
        <v>40807</v>
      </c>
      <c r="C134">
        <v>13</v>
      </c>
      <c r="D134">
        <v>835.5339</v>
      </c>
      <c r="E134">
        <v>841.95284</v>
      </c>
      <c r="F134">
        <v>79.37186</v>
      </c>
      <c r="G134">
        <v>21.35933</v>
      </c>
      <c r="H134">
        <v>-33.79204</v>
      </c>
      <c r="I134">
        <v>-17.6198</v>
      </c>
      <c r="J134">
        <v>-6.418962</v>
      </c>
      <c r="K134">
        <v>4.78188</v>
      </c>
      <c r="L134">
        <v>20.95412</v>
      </c>
      <c r="M134">
        <v>43</v>
      </c>
      <c r="N134">
        <v>231.9535</v>
      </c>
    </row>
    <row r="135" spans="1:14" ht="12.75">
      <c r="A135" t="s">
        <v>40</v>
      </c>
      <c r="B135" s="80">
        <v>40807</v>
      </c>
      <c r="C135">
        <v>14</v>
      </c>
      <c r="D135">
        <v>842.5988</v>
      </c>
      <c r="E135">
        <v>841.16539</v>
      </c>
      <c r="F135">
        <v>80.09</v>
      </c>
      <c r="G135">
        <v>21.40198</v>
      </c>
      <c r="H135">
        <v>-25.99431</v>
      </c>
      <c r="I135">
        <v>-9.78978</v>
      </c>
      <c r="J135">
        <v>1.433431</v>
      </c>
      <c r="K135">
        <v>12.65664</v>
      </c>
      <c r="L135">
        <v>28.86117</v>
      </c>
      <c r="M135">
        <v>43</v>
      </c>
      <c r="N135">
        <v>231.9535</v>
      </c>
    </row>
    <row r="136" spans="1:14" ht="12.75">
      <c r="A136" t="s">
        <v>40</v>
      </c>
      <c r="B136" s="80">
        <v>40807</v>
      </c>
      <c r="C136">
        <v>15</v>
      </c>
      <c r="D136">
        <v>841.2733</v>
      </c>
      <c r="E136">
        <v>499.71337</v>
      </c>
      <c r="F136">
        <v>79.35977</v>
      </c>
      <c r="G136">
        <v>21.43107</v>
      </c>
      <c r="H136">
        <v>314.0949</v>
      </c>
      <c r="I136">
        <v>330.3215</v>
      </c>
      <c r="J136">
        <v>341.5599</v>
      </c>
      <c r="K136">
        <v>352.7984</v>
      </c>
      <c r="L136">
        <v>369.025</v>
      </c>
      <c r="M136">
        <v>43</v>
      </c>
      <c r="N136">
        <v>231.9535</v>
      </c>
    </row>
    <row r="137" spans="1:14" ht="12.75">
      <c r="A137" t="s">
        <v>40</v>
      </c>
      <c r="B137" s="80">
        <v>40807</v>
      </c>
      <c r="C137">
        <v>16</v>
      </c>
      <c r="D137">
        <v>831.4235</v>
      </c>
      <c r="E137">
        <v>375.00783</v>
      </c>
      <c r="F137">
        <v>78.13744</v>
      </c>
      <c r="G137">
        <v>21.42036</v>
      </c>
      <c r="H137">
        <v>428.9643</v>
      </c>
      <c r="I137">
        <v>445.1828</v>
      </c>
      <c r="J137">
        <v>456.4156</v>
      </c>
      <c r="K137">
        <v>467.6485</v>
      </c>
      <c r="L137">
        <v>483.8669</v>
      </c>
      <c r="M137">
        <v>43</v>
      </c>
      <c r="N137">
        <v>231.9535</v>
      </c>
    </row>
    <row r="138" spans="1:14" ht="12.75">
      <c r="A138" t="s">
        <v>40</v>
      </c>
      <c r="B138" s="80">
        <v>40807</v>
      </c>
      <c r="C138">
        <v>17</v>
      </c>
      <c r="D138">
        <v>817.9156</v>
      </c>
      <c r="E138">
        <v>574.49523</v>
      </c>
      <c r="F138">
        <v>75.90302</v>
      </c>
      <c r="G138">
        <v>21.34711</v>
      </c>
      <c r="H138">
        <v>216.0629</v>
      </c>
      <c r="I138">
        <v>232.2259</v>
      </c>
      <c r="J138">
        <v>243.4204</v>
      </c>
      <c r="K138">
        <v>254.6148</v>
      </c>
      <c r="L138">
        <v>270.7778</v>
      </c>
      <c r="M138">
        <v>43</v>
      </c>
      <c r="N138">
        <v>231.9535</v>
      </c>
    </row>
    <row r="139" spans="1:14" ht="12.75">
      <c r="A139" t="s">
        <v>40</v>
      </c>
      <c r="B139" s="80">
        <v>40807</v>
      </c>
      <c r="C139">
        <v>18</v>
      </c>
      <c r="D139">
        <v>793.0824</v>
      </c>
      <c r="E139">
        <v>685.17841</v>
      </c>
      <c r="F139">
        <v>73.33488</v>
      </c>
      <c r="G139">
        <v>21.34522</v>
      </c>
      <c r="H139">
        <v>80.54898</v>
      </c>
      <c r="I139">
        <v>96.71053</v>
      </c>
      <c r="J139">
        <v>107.904</v>
      </c>
      <c r="K139">
        <v>119.0974</v>
      </c>
      <c r="L139">
        <v>135.259</v>
      </c>
      <c r="M139">
        <v>43</v>
      </c>
      <c r="N139">
        <v>231.9535</v>
      </c>
    </row>
    <row r="140" spans="1:14" ht="12.75">
      <c r="A140" t="s">
        <v>40</v>
      </c>
      <c r="B140" s="80">
        <v>40807</v>
      </c>
      <c r="C140">
        <v>19</v>
      </c>
      <c r="D140">
        <v>764.3478</v>
      </c>
      <c r="E140">
        <v>663.24959</v>
      </c>
      <c r="F140">
        <v>70.83023</v>
      </c>
      <c r="G140">
        <v>21.28939</v>
      </c>
      <c r="H140">
        <v>73.8148</v>
      </c>
      <c r="I140">
        <v>89.93408</v>
      </c>
      <c r="J140">
        <v>101.0982</v>
      </c>
      <c r="K140">
        <v>112.2624</v>
      </c>
      <c r="L140">
        <v>128.3817</v>
      </c>
      <c r="M140">
        <v>43</v>
      </c>
      <c r="N140">
        <v>231.9535</v>
      </c>
    </row>
    <row r="141" spans="1:14" ht="12.75">
      <c r="A141" t="s">
        <v>40</v>
      </c>
      <c r="B141" s="80">
        <v>40807</v>
      </c>
      <c r="C141">
        <v>20</v>
      </c>
      <c r="D141">
        <v>749.7926</v>
      </c>
      <c r="E141">
        <v>655.70728</v>
      </c>
      <c r="F141">
        <v>69.3093</v>
      </c>
      <c r="G141">
        <v>21.28384</v>
      </c>
      <c r="H141">
        <v>66.80898</v>
      </c>
      <c r="I141">
        <v>82.92406</v>
      </c>
      <c r="J141">
        <v>94.08532</v>
      </c>
      <c r="K141">
        <v>105.2466</v>
      </c>
      <c r="L141">
        <v>121.3617</v>
      </c>
      <c r="M141">
        <v>43</v>
      </c>
      <c r="N141">
        <v>231.9535</v>
      </c>
    </row>
    <row r="142" spans="1:14" ht="12.75">
      <c r="A142" t="s">
        <v>40</v>
      </c>
      <c r="B142" s="80">
        <v>40807</v>
      </c>
      <c r="C142">
        <v>21</v>
      </c>
      <c r="D142">
        <v>737.6927</v>
      </c>
      <c r="E142">
        <v>636.53893</v>
      </c>
      <c r="F142">
        <v>67.8314</v>
      </c>
      <c r="G142">
        <v>21.2994</v>
      </c>
      <c r="H142">
        <v>73.85748</v>
      </c>
      <c r="I142">
        <v>89.98434</v>
      </c>
      <c r="J142">
        <v>101.1538</v>
      </c>
      <c r="K142">
        <v>112.3232</v>
      </c>
      <c r="L142">
        <v>128.45</v>
      </c>
      <c r="M142">
        <v>43</v>
      </c>
      <c r="N142">
        <v>231.9535</v>
      </c>
    </row>
    <row r="143" spans="1:14" ht="12.75">
      <c r="A143" t="s">
        <v>40</v>
      </c>
      <c r="B143" s="80">
        <v>40807</v>
      </c>
      <c r="C143">
        <v>22</v>
      </c>
      <c r="D143">
        <v>715.3621</v>
      </c>
      <c r="E143">
        <v>606.18636</v>
      </c>
      <c r="F143">
        <v>66.92767</v>
      </c>
      <c r="G143">
        <v>21.33535</v>
      </c>
      <c r="H143">
        <v>81.8334</v>
      </c>
      <c r="I143">
        <v>97.98749</v>
      </c>
      <c r="J143">
        <v>109.1758</v>
      </c>
      <c r="K143">
        <v>120.364</v>
      </c>
      <c r="L143">
        <v>136.5181</v>
      </c>
      <c r="M143">
        <v>43</v>
      </c>
      <c r="N143">
        <v>231.9535</v>
      </c>
    </row>
    <row r="144" spans="1:14" ht="12.75">
      <c r="A144" t="s">
        <v>40</v>
      </c>
      <c r="B144" s="80">
        <v>40807</v>
      </c>
      <c r="C144">
        <v>23</v>
      </c>
      <c r="D144">
        <v>704.3145</v>
      </c>
      <c r="E144">
        <v>601.51845</v>
      </c>
      <c r="F144">
        <v>66.10279</v>
      </c>
      <c r="G144">
        <v>21.43204</v>
      </c>
      <c r="H144">
        <v>75.3298</v>
      </c>
      <c r="I144">
        <v>91.55709</v>
      </c>
      <c r="J144">
        <v>102.7961</v>
      </c>
      <c r="K144">
        <v>114.035</v>
      </c>
      <c r="L144">
        <v>130.2623</v>
      </c>
      <c r="M144">
        <v>43</v>
      </c>
      <c r="N144">
        <v>231.9535</v>
      </c>
    </row>
    <row r="145" spans="1:14" ht="12.75">
      <c r="A145" t="s">
        <v>40</v>
      </c>
      <c r="B145" s="80">
        <v>40807</v>
      </c>
      <c r="C145">
        <v>24</v>
      </c>
      <c r="D145">
        <v>701.2219</v>
      </c>
      <c r="E145">
        <v>610.5617</v>
      </c>
      <c r="F145">
        <v>65.77674</v>
      </c>
      <c r="G145">
        <v>21.50338</v>
      </c>
      <c r="H145">
        <v>63.10254</v>
      </c>
      <c r="I145">
        <v>79.38384</v>
      </c>
      <c r="J145">
        <v>90.66022</v>
      </c>
      <c r="K145">
        <v>101.9366</v>
      </c>
      <c r="L145">
        <v>118.2179</v>
      </c>
      <c r="M145">
        <v>43</v>
      </c>
      <c r="N145">
        <v>231.9535</v>
      </c>
    </row>
    <row r="146" spans="1:14" ht="12.75">
      <c r="A146" t="s">
        <v>45</v>
      </c>
      <c r="B146" s="80">
        <v>40807</v>
      </c>
      <c r="C146">
        <v>1</v>
      </c>
      <c r="D146">
        <v>205.2778</v>
      </c>
      <c r="E146">
        <v>207.74266</v>
      </c>
      <c r="F146">
        <v>62.49791</v>
      </c>
      <c r="G146">
        <v>11.07654</v>
      </c>
      <c r="H146">
        <v>-16.66</v>
      </c>
      <c r="I146">
        <v>-8.273383</v>
      </c>
      <c r="J146">
        <v>-2.464841</v>
      </c>
      <c r="K146">
        <v>3.343701</v>
      </c>
      <c r="L146">
        <v>11.73031</v>
      </c>
      <c r="M146">
        <v>67</v>
      </c>
      <c r="N146">
        <v>22.89552</v>
      </c>
    </row>
    <row r="147" spans="1:14" ht="12.75">
      <c r="A147" t="s">
        <v>45</v>
      </c>
      <c r="B147" s="80">
        <v>40807</v>
      </c>
      <c r="C147">
        <v>2</v>
      </c>
      <c r="D147">
        <v>194.2884</v>
      </c>
      <c r="E147">
        <v>195.98595</v>
      </c>
      <c r="F147">
        <v>60.83433</v>
      </c>
      <c r="G147">
        <v>11.07574</v>
      </c>
      <c r="H147">
        <v>-15.89172</v>
      </c>
      <c r="I147">
        <v>-7.505712</v>
      </c>
      <c r="J147">
        <v>-1.697588</v>
      </c>
      <c r="K147">
        <v>4.110537</v>
      </c>
      <c r="L147">
        <v>12.49654</v>
      </c>
      <c r="M147">
        <v>67</v>
      </c>
      <c r="N147">
        <v>22.89552</v>
      </c>
    </row>
    <row r="148" spans="1:14" ht="12.75">
      <c r="A148" t="s">
        <v>45</v>
      </c>
      <c r="B148" s="80">
        <v>40807</v>
      </c>
      <c r="C148">
        <v>3</v>
      </c>
      <c r="D148">
        <v>187.813</v>
      </c>
      <c r="E148">
        <v>188.08356</v>
      </c>
      <c r="F148">
        <v>59.73313</v>
      </c>
      <c r="G148">
        <v>11.07188</v>
      </c>
      <c r="H148">
        <v>-14.45971</v>
      </c>
      <c r="I148">
        <v>-6.076624</v>
      </c>
      <c r="J148">
        <v>-0.2705259</v>
      </c>
      <c r="K148">
        <v>5.535573</v>
      </c>
      <c r="L148">
        <v>13.91866</v>
      </c>
      <c r="M148">
        <v>67</v>
      </c>
      <c r="N148">
        <v>22.89552</v>
      </c>
    </row>
    <row r="149" spans="1:14" ht="12.75">
      <c r="A149" t="s">
        <v>45</v>
      </c>
      <c r="B149" s="80">
        <v>40807</v>
      </c>
      <c r="C149">
        <v>4</v>
      </c>
      <c r="D149">
        <v>185.7196</v>
      </c>
      <c r="E149">
        <v>186.98415</v>
      </c>
      <c r="F149">
        <v>59.2406</v>
      </c>
      <c r="G149">
        <v>11.06488</v>
      </c>
      <c r="H149">
        <v>-15.44475</v>
      </c>
      <c r="I149">
        <v>-7.066965</v>
      </c>
      <c r="J149">
        <v>-1.264535</v>
      </c>
      <c r="K149">
        <v>4.537895</v>
      </c>
      <c r="L149">
        <v>12.91568</v>
      </c>
      <c r="M149">
        <v>67</v>
      </c>
      <c r="N149">
        <v>22.89552</v>
      </c>
    </row>
    <row r="150" spans="1:14" ht="12.75">
      <c r="A150" t="s">
        <v>45</v>
      </c>
      <c r="B150" s="80">
        <v>40807</v>
      </c>
      <c r="C150">
        <v>5</v>
      </c>
      <c r="D150">
        <v>190.2575</v>
      </c>
      <c r="E150">
        <v>192.35281</v>
      </c>
      <c r="F150">
        <v>58.90552</v>
      </c>
      <c r="G150">
        <v>11.06512</v>
      </c>
      <c r="H150">
        <v>-16.27581</v>
      </c>
      <c r="I150">
        <v>-7.897841</v>
      </c>
      <c r="J150">
        <v>-2.095288</v>
      </c>
      <c r="K150">
        <v>3.707265</v>
      </c>
      <c r="L150">
        <v>12.08523</v>
      </c>
      <c r="M150">
        <v>67</v>
      </c>
      <c r="N150">
        <v>22.89552</v>
      </c>
    </row>
    <row r="151" spans="1:14" ht="12.75">
      <c r="A151" t="s">
        <v>45</v>
      </c>
      <c r="B151" s="80">
        <v>40807</v>
      </c>
      <c r="C151">
        <v>6</v>
      </c>
      <c r="D151">
        <v>212.5866</v>
      </c>
      <c r="E151">
        <v>218.08594</v>
      </c>
      <c r="F151">
        <v>57.38776</v>
      </c>
      <c r="G151">
        <v>11.08572</v>
      </c>
      <c r="H151">
        <v>-19.7063</v>
      </c>
      <c r="I151">
        <v>-11.31273</v>
      </c>
      <c r="J151">
        <v>-5.499375</v>
      </c>
      <c r="K151">
        <v>0.3139842</v>
      </c>
      <c r="L151">
        <v>8.707552</v>
      </c>
      <c r="M151">
        <v>67</v>
      </c>
      <c r="N151">
        <v>22.89552</v>
      </c>
    </row>
    <row r="152" spans="1:14" ht="12.75">
      <c r="A152" t="s">
        <v>45</v>
      </c>
      <c r="B152" s="80">
        <v>40807</v>
      </c>
      <c r="C152">
        <v>7</v>
      </c>
      <c r="D152">
        <v>274.2703</v>
      </c>
      <c r="E152">
        <v>279.30204</v>
      </c>
      <c r="F152">
        <v>59.38537</v>
      </c>
      <c r="G152">
        <v>11.12111</v>
      </c>
      <c r="H152">
        <v>-19.28399</v>
      </c>
      <c r="I152">
        <v>-10.86363</v>
      </c>
      <c r="J152">
        <v>-5.031715</v>
      </c>
      <c r="K152">
        <v>0.8001992</v>
      </c>
      <c r="L152">
        <v>9.220557</v>
      </c>
      <c r="M152">
        <v>67</v>
      </c>
      <c r="N152">
        <v>22.89552</v>
      </c>
    </row>
    <row r="153" spans="1:14" ht="12.75">
      <c r="A153" t="s">
        <v>45</v>
      </c>
      <c r="B153" s="80">
        <v>40807</v>
      </c>
      <c r="C153">
        <v>8</v>
      </c>
      <c r="D153">
        <v>361.6069</v>
      </c>
      <c r="E153">
        <v>355.1465</v>
      </c>
      <c r="F153">
        <v>63.02358</v>
      </c>
      <c r="G153">
        <v>11.14205</v>
      </c>
      <c r="H153">
        <v>-7.818712</v>
      </c>
      <c r="I153">
        <v>0.6175035</v>
      </c>
      <c r="J153">
        <v>6.460401</v>
      </c>
      <c r="K153">
        <v>12.3033</v>
      </c>
      <c r="L153">
        <v>20.73951</v>
      </c>
      <c r="M153">
        <v>67</v>
      </c>
      <c r="N153">
        <v>22.89552</v>
      </c>
    </row>
    <row r="154" spans="1:14" ht="12.75">
      <c r="A154" t="s">
        <v>45</v>
      </c>
      <c r="B154" s="80">
        <v>40807</v>
      </c>
      <c r="C154">
        <v>9</v>
      </c>
      <c r="D154">
        <v>437.6023</v>
      </c>
      <c r="E154">
        <v>427.61306</v>
      </c>
      <c r="F154">
        <v>68.54851</v>
      </c>
      <c r="G154">
        <v>11.14705</v>
      </c>
      <c r="H154">
        <v>-4.29625</v>
      </c>
      <c r="I154">
        <v>4.143749</v>
      </c>
      <c r="J154">
        <v>9.989267</v>
      </c>
      <c r="K154">
        <v>15.83478</v>
      </c>
      <c r="L154">
        <v>24.27478</v>
      </c>
      <c r="M154">
        <v>67</v>
      </c>
      <c r="N154">
        <v>22.89552</v>
      </c>
    </row>
    <row r="155" spans="1:14" ht="12.75">
      <c r="A155" t="s">
        <v>45</v>
      </c>
      <c r="B155" s="80">
        <v>40807</v>
      </c>
      <c r="C155">
        <v>10</v>
      </c>
      <c r="D155">
        <v>477.5724</v>
      </c>
      <c r="E155">
        <v>473.67185</v>
      </c>
      <c r="F155">
        <v>75.41448</v>
      </c>
      <c r="G155">
        <v>11.15988</v>
      </c>
      <c r="H155">
        <v>-10.40136</v>
      </c>
      <c r="I155">
        <v>-1.951649</v>
      </c>
      <c r="J155">
        <v>3.900597</v>
      </c>
      <c r="K155">
        <v>9.752844</v>
      </c>
      <c r="L155">
        <v>18.20256</v>
      </c>
      <c r="M155">
        <v>67</v>
      </c>
      <c r="N155">
        <v>22.89552</v>
      </c>
    </row>
    <row r="156" spans="1:14" ht="12.75">
      <c r="A156" t="s">
        <v>45</v>
      </c>
      <c r="B156" s="80">
        <v>40807</v>
      </c>
      <c r="C156">
        <v>11</v>
      </c>
      <c r="D156">
        <v>510.6609</v>
      </c>
      <c r="E156">
        <v>513.86558</v>
      </c>
      <c r="F156">
        <v>81.36104</v>
      </c>
      <c r="G156">
        <v>11.19366</v>
      </c>
      <c r="H156">
        <v>-17.54995</v>
      </c>
      <c r="I156">
        <v>-9.074654</v>
      </c>
      <c r="J156">
        <v>-3.204691</v>
      </c>
      <c r="K156">
        <v>2.665272</v>
      </c>
      <c r="L156">
        <v>11.14056</v>
      </c>
      <c r="M156">
        <v>67</v>
      </c>
      <c r="N156">
        <v>22.89552</v>
      </c>
    </row>
    <row r="157" spans="1:14" ht="12.75">
      <c r="A157" t="s">
        <v>45</v>
      </c>
      <c r="B157" s="80">
        <v>40807</v>
      </c>
      <c r="C157">
        <v>12</v>
      </c>
      <c r="D157">
        <v>539.2291</v>
      </c>
      <c r="E157">
        <v>544.87809</v>
      </c>
      <c r="F157">
        <v>84.31269</v>
      </c>
      <c r="G157">
        <v>11.2108</v>
      </c>
      <c r="H157">
        <v>-20.01624</v>
      </c>
      <c r="I157">
        <v>-11.52798</v>
      </c>
      <c r="J157">
        <v>-5.64903</v>
      </c>
      <c r="K157">
        <v>0.2299177</v>
      </c>
      <c r="L157">
        <v>8.718184</v>
      </c>
      <c r="M157">
        <v>67</v>
      </c>
      <c r="N157">
        <v>22.89552</v>
      </c>
    </row>
    <row r="158" spans="1:14" ht="12.75">
      <c r="A158" t="s">
        <v>45</v>
      </c>
      <c r="B158" s="80">
        <v>40807</v>
      </c>
      <c r="C158">
        <v>13</v>
      </c>
      <c r="D158">
        <v>551.8232</v>
      </c>
      <c r="E158">
        <v>558.57273</v>
      </c>
      <c r="F158">
        <v>86.3991</v>
      </c>
      <c r="G158">
        <v>11.28549</v>
      </c>
      <c r="H158">
        <v>-21.21249</v>
      </c>
      <c r="I158">
        <v>-12.66767</v>
      </c>
      <c r="J158">
        <v>-6.749551</v>
      </c>
      <c r="K158">
        <v>-0.8314323</v>
      </c>
      <c r="L158">
        <v>7.713391</v>
      </c>
      <c r="M158">
        <v>67</v>
      </c>
      <c r="N158">
        <v>22.89552</v>
      </c>
    </row>
    <row r="159" spans="1:14" ht="12.75">
      <c r="A159" t="s">
        <v>45</v>
      </c>
      <c r="B159" s="80">
        <v>40807</v>
      </c>
      <c r="C159">
        <v>14</v>
      </c>
      <c r="D159">
        <v>578.1851</v>
      </c>
      <c r="E159">
        <v>570.04914</v>
      </c>
      <c r="F159">
        <v>85.43</v>
      </c>
      <c r="G159">
        <v>11.24988</v>
      </c>
      <c r="H159">
        <v>-6.281317</v>
      </c>
      <c r="I159">
        <v>2.236541</v>
      </c>
      <c r="J159">
        <v>8.135984</v>
      </c>
      <c r="K159">
        <v>14.03543</v>
      </c>
      <c r="L159">
        <v>22.55329</v>
      </c>
      <c r="M159">
        <v>67</v>
      </c>
      <c r="N159">
        <v>22.89552</v>
      </c>
    </row>
    <row r="160" spans="1:14" ht="12.75">
      <c r="A160" t="s">
        <v>45</v>
      </c>
      <c r="B160" s="80">
        <v>40807</v>
      </c>
      <c r="C160">
        <v>15</v>
      </c>
      <c r="D160">
        <v>566.0828</v>
      </c>
      <c r="E160">
        <v>335.57395</v>
      </c>
      <c r="F160">
        <v>83.85134</v>
      </c>
      <c r="G160">
        <v>11.22327</v>
      </c>
      <c r="H160">
        <v>216.1257</v>
      </c>
      <c r="I160">
        <v>224.6234</v>
      </c>
      <c r="J160">
        <v>230.5089</v>
      </c>
      <c r="K160">
        <v>236.3944</v>
      </c>
      <c r="L160">
        <v>244.8921</v>
      </c>
      <c r="M160">
        <v>67</v>
      </c>
      <c r="N160">
        <v>22.89552</v>
      </c>
    </row>
    <row r="161" spans="1:14" ht="12.75">
      <c r="A161" t="s">
        <v>45</v>
      </c>
      <c r="B161" s="80">
        <v>40807</v>
      </c>
      <c r="C161">
        <v>16</v>
      </c>
      <c r="D161">
        <v>499.6669</v>
      </c>
      <c r="E161">
        <v>209.93995</v>
      </c>
      <c r="F161">
        <v>82.55015</v>
      </c>
      <c r="G161">
        <v>11.19714</v>
      </c>
      <c r="H161">
        <v>275.3772</v>
      </c>
      <c r="I161">
        <v>283.8552</v>
      </c>
      <c r="J161">
        <v>289.727</v>
      </c>
      <c r="K161">
        <v>295.5987</v>
      </c>
      <c r="L161">
        <v>304.0767</v>
      </c>
      <c r="M161">
        <v>67</v>
      </c>
      <c r="N161">
        <v>22.89552</v>
      </c>
    </row>
    <row r="162" spans="1:14" ht="12.75">
      <c r="A162" t="s">
        <v>45</v>
      </c>
      <c r="B162" s="80">
        <v>40807</v>
      </c>
      <c r="C162">
        <v>17</v>
      </c>
      <c r="D162">
        <v>406.4756</v>
      </c>
      <c r="E162">
        <v>335.69308</v>
      </c>
      <c r="F162">
        <v>78.68</v>
      </c>
      <c r="G162">
        <v>11.17041</v>
      </c>
      <c r="H162">
        <v>56.46705</v>
      </c>
      <c r="I162">
        <v>64.92474</v>
      </c>
      <c r="J162">
        <v>70.7825</v>
      </c>
      <c r="K162">
        <v>76.64027</v>
      </c>
      <c r="L162">
        <v>85.09795</v>
      </c>
      <c r="M162">
        <v>67</v>
      </c>
      <c r="N162">
        <v>22.89552</v>
      </c>
    </row>
    <row r="163" spans="1:14" ht="12.75">
      <c r="A163" t="s">
        <v>45</v>
      </c>
      <c r="B163" s="80">
        <v>40807</v>
      </c>
      <c r="C163">
        <v>18</v>
      </c>
      <c r="D163">
        <v>354.2085</v>
      </c>
      <c r="E163">
        <v>354.37727</v>
      </c>
      <c r="F163">
        <v>75.07015</v>
      </c>
      <c r="G163">
        <v>11.1707</v>
      </c>
      <c r="H163">
        <v>-14.48463</v>
      </c>
      <c r="I163">
        <v>-6.026723</v>
      </c>
      <c r="J163">
        <v>-0.1688037</v>
      </c>
      <c r="K163">
        <v>5.689116</v>
      </c>
      <c r="L163">
        <v>14.14702</v>
      </c>
      <c r="M163">
        <v>67</v>
      </c>
      <c r="N163">
        <v>22.89552</v>
      </c>
    </row>
    <row r="164" spans="1:14" ht="12.75">
      <c r="A164" t="s">
        <v>45</v>
      </c>
      <c r="B164" s="80">
        <v>40807</v>
      </c>
      <c r="C164">
        <v>19</v>
      </c>
      <c r="D164">
        <v>327.8809</v>
      </c>
      <c r="E164">
        <v>333.75727</v>
      </c>
      <c r="F164">
        <v>71.7706</v>
      </c>
      <c r="G164">
        <v>11.17349</v>
      </c>
      <c r="H164">
        <v>-20.19575</v>
      </c>
      <c r="I164">
        <v>-11.73573</v>
      </c>
      <c r="J164">
        <v>-5.876345</v>
      </c>
      <c r="K164">
        <v>-0.0169624</v>
      </c>
      <c r="L164">
        <v>8.443055</v>
      </c>
      <c r="M164">
        <v>67</v>
      </c>
      <c r="N164">
        <v>22.89552</v>
      </c>
    </row>
    <row r="165" spans="1:14" ht="12.75">
      <c r="A165" t="s">
        <v>45</v>
      </c>
      <c r="B165" s="80">
        <v>40807</v>
      </c>
      <c r="C165">
        <v>20</v>
      </c>
      <c r="D165">
        <v>329.0036</v>
      </c>
      <c r="E165">
        <v>339.69697</v>
      </c>
      <c r="F165">
        <v>70.10597</v>
      </c>
      <c r="G165">
        <v>11.17376</v>
      </c>
      <c r="H165">
        <v>-25.01315</v>
      </c>
      <c r="I165">
        <v>-16.55292</v>
      </c>
      <c r="J165">
        <v>-10.6934</v>
      </c>
      <c r="K165">
        <v>-4.83387</v>
      </c>
      <c r="L165">
        <v>3.626355</v>
      </c>
      <c r="M165">
        <v>67</v>
      </c>
      <c r="N165">
        <v>22.89552</v>
      </c>
    </row>
    <row r="166" spans="1:14" ht="12.75">
      <c r="A166" t="s">
        <v>45</v>
      </c>
      <c r="B166" s="80">
        <v>40807</v>
      </c>
      <c r="C166">
        <v>21</v>
      </c>
      <c r="D166">
        <v>313.643</v>
      </c>
      <c r="E166">
        <v>322.71369</v>
      </c>
      <c r="F166">
        <v>67.86806</v>
      </c>
      <c r="G166">
        <v>11.13078</v>
      </c>
      <c r="H166">
        <v>-23.33535</v>
      </c>
      <c r="I166">
        <v>-14.90767</v>
      </c>
      <c r="J166">
        <v>-9.070683</v>
      </c>
      <c r="K166">
        <v>-3.233696</v>
      </c>
      <c r="L166">
        <v>5.193986</v>
      </c>
      <c r="M166">
        <v>67</v>
      </c>
      <c r="N166">
        <v>22.89552</v>
      </c>
    </row>
    <row r="167" spans="1:14" ht="12.75">
      <c r="A167" t="s">
        <v>45</v>
      </c>
      <c r="B167" s="80">
        <v>40807</v>
      </c>
      <c r="C167">
        <v>22</v>
      </c>
      <c r="D167">
        <v>283.8502</v>
      </c>
      <c r="E167">
        <v>290.79041</v>
      </c>
      <c r="F167">
        <v>66.59746</v>
      </c>
      <c r="G167">
        <v>11.10986</v>
      </c>
      <c r="H167">
        <v>-21.17808</v>
      </c>
      <c r="I167">
        <v>-12.76624</v>
      </c>
      <c r="J167">
        <v>-6.940222</v>
      </c>
      <c r="K167">
        <v>-1.114205</v>
      </c>
      <c r="L167">
        <v>7.297638</v>
      </c>
      <c r="M167">
        <v>67</v>
      </c>
      <c r="N167">
        <v>22.89552</v>
      </c>
    </row>
    <row r="168" spans="1:14" ht="12.75">
      <c r="A168" t="s">
        <v>45</v>
      </c>
      <c r="B168" s="80">
        <v>40807</v>
      </c>
      <c r="C168">
        <v>23</v>
      </c>
      <c r="D168">
        <v>247.8685</v>
      </c>
      <c r="E168">
        <v>247.69997</v>
      </c>
      <c r="F168">
        <v>65.03433</v>
      </c>
      <c r="G168">
        <v>11.07302</v>
      </c>
      <c r="H168">
        <v>-14.02207</v>
      </c>
      <c r="I168">
        <v>-5.638121</v>
      </c>
      <c r="J168">
        <v>0.1685791</v>
      </c>
      <c r="K168">
        <v>5.975279</v>
      </c>
      <c r="L168">
        <v>14.35923</v>
      </c>
      <c r="M168">
        <v>67</v>
      </c>
      <c r="N168">
        <v>22.89552</v>
      </c>
    </row>
    <row r="169" spans="1:14" ht="12.75">
      <c r="A169" t="s">
        <v>45</v>
      </c>
      <c r="B169" s="80">
        <v>40807</v>
      </c>
      <c r="C169">
        <v>24</v>
      </c>
      <c r="D169">
        <v>225.2258</v>
      </c>
      <c r="E169">
        <v>223.37848</v>
      </c>
      <c r="F169">
        <v>64.33881</v>
      </c>
      <c r="G169">
        <v>11.05633</v>
      </c>
      <c r="H169">
        <v>-12.32189</v>
      </c>
      <c r="I169">
        <v>-3.950574</v>
      </c>
      <c r="J169">
        <v>1.84737</v>
      </c>
      <c r="K169">
        <v>7.645315</v>
      </c>
      <c r="L169">
        <v>16.01663</v>
      </c>
      <c r="M169">
        <v>67</v>
      </c>
      <c r="N169">
        <v>22.89552</v>
      </c>
    </row>
    <row r="170" spans="1:14" ht="12.75">
      <c r="A170" t="s">
        <v>41</v>
      </c>
      <c r="B170" s="80">
        <v>40807</v>
      </c>
      <c r="C170">
        <v>1</v>
      </c>
      <c r="D170">
        <v>521.1517</v>
      </c>
      <c r="E170">
        <v>528.78653</v>
      </c>
      <c r="F170">
        <v>61.82778</v>
      </c>
      <c r="G170">
        <v>23.60331</v>
      </c>
      <c r="H170">
        <v>-37.88365</v>
      </c>
      <c r="I170">
        <v>-20.01238</v>
      </c>
      <c r="J170">
        <v>-7.634795</v>
      </c>
      <c r="K170">
        <v>4.742791</v>
      </c>
      <c r="L170">
        <v>22.61406</v>
      </c>
      <c r="M170">
        <v>9</v>
      </c>
      <c r="N170">
        <v>224.4444</v>
      </c>
    </row>
    <row r="171" spans="1:14" ht="12.75">
      <c r="A171" t="s">
        <v>41</v>
      </c>
      <c r="B171" s="80">
        <v>40807</v>
      </c>
      <c r="C171">
        <v>2</v>
      </c>
      <c r="D171">
        <v>524.9518</v>
      </c>
      <c r="E171">
        <v>527.32439</v>
      </c>
      <c r="F171">
        <v>61.24556</v>
      </c>
      <c r="G171">
        <v>23.62621</v>
      </c>
      <c r="H171">
        <v>-32.65081</v>
      </c>
      <c r="I171">
        <v>-14.7622</v>
      </c>
      <c r="J171">
        <v>-2.372608</v>
      </c>
      <c r="K171">
        <v>10.01699</v>
      </c>
      <c r="L171">
        <v>27.90559</v>
      </c>
      <c r="M171">
        <v>9</v>
      </c>
      <c r="N171">
        <v>224.4444</v>
      </c>
    </row>
    <row r="172" spans="1:14" ht="12.75">
      <c r="A172" t="s">
        <v>41</v>
      </c>
      <c r="B172" s="80">
        <v>40807</v>
      </c>
      <c r="C172">
        <v>3</v>
      </c>
      <c r="D172">
        <v>513.2451</v>
      </c>
      <c r="E172">
        <v>516.06212</v>
      </c>
      <c r="F172">
        <v>60.63222</v>
      </c>
      <c r="G172">
        <v>23.66061</v>
      </c>
      <c r="H172">
        <v>-33.13936</v>
      </c>
      <c r="I172">
        <v>-15.2247</v>
      </c>
      <c r="J172">
        <v>-2.817067</v>
      </c>
      <c r="K172">
        <v>9.590569</v>
      </c>
      <c r="L172">
        <v>27.50523</v>
      </c>
      <c r="M172">
        <v>9</v>
      </c>
      <c r="N172">
        <v>224.4444</v>
      </c>
    </row>
    <row r="173" spans="1:14" ht="12.75">
      <c r="A173" t="s">
        <v>41</v>
      </c>
      <c r="B173" s="80">
        <v>40807</v>
      </c>
      <c r="C173">
        <v>4</v>
      </c>
      <c r="D173">
        <v>542.9681</v>
      </c>
      <c r="E173">
        <v>528.91096</v>
      </c>
      <c r="F173">
        <v>60.00444</v>
      </c>
      <c r="G173">
        <v>23.39338</v>
      </c>
      <c r="H173">
        <v>-15.92271</v>
      </c>
      <c r="I173">
        <v>1.789618</v>
      </c>
      <c r="J173">
        <v>14.05712</v>
      </c>
      <c r="K173">
        <v>26.32463</v>
      </c>
      <c r="L173">
        <v>44.03695</v>
      </c>
      <c r="M173">
        <v>9</v>
      </c>
      <c r="N173">
        <v>224.4444</v>
      </c>
    </row>
    <row r="174" spans="1:14" ht="12.75">
      <c r="A174" t="s">
        <v>41</v>
      </c>
      <c r="B174" s="80">
        <v>40807</v>
      </c>
      <c r="C174">
        <v>5</v>
      </c>
      <c r="D174">
        <v>545.7689</v>
      </c>
      <c r="E174">
        <v>535.23101</v>
      </c>
      <c r="F174">
        <v>59.97889</v>
      </c>
      <c r="G174">
        <v>23.32919</v>
      </c>
      <c r="H174">
        <v>-19.35971</v>
      </c>
      <c r="I174">
        <v>-1.695993</v>
      </c>
      <c r="J174">
        <v>10.53785</v>
      </c>
      <c r="K174">
        <v>22.77169</v>
      </c>
      <c r="L174">
        <v>40.43541</v>
      </c>
      <c r="M174">
        <v>9</v>
      </c>
      <c r="N174">
        <v>224.4444</v>
      </c>
    </row>
    <row r="175" spans="1:14" ht="12.75">
      <c r="A175" t="s">
        <v>41</v>
      </c>
      <c r="B175" s="80">
        <v>40807</v>
      </c>
      <c r="C175">
        <v>6</v>
      </c>
      <c r="D175">
        <v>573.3583</v>
      </c>
      <c r="E175">
        <v>578.48876</v>
      </c>
      <c r="F175">
        <v>59.23</v>
      </c>
      <c r="G175">
        <v>23.48777</v>
      </c>
      <c r="H175">
        <v>-35.23127</v>
      </c>
      <c r="I175">
        <v>-17.44748</v>
      </c>
      <c r="J175">
        <v>-5.130484</v>
      </c>
      <c r="K175">
        <v>7.186514</v>
      </c>
      <c r="L175">
        <v>24.9703</v>
      </c>
      <c r="M175">
        <v>9</v>
      </c>
      <c r="N175">
        <v>224.4444</v>
      </c>
    </row>
    <row r="176" spans="1:14" ht="12.75">
      <c r="A176" t="s">
        <v>41</v>
      </c>
      <c r="B176" s="80">
        <v>40807</v>
      </c>
      <c r="C176">
        <v>7</v>
      </c>
      <c r="D176">
        <v>593.65</v>
      </c>
      <c r="E176">
        <v>589.28434</v>
      </c>
      <c r="F176">
        <v>60.16667</v>
      </c>
      <c r="G176">
        <v>23.46046</v>
      </c>
      <c r="H176">
        <v>-25.70017</v>
      </c>
      <c r="I176">
        <v>-7.93706</v>
      </c>
      <c r="J176">
        <v>4.365618</v>
      </c>
      <c r="K176">
        <v>16.6683</v>
      </c>
      <c r="L176">
        <v>34.43141</v>
      </c>
      <c r="M176">
        <v>9</v>
      </c>
      <c r="N176">
        <v>224.4444</v>
      </c>
    </row>
    <row r="177" spans="1:14" ht="12.75">
      <c r="A177" t="s">
        <v>41</v>
      </c>
      <c r="B177" s="80">
        <v>40807</v>
      </c>
      <c r="C177">
        <v>8</v>
      </c>
      <c r="D177">
        <v>586.4111</v>
      </c>
      <c r="E177">
        <v>575.76429</v>
      </c>
      <c r="F177">
        <v>63.08222</v>
      </c>
      <c r="G177">
        <v>23.40476</v>
      </c>
      <c r="H177">
        <v>-19.34756</v>
      </c>
      <c r="I177">
        <v>-1.626623</v>
      </c>
      <c r="J177">
        <v>10.64684</v>
      </c>
      <c r="K177">
        <v>22.92031</v>
      </c>
      <c r="L177">
        <v>40.64125</v>
      </c>
      <c r="M177">
        <v>9</v>
      </c>
      <c r="N177">
        <v>224.4444</v>
      </c>
    </row>
    <row r="178" spans="1:14" ht="12.75">
      <c r="A178" t="s">
        <v>41</v>
      </c>
      <c r="B178" s="80">
        <v>40807</v>
      </c>
      <c r="C178">
        <v>9</v>
      </c>
      <c r="D178">
        <v>636.8851</v>
      </c>
      <c r="E178">
        <v>605.21762</v>
      </c>
      <c r="F178">
        <v>67.61</v>
      </c>
      <c r="G178">
        <v>22.97489</v>
      </c>
      <c r="H178">
        <v>2.22401</v>
      </c>
      <c r="I178">
        <v>19.61947</v>
      </c>
      <c r="J178">
        <v>31.66752</v>
      </c>
      <c r="K178">
        <v>43.71556</v>
      </c>
      <c r="L178">
        <v>61.11102</v>
      </c>
      <c r="M178">
        <v>9</v>
      </c>
      <c r="N178">
        <v>224.4444</v>
      </c>
    </row>
    <row r="179" spans="1:14" ht="12.75">
      <c r="A179" t="s">
        <v>41</v>
      </c>
      <c r="B179" s="80">
        <v>40807</v>
      </c>
      <c r="C179">
        <v>10</v>
      </c>
      <c r="D179">
        <v>678.1306</v>
      </c>
      <c r="E179">
        <v>653.03094</v>
      </c>
      <c r="F179">
        <v>73.15222</v>
      </c>
      <c r="G179">
        <v>22.76326</v>
      </c>
      <c r="H179">
        <v>-4.072618</v>
      </c>
      <c r="I179">
        <v>13.16261</v>
      </c>
      <c r="J179">
        <v>25.09967</v>
      </c>
      <c r="K179">
        <v>37.03674</v>
      </c>
      <c r="L179">
        <v>54.27197</v>
      </c>
      <c r="M179">
        <v>9</v>
      </c>
      <c r="N179">
        <v>224.4444</v>
      </c>
    </row>
    <row r="180" spans="1:14" ht="12.75">
      <c r="A180" t="s">
        <v>41</v>
      </c>
      <c r="B180" s="80">
        <v>40807</v>
      </c>
      <c r="C180">
        <v>11</v>
      </c>
      <c r="D180">
        <v>700.1207</v>
      </c>
      <c r="E180">
        <v>677.15539</v>
      </c>
      <c r="F180">
        <v>77.26222</v>
      </c>
      <c r="G180">
        <v>22.76283</v>
      </c>
      <c r="H180">
        <v>-6.206458</v>
      </c>
      <c r="I180">
        <v>11.02844</v>
      </c>
      <c r="J180">
        <v>22.96528</v>
      </c>
      <c r="K180">
        <v>34.90212</v>
      </c>
      <c r="L180">
        <v>52.13702</v>
      </c>
      <c r="M180">
        <v>9</v>
      </c>
      <c r="N180">
        <v>224.4444</v>
      </c>
    </row>
    <row r="181" spans="1:14" ht="12.75">
      <c r="A181" t="s">
        <v>41</v>
      </c>
      <c r="B181" s="80">
        <v>40807</v>
      </c>
      <c r="C181">
        <v>12</v>
      </c>
      <c r="D181">
        <v>692.3154</v>
      </c>
      <c r="E181">
        <v>688.91094</v>
      </c>
      <c r="F181">
        <v>79.23889</v>
      </c>
      <c r="G181">
        <v>24.17455</v>
      </c>
      <c r="H181">
        <v>-27.5765</v>
      </c>
      <c r="I181">
        <v>-9.272719</v>
      </c>
      <c r="J181">
        <v>3.404426</v>
      </c>
      <c r="K181">
        <v>16.08157</v>
      </c>
      <c r="L181">
        <v>34.38535</v>
      </c>
      <c r="M181">
        <v>9</v>
      </c>
      <c r="N181">
        <v>224.4444</v>
      </c>
    </row>
    <row r="182" spans="1:14" ht="12.75">
      <c r="A182" t="s">
        <v>41</v>
      </c>
      <c r="B182" s="80">
        <v>40807</v>
      </c>
      <c r="C182">
        <v>13</v>
      </c>
      <c r="D182">
        <v>643.9557</v>
      </c>
      <c r="E182">
        <v>642.07982</v>
      </c>
      <c r="F182">
        <v>80.97111</v>
      </c>
      <c r="G182">
        <v>22.94653</v>
      </c>
      <c r="H182">
        <v>-27.53123</v>
      </c>
      <c r="I182">
        <v>-10.15724</v>
      </c>
      <c r="J182">
        <v>1.875929</v>
      </c>
      <c r="K182">
        <v>13.9091</v>
      </c>
      <c r="L182">
        <v>31.28309</v>
      </c>
      <c r="M182">
        <v>9</v>
      </c>
      <c r="N182">
        <v>224.4444</v>
      </c>
    </row>
    <row r="183" spans="1:14" ht="12.75">
      <c r="A183" t="s">
        <v>41</v>
      </c>
      <c r="B183" s="80">
        <v>40807</v>
      </c>
      <c r="C183">
        <v>14</v>
      </c>
      <c r="D183">
        <v>657.0907</v>
      </c>
      <c r="E183">
        <v>655.76872</v>
      </c>
      <c r="F183">
        <v>80.97111</v>
      </c>
      <c r="G183">
        <v>22.54798</v>
      </c>
      <c r="H183">
        <v>-27.57442</v>
      </c>
      <c r="I183">
        <v>-10.50219</v>
      </c>
      <c r="J183">
        <v>1.321981</v>
      </c>
      <c r="K183">
        <v>13.14615</v>
      </c>
      <c r="L183">
        <v>30.21838</v>
      </c>
      <c r="M183">
        <v>9</v>
      </c>
      <c r="N183">
        <v>224.4444</v>
      </c>
    </row>
    <row r="184" spans="1:14" ht="12.75">
      <c r="A184" t="s">
        <v>41</v>
      </c>
      <c r="B184" s="80">
        <v>40807</v>
      </c>
      <c r="C184">
        <v>15</v>
      </c>
      <c r="D184">
        <v>661.5413</v>
      </c>
      <c r="E184">
        <v>478.32876</v>
      </c>
      <c r="F184">
        <v>79.83222</v>
      </c>
      <c r="G184">
        <v>22.51349</v>
      </c>
      <c r="H184">
        <v>154.3604</v>
      </c>
      <c r="I184">
        <v>171.4065</v>
      </c>
      <c r="J184">
        <v>183.2126</v>
      </c>
      <c r="K184">
        <v>195.0186</v>
      </c>
      <c r="L184">
        <v>212.0648</v>
      </c>
      <c r="M184">
        <v>9</v>
      </c>
      <c r="N184">
        <v>224.4444</v>
      </c>
    </row>
    <row r="185" spans="1:14" ht="12.75">
      <c r="A185" t="s">
        <v>41</v>
      </c>
      <c r="B185" s="80">
        <v>40807</v>
      </c>
      <c r="C185">
        <v>16</v>
      </c>
      <c r="D185">
        <v>657.894</v>
      </c>
      <c r="E185">
        <v>284.37326</v>
      </c>
      <c r="F185">
        <v>78.49333</v>
      </c>
      <c r="G185">
        <v>22.53023</v>
      </c>
      <c r="H185">
        <v>344.6471</v>
      </c>
      <c r="I185">
        <v>361.7059</v>
      </c>
      <c r="J185">
        <v>373.5207</v>
      </c>
      <c r="K185">
        <v>385.3356</v>
      </c>
      <c r="L185">
        <v>402.3944</v>
      </c>
      <c r="M185">
        <v>9</v>
      </c>
      <c r="N185">
        <v>224.4444</v>
      </c>
    </row>
    <row r="186" spans="1:14" ht="12.75">
      <c r="A186" t="s">
        <v>41</v>
      </c>
      <c r="B186" s="80">
        <v>40807</v>
      </c>
      <c r="C186">
        <v>17</v>
      </c>
      <c r="D186">
        <v>635.4591</v>
      </c>
      <c r="E186">
        <v>511.67541</v>
      </c>
      <c r="F186">
        <v>75.66667</v>
      </c>
      <c r="G186">
        <v>22.49175</v>
      </c>
      <c r="H186">
        <v>94.95937</v>
      </c>
      <c r="I186">
        <v>111.989</v>
      </c>
      <c r="J186">
        <v>123.7837</v>
      </c>
      <c r="K186">
        <v>135.5784</v>
      </c>
      <c r="L186">
        <v>152.608</v>
      </c>
      <c r="M186">
        <v>9</v>
      </c>
      <c r="N186">
        <v>224.4444</v>
      </c>
    </row>
    <row r="187" spans="1:14" ht="12.75">
      <c r="A187" t="s">
        <v>41</v>
      </c>
      <c r="B187" s="80">
        <v>40807</v>
      </c>
      <c r="C187">
        <v>18</v>
      </c>
      <c r="D187">
        <v>552.0159</v>
      </c>
      <c r="E187">
        <v>528.98208</v>
      </c>
      <c r="F187">
        <v>72.87556</v>
      </c>
      <c r="G187">
        <v>22.51057</v>
      </c>
      <c r="H187">
        <v>-5.814612</v>
      </c>
      <c r="I187">
        <v>11.22929</v>
      </c>
      <c r="J187">
        <v>23.03385</v>
      </c>
      <c r="K187">
        <v>34.8384</v>
      </c>
      <c r="L187">
        <v>51.88231</v>
      </c>
      <c r="M187">
        <v>9</v>
      </c>
      <c r="N187">
        <v>224.4444</v>
      </c>
    </row>
    <row r="188" spans="1:14" ht="12.75">
      <c r="A188" t="s">
        <v>41</v>
      </c>
      <c r="B188" s="80">
        <v>40807</v>
      </c>
      <c r="C188">
        <v>19</v>
      </c>
      <c r="D188">
        <v>530.532</v>
      </c>
      <c r="E188">
        <v>507.73767</v>
      </c>
      <c r="F188">
        <v>70.16</v>
      </c>
      <c r="G188">
        <v>22.57236</v>
      </c>
      <c r="H188">
        <v>-6.133341</v>
      </c>
      <c r="I188">
        <v>10.95735</v>
      </c>
      <c r="J188">
        <v>22.79431</v>
      </c>
      <c r="K188">
        <v>34.63127</v>
      </c>
      <c r="L188">
        <v>51.72196</v>
      </c>
      <c r="M188">
        <v>9</v>
      </c>
      <c r="N188">
        <v>224.4444</v>
      </c>
    </row>
    <row r="189" spans="1:14" ht="12.75">
      <c r="A189" t="s">
        <v>41</v>
      </c>
      <c r="B189" s="80">
        <v>40807</v>
      </c>
      <c r="C189">
        <v>20</v>
      </c>
      <c r="D189">
        <v>485.6296</v>
      </c>
      <c r="E189">
        <v>483.55992</v>
      </c>
      <c r="F189">
        <v>68.57667</v>
      </c>
      <c r="G189">
        <v>23.17537</v>
      </c>
      <c r="H189">
        <v>-27.63077</v>
      </c>
      <c r="I189">
        <v>-10.08351</v>
      </c>
      <c r="J189">
        <v>2.069661</v>
      </c>
      <c r="K189">
        <v>14.22283</v>
      </c>
      <c r="L189">
        <v>31.77009</v>
      </c>
      <c r="M189">
        <v>9</v>
      </c>
      <c r="N189">
        <v>224.4444</v>
      </c>
    </row>
    <row r="190" spans="1:14" ht="12.75">
      <c r="A190" t="s">
        <v>41</v>
      </c>
      <c r="B190" s="80">
        <v>40807</v>
      </c>
      <c r="C190">
        <v>21</v>
      </c>
      <c r="D190">
        <v>510.1598</v>
      </c>
      <c r="E190">
        <v>490.96437</v>
      </c>
      <c r="F190">
        <v>66.93556</v>
      </c>
      <c r="G190">
        <v>22.59647</v>
      </c>
      <c r="H190">
        <v>-9.763119</v>
      </c>
      <c r="I190">
        <v>7.345819</v>
      </c>
      <c r="J190">
        <v>19.19542</v>
      </c>
      <c r="K190">
        <v>31.04502</v>
      </c>
      <c r="L190">
        <v>48.15395</v>
      </c>
      <c r="M190">
        <v>9</v>
      </c>
      <c r="N190">
        <v>224.4444</v>
      </c>
    </row>
    <row r="191" spans="1:14" ht="12.75">
      <c r="A191" t="s">
        <v>41</v>
      </c>
      <c r="B191" s="80">
        <v>40807</v>
      </c>
      <c r="C191">
        <v>22</v>
      </c>
      <c r="D191">
        <v>493.8158</v>
      </c>
      <c r="E191">
        <v>488.02661</v>
      </c>
      <c r="F191">
        <v>65.65556</v>
      </c>
      <c r="G191">
        <v>22.64807</v>
      </c>
      <c r="H191">
        <v>-23.23549</v>
      </c>
      <c r="I191">
        <v>-6.087476</v>
      </c>
      <c r="J191">
        <v>5.789183</v>
      </c>
      <c r="K191">
        <v>17.66584</v>
      </c>
      <c r="L191">
        <v>34.81385</v>
      </c>
      <c r="M191">
        <v>9</v>
      </c>
      <c r="N191">
        <v>224.4444</v>
      </c>
    </row>
    <row r="192" spans="1:14" ht="12.75">
      <c r="A192" t="s">
        <v>41</v>
      </c>
      <c r="B192" s="80">
        <v>40807</v>
      </c>
      <c r="C192">
        <v>23</v>
      </c>
      <c r="D192">
        <v>447.3605</v>
      </c>
      <c r="E192">
        <v>458.90658</v>
      </c>
      <c r="F192">
        <v>64.25</v>
      </c>
      <c r="G192">
        <v>22.84389</v>
      </c>
      <c r="H192">
        <v>-40.8217</v>
      </c>
      <c r="I192">
        <v>-23.52542</v>
      </c>
      <c r="J192">
        <v>-11.54607</v>
      </c>
      <c r="K192">
        <v>0.4332763</v>
      </c>
      <c r="L192">
        <v>17.72956</v>
      </c>
      <c r="M192">
        <v>9</v>
      </c>
      <c r="N192">
        <v>224.4444</v>
      </c>
    </row>
    <row r="193" spans="1:14" ht="12.75">
      <c r="A193" t="s">
        <v>41</v>
      </c>
      <c r="B193" s="80">
        <v>40807</v>
      </c>
      <c r="C193">
        <v>24</v>
      </c>
      <c r="D193">
        <v>471.7994</v>
      </c>
      <c r="E193">
        <v>495.2977</v>
      </c>
      <c r="F193">
        <v>63.60889</v>
      </c>
      <c r="G193">
        <v>22.93929</v>
      </c>
      <c r="H193">
        <v>-52.89613</v>
      </c>
      <c r="I193">
        <v>-35.52763</v>
      </c>
      <c r="J193">
        <v>-23.49826</v>
      </c>
      <c r="K193">
        <v>-11.46889</v>
      </c>
      <c r="L193">
        <v>5.899619</v>
      </c>
      <c r="M193">
        <v>9</v>
      </c>
      <c r="N193">
        <v>224.4444</v>
      </c>
    </row>
    <row r="194" spans="1:14" ht="12.75">
      <c r="A194" t="s">
        <v>47</v>
      </c>
      <c r="B194" s="80">
        <v>40807</v>
      </c>
      <c r="C194">
        <v>1</v>
      </c>
      <c r="D194">
        <v>965.0241</v>
      </c>
      <c r="E194">
        <v>940.58401</v>
      </c>
      <c r="F194">
        <v>63.41615</v>
      </c>
      <c r="G194">
        <v>35.72436</v>
      </c>
      <c r="H194">
        <v>-21.34251</v>
      </c>
      <c r="I194">
        <v>5.70623</v>
      </c>
      <c r="J194">
        <v>24.4401</v>
      </c>
      <c r="K194">
        <v>43.17398</v>
      </c>
      <c r="L194">
        <v>70.22272</v>
      </c>
      <c r="M194">
        <v>556</v>
      </c>
      <c r="N194">
        <v>145.3004</v>
      </c>
    </row>
    <row r="195" spans="1:14" ht="12.75">
      <c r="A195" t="s">
        <v>47</v>
      </c>
      <c r="B195" s="80">
        <v>40807</v>
      </c>
      <c r="C195">
        <v>2</v>
      </c>
      <c r="D195">
        <v>951.2495</v>
      </c>
      <c r="E195">
        <v>940.99948</v>
      </c>
      <c r="F195">
        <v>62.70928</v>
      </c>
      <c r="G195">
        <v>35.65133</v>
      </c>
      <c r="H195">
        <v>-35.43905</v>
      </c>
      <c r="I195">
        <v>-8.445606</v>
      </c>
      <c r="J195">
        <v>10.24997</v>
      </c>
      <c r="K195">
        <v>28.94555</v>
      </c>
      <c r="L195">
        <v>55.93899</v>
      </c>
      <c r="M195">
        <v>556</v>
      </c>
      <c r="N195">
        <v>145.3004</v>
      </c>
    </row>
    <row r="196" spans="1:14" ht="12.75">
      <c r="A196" t="s">
        <v>47</v>
      </c>
      <c r="B196" s="80">
        <v>40807</v>
      </c>
      <c r="C196">
        <v>3</v>
      </c>
      <c r="D196">
        <v>940.6147</v>
      </c>
      <c r="E196">
        <v>919.72556</v>
      </c>
      <c r="F196">
        <v>62.18516</v>
      </c>
      <c r="G196">
        <v>35.72102</v>
      </c>
      <c r="H196">
        <v>-24.88915</v>
      </c>
      <c r="I196">
        <v>2.157061</v>
      </c>
      <c r="J196">
        <v>20.88918</v>
      </c>
      <c r="K196">
        <v>39.6213</v>
      </c>
      <c r="L196">
        <v>66.66751</v>
      </c>
      <c r="M196">
        <v>556</v>
      </c>
      <c r="N196">
        <v>145.3004</v>
      </c>
    </row>
    <row r="197" spans="1:14" ht="12.75">
      <c r="A197" t="s">
        <v>47</v>
      </c>
      <c r="B197" s="80">
        <v>40807</v>
      </c>
      <c r="C197">
        <v>4</v>
      </c>
      <c r="D197">
        <v>952.1496</v>
      </c>
      <c r="E197">
        <v>933.86333</v>
      </c>
      <c r="F197">
        <v>61.73115</v>
      </c>
      <c r="G197">
        <v>35.87578</v>
      </c>
      <c r="H197">
        <v>-27.69039</v>
      </c>
      <c r="I197">
        <v>-0.5270063</v>
      </c>
      <c r="J197">
        <v>18.28627</v>
      </c>
      <c r="K197">
        <v>37.09955</v>
      </c>
      <c r="L197">
        <v>64.26293</v>
      </c>
      <c r="M197">
        <v>556</v>
      </c>
      <c r="N197">
        <v>145.3004</v>
      </c>
    </row>
    <row r="198" spans="1:14" ht="12.75">
      <c r="A198" t="s">
        <v>47</v>
      </c>
      <c r="B198" s="80">
        <v>40807</v>
      </c>
      <c r="C198">
        <v>5</v>
      </c>
      <c r="D198">
        <v>983.8007</v>
      </c>
      <c r="E198">
        <v>954.85386</v>
      </c>
      <c r="F198">
        <v>61.50367</v>
      </c>
      <c r="G198">
        <v>35.8213</v>
      </c>
      <c r="H198">
        <v>-16.95998</v>
      </c>
      <c r="I198">
        <v>10.16215</v>
      </c>
      <c r="J198">
        <v>28.94686</v>
      </c>
      <c r="K198">
        <v>47.73157</v>
      </c>
      <c r="L198">
        <v>74.8537</v>
      </c>
      <c r="M198">
        <v>556</v>
      </c>
      <c r="N198">
        <v>145.3004</v>
      </c>
    </row>
    <row r="199" spans="1:14" ht="12.75">
      <c r="A199" t="s">
        <v>47</v>
      </c>
      <c r="B199" s="80">
        <v>40807</v>
      </c>
      <c r="C199">
        <v>6</v>
      </c>
      <c r="D199">
        <v>1031.317</v>
      </c>
      <c r="E199">
        <v>991.3801</v>
      </c>
      <c r="F199">
        <v>61.11739</v>
      </c>
      <c r="G199">
        <v>35.88225</v>
      </c>
      <c r="H199">
        <v>-6.047666</v>
      </c>
      <c r="I199">
        <v>21.12062</v>
      </c>
      <c r="J199">
        <v>39.93729</v>
      </c>
      <c r="K199">
        <v>58.75396</v>
      </c>
      <c r="L199">
        <v>85.92223</v>
      </c>
      <c r="M199">
        <v>556</v>
      </c>
      <c r="N199">
        <v>145.3004</v>
      </c>
    </row>
    <row r="200" spans="1:14" ht="12.75">
      <c r="A200" t="s">
        <v>47</v>
      </c>
      <c r="B200" s="80">
        <v>40807</v>
      </c>
      <c r="C200">
        <v>7</v>
      </c>
      <c r="D200">
        <v>1061.839</v>
      </c>
      <c r="E200">
        <v>937.4213</v>
      </c>
      <c r="F200">
        <v>62.00732</v>
      </c>
      <c r="G200">
        <v>35.8903</v>
      </c>
      <c r="H200">
        <v>78.42229</v>
      </c>
      <c r="I200">
        <v>105.5967</v>
      </c>
      <c r="J200">
        <v>124.4176</v>
      </c>
      <c r="K200">
        <v>143.2385</v>
      </c>
      <c r="L200">
        <v>170.4128</v>
      </c>
      <c r="M200">
        <v>556</v>
      </c>
      <c r="N200">
        <v>145.3004</v>
      </c>
    </row>
    <row r="201" spans="1:14" ht="12.75">
      <c r="A201" t="s">
        <v>47</v>
      </c>
      <c r="B201" s="80">
        <v>40807</v>
      </c>
      <c r="C201">
        <v>8</v>
      </c>
      <c r="D201">
        <v>1060.051</v>
      </c>
      <c r="E201">
        <v>966.5311</v>
      </c>
      <c r="F201">
        <v>64.18302</v>
      </c>
      <c r="G201">
        <v>35.76611</v>
      </c>
      <c r="H201">
        <v>47.68357</v>
      </c>
      <c r="I201">
        <v>74.76392</v>
      </c>
      <c r="J201">
        <v>93.51968</v>
      </c>
      <c r="K201">
        <v>112.2754</v>
      </c>
      <c r="L201">
        <v>139.3558</v>
      </c>
      <c r="M201">
        <v>556</v>
      </c>
      <c r="N201">
        <v>145.3004</v>
      </c>
    </row>
    <row r="202" spans="1:14" ht="12.75">
      <c r="A202" t="s">
        <v>47</v>
      </c>
      <c r="B202" s="80">
        <v>40807</v>
      </c>
      <c r="C202">
        <v>9</v>
      </c>
      <c r="D202">
        <v>1051.935</v>
      </c>
      <c r="E202">
        <v>979.33518</v>
      </c>
      <c r="F202">
        <v>68.01536</v>
      </c>
      <c r="G202">
        <v>35.05</v>
      </c>
      <c r="H202">
        <v>27.68186</v>
      </c>
      <c r="I202">
        <v>54.22001</v>
      </c>
      <c r="J202">
        <v>72.60024</v>
      </c>
      <c r="K202">
        <v>90.98048</v>
      </c>
      <c r="L202">
        <v>117.5186</v>
      </c>
      <c r="M202">
        <v>556</v>
      </c>
      <c r="N202">
        <v>145.3004</v>
      </c>
    </row>
    <row r="203" spans="1:14" ht="12.75">
      <c r="A203" t="s">
        <v>47</v>
      </c>
      <c r="B203" s="80">
        <v>40807</v>
      </c>
      <c r="C203">
        <v>10</v>
      </c>
      <c r="D203">
        <v>1064.425</v>
      </c>
      <c r="E203">
        <v>975.77854</v>
      </c>
      <c r="F203">
        <v>72.90072</v>
      </c>
      <c r="G203">
        <v>35.13449</v>
      </c>
      <c r="H203">
        <v>43.6202</v>
      </c>
      <c r="I203">
        <v>70.22233</v>
      </c>
      <c r="J203">
        <v>88.64687</v>
      </c>
      <c r="K203">
        <v>107.0714</v>
      </c>
      <c r="L203">
        <v>133.6735</v>
      </c>
      <c r="M203">
        <v>556</v>
      </c>
      <c r="N203">
        <v>145.3004</v>
      </c>
    </row>
    <row r="204" spans="1:14" ht="12.75">
      <c r="A204" t="s">
        <v>47</v>
      </c>
      <c r="B204" s="80">
        <v>40807</v>
      </c>
      <c r="C204">
        <v>11</v>
      </c>
      <c r="D204">
        <v>1067.014</v>
      </c>
      <c r="E204">
        <v>982.90031</v>
      </c>
      <c r="F204">
        <v>76.70527</v>
      </c>
      <c r="G204">
        <v>35.07413</v>
      </c>
      <c r="H204">
        <v>39.1643</v>
      </c>
      <c r="I204">
        <v>65.72072</v>
      </c>
      <c r="J204">
        <v>84.11361</v>
      </c>
      <c r="K204">
        <v>102.5065</v>
      </c>
      <c r="L204">
        <v>129.0629</v>
      </c>
      <c r="M204">
        <v>556</v>
      </c>
      <c r="N204">
        <v>145.3004</v>
      </c>
    </row>
    <row r="205" spans="1:14" ht="12.75">
      <c r="A205" t="s">
        <v>47</v>
      </c>
      <c r="B205" s="80">
        <v>40807</v>
      </c>
      <c r="C205">
        <v>12</v>
      </c>
      <c r="D205">
        <v>1061.814</v>
      </c>
      <c r="E205">
        <v>999.82074</v>
      </c>
      <c r="F205">
        <v>78.35272</v>
      </c>
      <c r="G205">
        <v>34.94743</v>
      </c>
      <c r="H205">
        <v>17.20677</v>
      </c>
      <c r="I205">
        <v>43.66726</v>
      </c>
      <c r="J205">
        <v>61.99371</v>
      </c>
      <c r="K205">
        <v>80.32017</v>
      </c>
      <c r="L205">
        <v>106.7806</v>
      </c>
      <c r="M205">
        <v>556</v>
      </c>
      <c r="N205">
        <v>145.3004</v>
      </c>
    </row>
    <row r="206" spans="1:14" ht="12.75">
      <c r="A206" t="s">
        <v>47</v>
      </c>
      <c r="B206" s="80">
        <v>40807</v>
      </c>
      <c r="C206">
        <v>13</v>
      </c>
      <c r="D206">
        <v>1049.604</v>
      </c>
      <c r="E206">
        <v>987.68357</v>
      </c>
      <c r="F206">
        <v>79.958</v>
      </c>
      <c r="G206">
        <v>34.9381</v>
      </c>
      <c r="H206">
        <v>17.14545</v>
      </c>
      <c r="I206">
        <v>43.59887</v>
      </c>
      <c r="J206">
        <v>61.92043</v>
      </c>
      <c r="K206">
        <v>80.24199</v>
      </c>
      <c r="L206">
        <v>106.6954</v>
      </c>
      <c r="M206">
        <v>556</v>
      </c>
      <c r="N206">
        <v>145.3004</v>
      </c>
    </row>
    <row r="207" spans="1:14" ht="12.75">
      <c r="A207" t="s">
        <v>47</v>
      </c>
      <c r="B207" s="80">
        <v>40807</v>
      </c>
      <c r="C207">
        <v>14</v>
      </c>
      <c r="D207">
        <v>1043.644</v>
      </c>
      <c r="E207">
        <v>968.57246</v>
      </c>
      <c r="F207">
        <v>80.40223</v>
      </c>
      <c r="G207">
        <v>34.92332</v>
      </c>
      <c r="H207">
        <v>30.31543</v>
      </c>
      <c r="I207">
        <v>56.75765</v>
      </c>
      <c r="J207">
        <v>75.07146</v>
      </c>
      <c r="K207">
        <v>93.38526</v>
      </c>
      <c r="L207">
        <v>119.8275</v>
      </c>
      <c r="M207">
        <v>556</v>
      </c>
      <c r="N207">
        <v>145.3004</v>
      </c>
    </row>
    <row r="208" spans="1:14" ht="12.75">
      <c r="A208" t="s">
        <v>47</v>
      </c>
      <c r="B208" s="80">
        <v>40807</v>
      </c>
      <c r="C208">
        <v>15</v>
      </c>
      <c r="D208">
        <v>1029.6</v>
      </c>
      <c r="E208">
        <v>452.56902</v>
      </c>
      <c r="F208">
        <v>79.22759</v>
      </c>
      <c r="G208">
        <v>34.95628</v>
      </c>
      <c r="H208">
        <v>532.2325</v>
      </c>
      <c r="I208">
        <v>558.6998</v>
      </c>
      <c r="J208">
        <v>577.0308</v>
      </c>
      <c r="K208">
        <v>595.3619</v>
      </c>
      <c r="L208">
        <v>621.8291</v>
      </c>
      <c r="M208">
        <v>556</v>
      </c>
      <c r="N208">
        <v>145.3004</v>
      </c>
    </row>
    <row r="209" spans="1:14" ht="12.75">
      <c r="A209" t="s">
        <v>47</v>
      </c>
      <c r="B209" s="80">
        <v>40807</v>
      </c>
      <c r="C209">
        <v>16</v>
      </c>
      <c r="D209">
        <v>1008.871</v>
      </c>
      <c r="E209">
        <v>220.99439</v>
      </c>
      <c r="F209">
        <v>77.73388</v>
      </c>
      <c r="G209">
        <v>34.86395</v>
      </c>
      <c r="H209">
        <v>743.1971</v>
      </c>
      <c r="I209">
        <v>769.5944</v>
      </c>
      <c r="J209">
        <v>787.8771</v>
      </c>
      <c r="K209">
        <v>806.1597</v>
      </c>
      <c r="L209">
        <v>832.557</v>
      </c>
      <c r="M209">
        <v>556</v>
      </c>
      <c r="N209">
        <v>145.3004</v>
      </c>
    </row>
    <row r="210" spans="1:14" ht="12.75">
      <c r="A210" t="s">
        <v>47</v>
      </c>
      <c r="B210" s="80">
        <v>40807</v>
      </c>
      <c r="C210">
        <v>17</v>
      </c>
      <c r="D210">
        <v>990.5802</v>
      </c>
      <c r="E210">
        <v>461.93117</v>
      </c>
      <c r="F210">
        <v>74.94318</v>
      </c>
      <c r="G210">
        <v>34.94268</v>
      </c>
      <c r="H210">
        <v>483.8682</v>
      </c>
      <c r="I210">
        <v>510.3251</v>
      </c>
      <c r="J210">
        <v>528.649</v>
      </c>
      <c r="K210">
        <v>546.973</v>
      </c>
      <c r="L210">
        <v>573.4299</v>
      </c>
      <c r="M210">
        <v>556</v>
      </c>
      <c r="N210">
        <v>145.3004</v>
      </c>
    </row>
    <row r="211" spans="1:14" ht="12.75">
      <c r="A211" t="s">
        <v>47</v>
      </c>
      <c r="B211" s="80">
        <v>40807</v>
      </c>
      <c r="C211">
        <v>18</v>
      </c>
      <c r="D211">
        <v>971.1299</v>
      </c>
      <c r="E211">
        <v>699.26</v>
      </c>
      <c r="F211">
        <v>72.22246</v>
      </c>
      <c r="G211">
        <v>34.92035</v>
      </c>
      <c r="H211">
        <v>227.1177</v>
      </c>
      <c r="I211">
        <v>253.5577</v>
      </c>
      <c r="J211">
        <v>271.8699</v>
      </c>
      <c r="K211">
        <v>290.1822</v>
      </c>
      <c r="L211">
        <v>316.6222</v>
      </c>
      <c r="M211">
        <v>556</v>
      </c>
      <c r="N211">
        <v>145.3004</v>
      </c>
    </row>
    <row r="212" spans="1:14" ht="12.75">
      <c r="A212" t="s">
        <v>47</v>
      </c>
      <c r="B212" s="80">
        <v>40807</v>
      </c>
      <c r="C212">
        <v>19</v>
      </c>
      <c r="D212">
        <v>970.4615</v>
      </c>
      <c r="E212">
        <v>789.23644</v>
      </c>
      <c r="F212">
        <v>69.71117</v>
      </c>
      <c r="G212">
        <v>34.95499</v>
      </c>
      <c r="H212">
        <v>136.4284</v>
      </c>
      <c r="I212">
        <v>162.8946</v>
      </c>
      <c r="J212">
        <v>181.2251</v>
      </c>
      <c r="K212">
        <v>199.5555</v>
      </c>
      <c r="L212">
        <v>226.0217</v>
      </c>
      <c r="M212">
        <v>556</v>
      </c>
      <c r="N212">
        <v>145.3004</v>
      </c>
    </row>
    <row r="213" spans="1:14" ht="12.75">
      <c r="A213" t="s">
        <v>47</v>
      </c>
      <c r="B213" s="80">
        <v>40807</v>
      </c>
      <c r="C213">
        <v>20</v>
      </c>
      <c r="D213">
        <v>972.4462</v>
      </c>
      <c r="E213">
        <v>824.72835</v>
      </c>
      <c r="F213">
        <v>68.27356</v>
      </c>
      <c r="G213">
        <v>34.94866</v>
      </c>
      <c r="H213">
        <v>102.9293</v>
      </c>
      <c r="I213">
        <v>129.3907</v>
      </c>
      <c r="J213">
        <v>147.7178</v>
      </c>
      <c r="K213">
        <v>166.0449</v>
      </c>
      <c r="L213">
        <v>192.5063</v>
      </c>
      <c r="M213">
        <v>556</v>
      </c>
      <c r="N213">
        <v>145.3004</v>
      </c>
    </row>
    <row r="214" spans="1:14" ht="12.75">
      <c r="A214" t="s">
        <v>47</v>
      </c>
      <c r="B214" s="80">
        <v>40807</v>
      </c>
      <c r="C214">
        <v>21</v>
      </c>
      <c r="D214">
        <v>974.0024</v>
      </c>
      <c r="E214">
        <v>833.1172</v>
      </c>
      <c r="F214">
        <v>66.63192</v>
      </c>
      <c r="G214">
        <v>35.25715</v>
      </c>
      <c r="H214">
        <v>95.70132</v>
      </c>
      <c r="I214">
        <v>122.3963</v>
      </c>
      <c r="J214">
        <v>140.8852</v>
      </c>
      <c r="K214">
        <v>159.374</v>
      </c>
      <c r="L214">
        <v>186.069</v>
      </c>
      <c r="M214">
        <v>556</v>
      </c>
      <c r="N214">
        <v>145.3004</v>
      </c>
    </row>
    <row r="215" spans="1:14" ht="12.75">
      <c r="A215" t="s">
        <v>47</v>
      </c>
      <c r="B215" s="80">
        <v>40807</v>
      </c>
      <c r="C215">
        <v>22</v>
      </c>
      <c r="D215">
        <v>962.0652</v>
      </c>
      <c r="E215">
        <v>841.50423</v>
      </c>
      <c r="F215">
        <v>65.82612</v>
      </c>
      <c r="G215">
        <v>35.26683</v>
      </c>
      <c r="H215">
        <v>75.36476</v>
      </c>
      <c r="I215">
        <v>102.0671</v>
      </c>
      <c r="J215">
        <v>120.561</v>
      </c>
      <c r="K215">
        <v>139.055</v>
      </c>
      <c r="L215">
        <v>165.7573</v>
      </c>
      <c r="M215">
        <v>556</v>
      </c>
      <c r="N215">
        <v>145.3004</v>
      </c>
    </row>
    <row r="216" spans="1:14" ht="12.75">
      <c r="A216" t="s">
        <v>47</v>
      </c>
      <c r="B216" s="80">
        <v>40807</v>
      </c>
      <c r="C216">
        <v>23</v>
      </c>
      <c r="D216">
        <v>1008.439</v>
      </c>
      <c r="E216">
        <v>912.03266</v>
      </c>
      <c r="F216">
        <v>64.99428</v>
      </c>
      <c r="G216">
        <v>35.78076</v>
      </c>
      <c r="H216">
        <v>50.55184</v>
      </c>
      <c r="I216">
        <v>77.64328</v>
      </c>
      <c r="J216">
        <v>96.40673</v>
      </c>
      <c r="K216">
        <v>115.1702</v>
      </c>
      <c r="L216">
        <v>142.2616</v>
      </c>
      <c r="M216">
        <v>556</v>
      </c>
      <c r="N216">
        <v>145.3004</v>
      </c>
    </row>
    <row r="217" spans="1:14" ht="12.75">
      <c r="A217" t="s">
        <v>47</v>
      </c>
      <c r="B217" s="80">
        <v>40807</v>
      </c>
      <c r="C217">
        <v>24</v>
      </c>
      <c r="D217">
        <v>1007.205</v>
      </c>
      <c r="E217">
        <v>906.55499</v>
      </c>
      <c r="F217">
        <v>64.66433</v>
      </c>
      <c r="G217">
        <v>35.6278</v>
      </c>
      <c r="H217">
        <v>54.99091</v>
      </c>
      <c r="I217">
        <v>81.96655</v>
      </c>
      <c r="J217">
        <v>100.6498</v>
      </c>
      <c r="K217">
        <v>119.333</v>
      </c>
      <c r="L217">
        <v>146.3087</v>
      </c>
      <c r="M217">
        <v>556</v>
      </c>
      <c r="N217">
        <v>145.3004</v>
      </c>
    </row>
    <row r="218" spans="1:14" ht="12.75">
      <c r="A218" t="s">
        <v>48</v>
      </c>
      <c r="B218" s="80">
        <v>40807</v>
      </c>
      <c r="C218">
        <v>1</v>
      </c>
      <c r="D218">
        <v>3200.027</v>
      </c>
      <c r="E218">
        <v>2661.1632</v>
      </c>
      <c r="F218">
        <v>66.83667</v>
      </c>
      <c r="G218">
        <v>393.6162</v>
      </c>
      <c r="H218">
        <v>34.4241</v>
      </c>
      <c r="I218">
        <v>332.451</v>
      </c>
      <c r="J218">
        <v>538.8636</v>
      </c>
      <c r="K218">
        <v>745.2762</v>
      </c>
      <c r="L218">
        <v>1043.303</v>
      </c>
      <c r="M218">
        <v>24</v>
      </c>
      <c r="N218">
        <v>291.9167</v>
      </c>
    </row>
    <row r="219" spans="1:14" ht="12.75">
      <c r="A219" t="s">
        <v>48</v>
      </c>
      <c r="B219" s="80">
        <v>40807</v>
      </c>
      <c r="C219">
        <v>2</v>
      </c>
      <c r="D219">
        <v>3191.002</v>
      </c>
      <c r="E219">
        <v>2622.4466</v>
      </c>
      <c r="F219">
        <v>66.02417</v>
      </c>
      <c r="G219">
        <v>394.1963</v>
      </c>
      <c r="H219">
        <v>63.37279</v>
      </c>
      <c r="I219">
        <v>361.8389</v>
      </c>
      <c r="J219">
        <v>568.5556</v>
      </c>
      <c r="K219">
        <v>775.2723</v>
      </c>
      <c r="L219">
        <v>1073.738</v>
      </c>
      <c r="M219">
        <v>24</v>
      </c>
      <c r="N219">
        <v>291.9167</v>
      </c>
    </row>
    <row r="220" spans="1:14" ht="12.75">
      <c r="A220" t="s">
        <v>48</v>
      </c>
      <c r="B220" s="80">
        <v>40807</v>
      </c>
      <c r="C220">
        <v>3</v>
      </c>
      <c r="D220">
        <v>3150.962</v>
      </c>
      <c r="E220">
        <v>2733.2536</v>
      </c>
      <c r="F220">
        <v>65.14583</v>
      </c>
      <c r="G220">
        <v>394.694</v>
      </c>
      <c r="H220">
        <v>-88.11264</v>
      </c>
      <c r="I220">
        <v>210.7304</v>
      </c>
      <c r="J220">
        <v>417.7081</v>
      </c>
      <c r="K220">
        <v>624.6859</v>
      </c>
      <c r="L220">
        <v>923.5289</v>
      </c>
      <c r="M220">
        <v>24</v>
      </c>
      <c r="N220">
        <v>291.9167</v>
      </c>
    </row>
    <row r="221" spans="1:14" ht="12.75">
      <c r="A221" t="s">
        <v>48</v>
      </c>
      <c r="B221" s="80">
        <v>40807</v>
      </c>
      <c r="C221">
        <v>4</v>
      </c>
      <c r="D221">
        <v>3080.397</v>
      </c>
      <c r="E221">
        <v>2782.9177</v>
      </c>
      <c r="F221">
        <v>64.1475</v>
      </c>
      <c r="G221">
        <v>394.2157</v>
      </c>
      <c r="H221">
        <v>-207.7283</v>
      </c>
      <c r="I221">
        <v>90.75259</v>
      </c>
      <c r="J221">
        <v>297.4795</v>
      </c>
      <c r="K221">
        <v>504.2065</v>
      </c>
      <c r="L221">
        <v>802.6873</v>
      </c>
      <c r="M221">
        <v>24</v>
      </c>
      <c r="N221">
        <v>291.9167</v>
      </c>
    </row>
    <row r="222" spans="1:14" ht="12.75">
      <c r="A222" t="s">
        <v>48</v>
      </c>
      <c r="B222" s="80">
        <v>40807</v>
      </c>
      <c r="C222">
        <v>5</v>
      </c>
      <c r="D222">
        <v>3091.612</v>
      </c>
      <c r="E222">
        <v>2917.7694</v>
      </c>
      <c r="F222">
        <v>62.96875</v>
      </c>
      <c r="G222">
        <v>394.9424</v>
      </c>
      <c r="H222">
        <v>-332.2964</v>
      </c>
      <c r="I222">
        <v>-33.26533</v>
      </c>
      <c r="J222">
        <v>173.8427</v>
      </c>
      <c r="K222">
        <v>380.9507</v>
      </c>
      <c r="L222">
        <v>679.9818</v>
      </c>
      <c r="M222">
        <v>24</v>
      </c>
      <c r="N222">
        <v>291.9167</v>
      </c>
    </row>
    <row r="223" spans="1:14" ht="12.75">
      <c r="A223" t="s">
        <v>48</v>
      </c>
      <c r="B223" s="80">
        <v>40807</v>
      </c>
      <c r="C223">
        <v>6</v>
      </c>
      <c r="D223">
        <v>3151.765</v>
      </c>
      <c r="E223">
        <v>2809.5149</v>
      </c>
      <c r="F223">
        <v>63.05292</v>
      </c>
      <c r="G223">
        <v>393.6184</v>
      </c>
      <c r="H223">
        <v>-162.192</v>
      </c>
      <c r="I223">
        <v>135.8365</v>
      </c>
      <c r="J223">
        <v>342.2502</v>
      </c>
      <c r="K223">
        <v>548.6639</v>
      </c>
      <c r="L223">
        <v>846.6925</v>
      </c>
      <c r="M223">
        <v>24</v>
      </c>
      <c r="N223">
        <v>291.9167</v>
      </c>
    </row>
    <row r="224" spans="1:14" ht="12.75">
      <c r="A224" t="s">
        <v>48</v>
      </c>
      <c r="B224" s="80">
        <v>40807</v>
      </c>
      <c r="C224">
        <v>7</v>
      </c>
      <c r="D224">
        <v>3155.292</v>
      </c>
      <c r="E224">
        <v>2673.5713</v>
      </c>
      <c r="F224">
        <v>63.445</v>
      </c>
      <c r="G224">
        <v>394.016</v>
      </c>
      <c r="H224">
        <v>-23.2312</v>
      </c>
      <c r="I224">
        <v>275.0984</v>
      </c>
      <c r="J224">
        <v>481.7206</v>
      </c>
      <c r="K224">
        <v>688.3428</v>
      </c>
      <c r="L224">
        <v>986.6725</v>
      </c>
      <c r="M224">
        <v>24</v>
      </c>
      <c r="N224">
        <v>291.9167</v>
      </c>
    </row>
    <row r="225" spans="1:14" ht="12.75">
      <c r="A225" t="s">
        <v>48</v>
      </c>
      <c r="B225" s="80">
        <v>40807</v>
      </c>
      <c r="C225">
        <v>8</v>
      </c>
      <c r="D225">
        <v>3072.35</v>
      </c>
      <c r="E225">
        <v>2671.2621</v>
      </c>
      <c r="F225">
        <v>68.58833</v>
      </c>
      <c r="G225">
        <v>394.9427</v>
      </c>
      <c r="H225">
        <v>-105.0515</v>
      </c>
      <c r="I225">
        <v>193.9798</v>
      </c>
      <c r="J225">
        <v>401.088</v>
      </c>
      <c r="K225">
        <v>608.1961</v>
      </c>
      <c r="L225">
        <v>907.2274</v>
      </c>
      <c r="M225">
        <v>24</v>
      </c>
      <c r="N225">
        <v>291.9167</v>
      </c>
    </row>
    <row r="226" spans="1:14" ht="12.75">
      <c r="A226" t="s">
        <v>48</v>
      </c>
      <c r="B226" s="80">
        <v>40807</v>
      </c>
      <c r="C226">
        <v>9</v>
      </c>
      <c r="D226">
        <v>3032.782</v>
      </c>
      <c r="E226">
        <v>2673.2283</v>
      </c>
      <c r="F226">
        <v>73.97292</v>
      </c>
      <c r="G226">
        <v>394.1115</v>
      </c>
      <c r="H226">
        <v>-145.5205</v>
      </c>
      <c r="I226">
        <v>152.8815</v>
      </c>
      <c r="J226">
        <v>359.5537</v>
      </c>
      <c r="K226">
        <v>566.226</v>
      </c>
      <c r="L226">
        <v>864.6279</v>
      </c>
      <c r="M226">
        <v>24</v>
      </c>
      <c r="N226">
        <v>291.9167</v>
      </c>
    </row>
    <row r="227" spans="1:14" ht="12.75">
      <c r="A227" t="s">
        <v>48</v>
      </c>
      <c r="B227" s="80">
        <v>40807</v>
      </c>
      <c r="C227">
        <v>10</v>
      </c>
      <c r="D227">
        <v>3022.116</v>
      </c>
      <c r="E227">
        <v>2611.9743</v>
      </c>
      <c r="F227">
        <v>79.01</v>
      </c>
      <c r="G227">
        <v>393.5441</v>
      </c>
      <c r="H227">
        <v>-94.20565</v>
      </c>
      <c r="I227">
        <v>203.7667</v>
      </c>
      <c r="J227">
        <v>410.1414</v>
      </c>
      <c r="K227">
        <v>616.5161</v>
      </c>
      <c r="L227">
        <v>914.4885</v>
      </c>
      <c r="M227">
        <v>24</v>
      </c>
      <c r="N227">
        <v>291.9167</v>
      </c>
    </row>
    <row r="228" spans="1:14" ht="12.75">
      <c r="A228" t="s">
        <v>48</v>
      </c>
      <c r="B228" s="80">
        <v>40807</v>
      </c>
      <c r="C228">
        <v>11</v>
      </c>
      <c r="D228">
        <v>3021.711</v>
      </c>
      <c r="E228">
        <v>2673.0184</v>
      </c>
      <c r="F228">
        <v>84.36667</v>
      </c>
      <c r="G228">
        <v>392.0845</v>
      </c>
      <c r="H228">
        <v>-153.7836</v>
      </c>
      <c r="I228">
        <v>143.0836</v>
      </c>
      <c r="J228">
        <v>348.693</v>
      </c>
      <c r="K228">
        <v>554.3023</v>
      </c>
      <c r="L228">
        <v>851.1696</v>
      </c>
      <c r="M228">
        <v>24</v>
      </c>
      <c r="N228">
        <v>291.9167</v>
      </c>
    </row>
    <row r="229" spans="1:14" ht="12.75">
      <c r="A229" t="s">
        <v>48</v>
      </c>
      <c r="B229" s="80">
        <v>40807</v>
      </c>
      <c r="C229">
        <v>12</v>
      </c>
      <c r="D229">
        <v>2965.039</v>
      </c>
      <c r="E229">
        <v>2689.0949</v>
      </c>
      <c r="F229">
        <v>87.5875</v>
      </c>
      <c r="G229">
        <v>390.9879</v>
      </c>
      <c r="H229">
        <v>-225.1267</v>
      </c>
      <c r="I229">
        <v>70.91019</v>
      </c>
      <c r="J229">
        <v>275.9445</v>
      </c>
      <c r="K229">
        <v>480.9787</v>
      </c>
      <c r="L229">
        <v>777.0156</v>
      </c>
      <c r="M229">
        <v>24</v>
      </c>
      <c r="N229">
        <v>291.9167</v>
      </c>
    </row>
    <row r="230" spans="1:14" ht="12.75">
      <c r="A230" t="s">
        <v>48</v>
      </c>
      <c r="B230" s="80">
        <v>40807</v>
      </c>
      <c r="C230">
        <v>13</v>
      </c>
      <c r="D230">
        <v>2948.952</v>
      </c>
      <c r="E230">
        <v>2663.8899</v>
      </c>
      <c r="F230">
        <v>89.2625</v>
      </c>
      <c r="G230">
        <v>392.0257</v>
      </c>
      <c r="H230">
        <v>-217.3392</v>
      </c>
      <c r="I230">
        <v>79.48354</v>
      </c>
      <c r="J230">
        <v>285.062</v>
      </c>
      <c r="K230">
        <v>490.6405</v>
      </c>
      <c r="L230">
        <v>787.4632</v>
      </c>
      <c r="M230">
        <v>24</v>
      </c>
      <c r="N230">
        <v>291.9167</v>
      </c>
    </row>
    <row r="231" spans="1:14" ht="12.75">
      <c r="A231" t="s">
        <v>48</v>
      </c>
      <c r="B231" s="80">
        <v>40807</v>
      </c>
      <c r="C231">
        <v>14</v>
      </c>
      <c r="D231">
        <v>2920.395</v>
      </c>
      <c r="E231">
        <v>2648.5657</v>
      </c>
      <c r="F231">
        <v>89.89583</v>
      </c>
      <c r="G231">
        <v>392.1385</v>
      </c>
      <c r="H231">
        <v>-230.7164</v>
      </c>
      <c r="I231">
        <v>66.19169</v>
      </c>
      <c r="J231">
        <v>271.8293</v>
      </c>
      <c r="K231">
        <v>477.4669</v>
      </c>
      <c r="L231">
        <v>774.3749</v>
      </c>
      <c r="M231">
        <v>24</v>
      </c>
      <c r="N231">
        <v>291.9167</v>
      </c>
    </row>
    <row r="232" spans="1:14" ht="12.75">
      <c r="A232" t="s">
        <v>48</v>
      </c>
      <c r="B232" s="80">
        <v>40807</v>
      </c>
      <c r="C232">
        <v>15</v>
      </c>
      <c r="D232">
        <v>2944.401</v>
      </c>
      <c r="E232">
        <v>822.56008</v>
      </c>
      <c r="F232">
        <v>90.29167</v>
      </c>
      <c r="G232">
        <v>391.9568</v>
      </c>
      <c r="H232">
        <v>1619.528</v>
      </c>
      <c r="I232">
        <v>1916.298</v>
      </c>
      <c r="J232">
        <v>2121.841</v>
      </c>
      <c r="K232">
        <v>2327.383</v>
      </c>
      <c r="L232">
        <v>2624.153</v>
      </c>
      <c r="M232">
        <v>24</v>
      </c>
      <c r="N232">
        <v>291.9167</v>
      </c>
    </row>
    <row r="233" spans="1:14" ht="12.75">
      <c r="A233" t="s">
        <v>48</v>
      </c>
      <c r="B233" s="80">
        <v>40807</v>
      </c>
      <c r="C233">
        <v>16</v>
      </c>
      <c r="D233">
        <v>2910.388</v>
      </c>
      <c r="E233">
        <v>316.6908</v>
      </c>
      <c r="F233">
        <v>89.36667</v>
      </c>
      <c r="G233">
        <v>392.7864</v>
      </c>
      <c r="H233">
        <v>2090.322</v>
      </c>
      <c r="I233">
        <v>2387.72</v>
      </c>
      <c r="J233">
        <v>2593.698</v>
      </c>
      <c r="K233">
        <v>2799.675</v>
      </c>
      <c r="L233">
        <v>3097.074</v>
      </c>
      <c r="M233">
        <v>24</v>
      </c>
      <c r="N233">
        <v>291.9167</v>
      </c>
    </row>
    <row r="234" spans="1:14" ht="12.75">
      <c r="A234" t="s">
        <v>48</v>
      </c>
      <c r="B234" s="80">
        <v>40807</v>
      </c>
      <c r="C234">
        <v>17</v>
      </c>
      <c r="D234">
        <v>2930.629</v>
      </c>
      <c r="E234">
        <v>681.37626</v>
      </c>
      <c r="F234">
        <v>87.23333</v>
      </c>
      <c r="G234">
        <v>392.5479</v>
      </c>
      <c r="H234">
        <v>1746.182</v>
      </c>
      <c r="I234">
        <v>2043.4</v>
      </c>
      <c r="J234">
        <v>2249.252</v>
      </c>
      <c r="K234">
        <v>2455.105</v>
      </c>
      <c r="L234">
        <v>2752.323</v>
      </c>
      <c r="M234">
        <v>24</v>
      </c>
      <c r="N234">
        <v>291.9167</v>
      </c>
    </row>
    <row r="235" spans="1:14" ht="12.75">
      <c r="A235" t="s">
        <v>48</v>
      </c>
      <c r="B235" s="80">
        <v>40807</v>
      </c>
      <c r="C235">
        <v>18</v>
      </c>
      <c r="D235">
        <v>2914.251</v>
      </c>
      <c r="E235">
        <v>1568.4432</v>
      </c>
      <c r="F235">
        <v>82.91</v>
      </c>
      <c r="G235">
        <v>391.8656</v>
      </c>
      <c r="H235">
        <v>843.6123</v>
      </c>
      <c r="I235">
        <v>1140.314</v>
      </c>
      <c r="J235">
        <v>1345.808</v>
      </c>
      <c r="K235">
        <v>1551.303</v>
      </c>
      <c r="L235">
        <v>1848.004</v>
      </c>
      <c r="M235">
        <v>24</v>
      </c>
      <c r="N235">
        <v>291.9167</v>
      </c>
    </row>
    <row r="236" spans="1:14" ht="12.75">
      <c r="A236" t="s">
        <v>48</v>
      </c>
      <c r="B236" s="80">
        <v>40807</v>
      </c>
      <c r="C236">
        <v>19</v>
      </c>
      <c r="D236">
        <v>2970.207</v>
      </c>
      <c r="E236">
        <v>1822.2704</v>
      </c>
      <c r="F236">
        <v>77.84125</v>
      </c>
      <c r="G236">
        <v>391.9095</v>
      </c>
      <c r="H236">
        <v>645.6847</v>
      </c>
      <c r="I236">
        <v>942.4194</v>
      </c>
      <c r="J236">
        <v>1147.937</v>
      </c>
      <c r="K236">
        <v>1353.454</v>
      </c>
      <c r="L236">
        <v>1650.189</v>
      </c>
      <c r="M236">
        <v>24</v>
      </c>
      <c r="N236">
        <v>291.9167</v>
      </c>
    </row>
    <row r="237" spans="1:14" ht="12.75">
      <c r="A237" t="s">
        <v>48</v>
      </c>
      <c r="B237" s="80">
        <v>40807</v>
      </c>
      <c r="C237">
        <v>20</v>
      </c>
      <c r="D237">
        <v>3035.111</v>
      </c>
      <c r="E237">
        <v>1935.7457</v>
      </c>
      <c r="F237">
        <v>74.61583</v>
      </c>
      <c r="G237">
        <v>391.978</v>
      </c>
      <c r="H237">
        <v>597.0253</v>
      </c>
      <c r="I237">
        <v>893.8119</v>
      </c>
      <c r="J237">
        <v>1099.365</v>
      </c>
      <c r="K237">
        <v>1304.919</v>
      </c>
      <c r="L237">
        <v>1601.705</v>
      </c>
      <c r="M237">
        <v>24</v>
      </c>
      <c r="N237">
        <v>291.9167</v>
      </c>
    </row>
    <row r="238" spans="1:14" ht="12.75">
      <c r="A238" t="s">
        <v>48</v>
      </c>
      <c r="B238" s="80">
        <v>40807</v>
      </c>
      <c r="C238">
        <v>21</v>
      </c>
      <c r="D238">
        <v>3067.612</v>
      </c>
      <c r="E238">
        <v>2172.9871</v>
      </c>
      <c r="F238">
        <v>72.8175</v>
      </c>
      <c r="G238">
        <v>391.6703</v>
      </c>
      <c r="H238">
        <v>392.6788</v>
      </c>
      <c r="I238">
        <v>689.2324</v>
      </c>
      <c r="J238">
        <v>894.6245</v>
      </c>
      <c r="K238">
        <v>1100.017</v>
      </c>
      <c r="L238">
        <v>1396.57</v>
      </c>
      <c r="M238">
        <v>24</v>
      </c>
      <c r="N238">
        <v>291.9167</v>
      </c>
    </row>
    <row r="239" spans="1:14" ht="12.75">
      <c r="A239" t="s">
        <v>48</v>
      </c>
      <c r="B239" s="80">
        <v>40807</v>
      </c>
      <c r="C239">
        <v>22</v>
      </c>
      <c r="D239">
        <v>3064.598</v>
      </c>
      <c r="E239">
        <v>2327.5749</v>
      </c>
      <c r="F239">
        <v>70.9625</v>
      </c>
      <c r="G239">
        <v>391.6538</v>
      </c>
      <c r="H239">
        <v>235.0982</v>
      </c>
      <c r="I239">
        <v>531.6393</v>
      </c>
      <c r="J239">
        <v>737.0228</v>
      </c>
      <c r="K239">
        <v>942.4063</v>
      </c>
      <c r="L239">
        <v>1238.947</v>
      </c>
      <c r="M239">
        <v>24</v>
      </c>
      <c r="N239">
        <v>291.9167</v>
      </c>
    </row>
    <row r="240" spans="1:14" ht="12.75">
      <c r="A240" t="s">
        <v>48</v>
      </c>
      <c r="B240" s="80">
        <v>40807</v>
      </c>
      <c r="C240">
        <v>23</v>
      </c>
      <c r="D240">
        <v>3048.801</v>
      </c>
      <c r="E240">
        <v>2429.2755</v>
      </c>
      <c r="F240">
        <v>69.57042</v>
      </c>
      <c r="G240">
        <v>391.5177</v>
      </c>
      <c r="H240">
        <v>117.7754</v>
      </c>
      <c r="I240">
        <v>414.2135</v>
      </c>
      <c r="J240">
        <v>619.5255</v>
      </c>
      <c r="K240">
        <v>824.8376</v>
      </c>
      <c r="L240">
        <v>1121.276</v>
      </c>
      <c r="M240">
        <v>24</v>
      </c>
      <c r="N240">
        <v>291.9167</v>
      </c>
    </row>
    <row r="241" spans="1:14" ht="12.75">
      <c r="A241" t="s">
        <v>48</v>
      </c>
      <c r="B241" s="80">
        <v>40807</v>
      </c>
      <c r="C241">
        <v>24</v>
      </c>
      <c r="D241">
        <v>3112.543</v>
      </c>
      <c r="E241">
        <v>2503.0327</v>
      </c>
      <c r="F241">
        <v>68.79167</v>
      </c>
      <c r="G241">
        <v>390.9034</v>
      </c>
      <c r="H241">
        <v>108.5475</v>
      </c>
      <c r="I241">
        <v>404.5204</v>
      </c>
      <c r="J241">
        <v>609.5103</v>
      </c>
      <c r="K241">
        <v>814.5002</v>
      </c>
      <c r="L241">
        <v>1110.473</v>
      </c>
      <c r="M241">
        <v>24</v>
      </c>
      <c r="N241">
        <v>291.9167</v>
      </c>
    </row>
    <row r="242" spans="1:14" ht="12.75">
      <c r="A242" t="s">
        <v>49</v>
      </c>
      <c r="B242" s="80">
        <v>40807</v>
      </c>
      <c r="C242">
        <v>1</v>
      </c>
      <c r="D242">
        <v>1241.231</v>
      </c>
      <c r="E242">
        <v>1155.2329</v>
      </c>
      <c r="F242">
        <v>56.21086</v>
      </c>
      <c r="G242">
        <v>86.48476</v>
      </c>
      <c r="H242">
        <v>-24.83629</v>
      </c>
      <c r="I242">
        <v>40.64573</v>
      </c>
      <c r="J242">
        <v>85.99838</v>
      </c>
      <c r="K242">
        <v>131.351</v>
      </c>
      <c r="L242">
        <v>196.8331</v>
      </c>
      <c r="M242">
        <v>81</v>
      </c>
      <c r="N242">
        <v>112.6296</v>
      </c>
    </row>
    <row r="243" spans="1:14" ht="12.75">
      <c r="A243" t="s">
        <v>49</v>
      </c>
      <c r="B243" s="80">
        <v>40807</v>
      </c>
      <c r="C243">
        <v>2</v>
      </c>
      <c r="D243">
        <v>1229.384</v>
      </c>
      <c r="E243">
        <v>1168.0036</v>
      </c>
      <c r="F243">
        <v>56.32827</v>
      </c>
      <c r="G243">
        <v>86.73943</v>
      </c>
      <c r="H243">
        <v>-49.78085</v>
      </c>
      <c r="I243">
        <v>15.894</v>
      </c>
      <c r="J243">
        <v>61.3802</v>
      </c>
      <c r="K243">
        <v>106.8664</v>
      </c>
      <c r="L243">
        <v>172.5412</v>
      </c>
      <c r="M243">
        <v>81</v>
      </c>
      <c r="N243">
        <v>112.6296</v>
      </c>
    </row>
    <row r="244" spans="1:14" ht="12.75">
      <c r="A244" t="s">
        <v>49</v>
      </c>
      <c r="B244" s="80">
        <v>40807</v>
      </c>
      <c r="C244">
        <v>3</v>
      </c>
      <c r="D244">
        <v>1215.304</v>
      </c>
      <c r="E244">
        <v>1143.8641</v>
      </c>
      <c r="F244">
        <v>55.68358</v>
      </c>
      <c r="G244">
        <v>86.8616</v>
      </c>
      <c r="H244">
        <v>-39.87737</v>
      </c>
      <c r="I244">
        <v>25.88998</v>
      </c>
      <c r="J244">
        <v>71.44025</v>
      </c>
      <c r="K244">
        <v>116.9905</v>
      </c>
      <c r="L244">
        <v>182.7579</v>
      </c>
      <c r="M244">
        <v>81</v>
      </c>
      <c r="N244">
        <v>112.6296</v>
      </c>
    </row>
    <row r="245" spans="1:14" ht="12.75">
      <c r="A245" t="s">
        <v>49</v>
      </c>
      <c r="B245" s="80">
        <v>40807</v>
      </c>
      <c r="C245">
        <v>4</v>
      </c>
      <c r="D245">
        <v>1198.903</v>
      </c>
      <c r="E245">
        <v>1139.43</v>
      </c>
      <c r="F245">
        <v>54.55309</v>
      </c>
      <c r="G245">
        <v>86.92615</v>
      </c>
      <c r="H245">
        <v>-51.9269</v>
      </c>
      <c r="I245">
        <v>13.88933</v>
      </c>
      <c r="J245">
        <v>59.47345</v>
      </c>
      <c r="K245">
        <v>105.0576</v>
      </c>
      <c r="L245">
        <v>170.8738</v>
      </c>
      <c r="M245">
        <v>81</v>
      </c>
      <c r="N245">
        <v>112.6296</v>
      </c>
    </row>
    <row r="246" spans="1:14" ht="12.75">
      <c r="A246" t="s">
        <v>49</v>
      </c>
      <c r="B246" s="80">
        <v>40807</v>
      </c>
      <c r="C246">
        <v>5</v>
      </c>
      <c r="D246">
        <v>1186.925</v>
      </c>
      <c r="E246">
        <v>1109.587</v>
      </c>
      <c r="F246">
        <v>54.6863</v>
      </c>
      <c r="G246">
        <v>87.07314</v>
      </c>
      <c r="H246">
        <v>-34.25034</v>
      </c>
      <c r="I246">
        <v>31.67718</v>
      </c>
      <c r="J246">
        <v>77.33837</v>
      </c>
      <c r="K246">
        <v>122.9996</v>
      </c>
      <c r="L246">
        <v>188.9271</v>
      </c>
      <c r="M246">
        <v>81</v>
      </c>
      <c r="N246">
        <v>112.6296</v>
      </c>
    </row>
    <row r="247" spans="1:14" ht="12.75">
      <c r="A247" t="s">
        <v>49</v>
      </c>
      <c r="B247" s="80">
        <v>40807</v>
      </c>
      <c r="C247">
        <v>6</v>
      </c>
      <c r="D247">
        <v>1199.156</v>
      </c>
      <c r="E247">
        <v>1154.0734</v>
      </c>
      <c r="F247">
        <v>54.24864</v>
      </c>
      <c r="G247">
        <v>86.58232</v>
      </c>
      <c r="H247">
        <v>-65.87691</v>
      </c>
      <c r="I247">
        <v>-0.3210131</v>
      </c>
      <c r="J247">
        <v>45.0828</v>
      </c>
      <c r="K247">
        <v>90.48661</v>
      </c>
      <c r="L247">
        <v>156.0425</v>
      </c>
      <c r="M247">
        <v>81</v>
      </c>
      <c r="N247">
        <v>112.6296</v>
      </c>
    </row>
    <row r="248" spans="1:14" ht="12.75">
      <c r="A248" t="s">
        <v>49</v>
      </c>
      <c r="B248" s="80">
        <v>40807</v>
      </c>
      <c r="C248">
        <v>7</v>
      </c>
      <c r="D248">
        <v>1271.163</v>
      </c>
      <c r="E248">
        <v>1261.7268</v>
      </c>
      <c r="F248">
        <v>53.79136</v>
      </c>
      <c r="G248">
        <v>86.89125</v>
      </c>
      <c r="H248">
        <v>-101.919</v>
      </c>
      <c r="I248">
        <v>-36.12915</v>
      </c>
      <c r="J248">
        <v>9.436664</v>
      </c>
      <c r="K248">
        <v>55.00248</v>
      </c>
      <c r="L248">
        <v>120.7923</v>
      </c>
      <c r="M248">
        <v>81</v>
      </c>
      <c r="N248">
        <v>112.6296</v>
      </c>
    </row>
    <row r="249" spans="1:14" ht="12.75">
      <c r="A249" t="s">
        <v>49</v>
      </c>
      <c r="B249" s="80">
        <v>40807</v>
      </c>
      <c r="C249">
        <v>8</v>
      </c>
      <c r="D249">
        <v>1301.2</v>
      </c>
      <c r="E249">
        <v>1291.6722</v>
      </c>
      <c r="F249">
        <v>57.87</v>
      </c>
      <c r="G249">
        <v>86.85445</v>
      </c>
      <c r="H249">
        <v>-101.7805</v>
      </c>
      <c r="I249">
        <v>-36.01853</v>
      </c>
      <c r="J249">
        <v>9.52799</v>
      </c>
      <c r="K249">
        <v>55.0745</v>
      </c>
      <c r="L249">
        <v>120.8364</v>
      </c>
      <c r="M249">
        <v>81</v>
      </c>
      <c r="N249">
        <v>112.6296</v>
      </c>
    </row>
    <row r="250" spans="1:14" ht="12.75">
      <c r="A250" t="s">
        <v>49</v>
      </c>
      <c r="B250" s="80">
        <v>40807</v>
      </c>
      <c r="C250">
        <v>9</v>
      </c>
      <c r="D250">
        <v>1346.836</v>
      </c>
      <c r="E250">
        <v>1323.9065</v>
      </c>
      <c r="F250">
        <v>62.92951</v>
      </c>
      <c r="G250">
        <v>86.80717</v>
      </c>
      <c r="H250">
        <v>-88.31808</v>
      </c>
      <c r="I250">
        <v>-22.59194</v>
      </c>
      <c r="J250">
        <v>22.92979</v>
      </c>
      <c r="K250">
        <v>68.45152</v>
      </c>
      <c r="L250">
        <v>134.1777</v>
      </c>
      <c r="M250">
        <v>81</v>
      </c>
      <c r="N250">
        <v>112.6296</v>
      </c>
    </row>
    <row r="251" spans="1:14" ht="12.75">
      <c r="A251" t="s">
        <v>49</v>
      </c>
      <c r="B251" s="80">
        <v>40807</v>
      </c>
      <c r="C251">
        <v>10</v>
      </c>
      <c r="D251">
        <v>1384.794</v>
      </c>
      <c r="E251">
        <v>1390.0213</v>
      </c>
      <c r="F251">
        <v>68.8279</v>
      </c>
      <c r="G251">
        <v>86.38255</v>
      </c>
      <c r="H251">
        <v>-115.9311</v>
      </c>
      <c r="I251">
        <v>-50.52643</v>
      </c>
      <c r="J251">
        <v>-5.227376</v>
      </c>
      <c r="K251">
        <v>40.07167</v>
      </c>
      <c r="L251">
        <v>105.4763</v>
      </c>
      <c r="M251">
        <v>81</v>
      </c>
      <c r="N251">
        <v>112.6296</v>
      </c>
    </row>
    <row r="252" spans="1:14" ht="12.75">
      <c r="A252" t="s">
        <v>49</v>
      </c>
      <c r="B252" s="80">
        <v>40807</v>
      </c>
      <c r="C252">
        <v>11</v>
      </c>
      <c r="D252">
        <v>1401.473</v>
      </c>
      <c r="E252">
        <v>1412.9021</v>
      </c>
      <c r="F252">
        <v>72.08889</v>
      </c>
      <c r="G252">
        <v>86.10335</v>
      </c>
      <c r="H252">
        <v>-121.7747</v>
      </c>
      <c r="I252">
        <v>-56.58144</v>
      </c>
      <c r="J252">
        <v>-11.4288</v>
      </c>
      <c r="K252">
        <v>33.72384</v>
      </c>
      <c r="L252">
        <v>98.91708</v>
      </c>
      <c r="M252">
        <v>81</v>
      </c>
      <c r="N252">
        <v>112.6296</v>
      </c>
    </row>
    <row r="253" spans="1:14" ht="12.75">
      <c r="A253" t="s">
        <v>49</v>
      </c>
      <c r="B253" s="80">
        <v>40807</v>
      </c>
      <c r="C253">
        <v>12</v>
      </c>
      <c r="D253">
        <v>1395.196</v>
      </c>
      <c r="E253">
        <v>1362.6245</v>
      </c>
      <c r="F253">
        <v>72.96605</v>
      </c>
      <c r="G253">
        <v>85.85514</v>
      </c>
      <c r="H253">
        <v>-77.45628</v>
      </c>
      <c r="I253">
        <v>-12.45098</v>
      </c>
      <c r="J253">
        <v>32.5715</v>
      </c>
      <c r="K253">
        <v>77.59399</v>
      </c>
      <c r="L253">
        <v>142.5993</v>
      </c>
      <c r="M253">
        <v>81</v>
      </c>
      <c r="N253">
        <v>112.6296</v>
      </c>
    </row>
    <row r="254" spans="1:14" ht="12.75">
      <c r="A254" t="s">
        <v>49</v>
      </c>
      <c r="B254" s="80">
        <v>40807</v>
      </c>
      <c r="C254">
        <v>13</v>
      </c>
      <c r="D254">
        <v>1393.144</v>
      </c>
      <c r="E254">
        <v>1384.7161</v>
      </c>
      <c r="F254">
        <v>73.33383</v>
      </c>
      <c r="G254">
        <v>85.66859</v>
      </c>
      <c r="H254">
        <v>-101.361</v>
      </c>
      <c r="I254">
        <v>-36.49699</v>
      </c>
      <c r="J254">
        <v>8.427662</v>
      </c>
      <c r="K254">
        <v>53.35231</v>
      </c>
      <c r="L254">
        <v>118.2164</v>
      </c>
      <c r="M254">
        <v>81</v>
      </c>
      <c r="N254">
        <v>112.6296</v>
      </c>
    </row>
    <row r="255" spans="1:14" ht="12.75">
      <c r="A255" t="s">
        <v>49</v>
      </c>
      <c r="B255" s="80">
        <v>40807</v>
      </c>
      <c r="C255">
        <v>14</v>
      </c>
      <c r="D255">
        <v>1420.057</v>
      </c>
      <c r="E255">
        <v>1331.2813</v>
      </c>
      <c r="F255">
        <v>74.3679</v>
      </c>
      <c r="G255">
        <v>85.61272</v>
      </c>
      <c r="H255">
        <v>-20.94192</v>
      </c>
      <c r="I255">
        <v>43.87984</v>
      </c>
      <c r="J255">
        <v>88.77519</v>
      </c>
      <c r="K255">
        <v>133.6705</v>
      </c>
      <c r="L255">
        <v>198.4923</v>
      </c>
      <c r="M255">
        <v>81</v>
      </c>
      <c r="N255">
        <v>112.6296</v>
      </c>
    </row>
    <row r="256" spans="1:14" ht="12.75">
      <c r="A256" t="s">
        <v>49</v>
      </c>
      <c r="B256" s="80">
        <v>40807</v>
      </c>
      <c r="C256">
        <v>15</v>
      </c>
      <c r="D256">
        <v>1415.499</v>
      </c>
      <c r="E256">
        <v>465.13547</v>
      </c>
      <c r="F256">
        <v>74.19741</v>
      </c>
      <c r="G256">
        <v>85.88997</v>
      </c>
      <c r="H256">
        <v>840.2908</v>
      </c>
      <c r="I256">
        <v>905.3224</v>
      </c>
      <c r="J256">
        <v>950.3632</v>
      </c>
      <c r="K256">
        <v>995.4039</v>
      </c>
      <c r="L256">
        <v>1060.436</v>
      </c>
      <c r="M256">
        <v>81</v>
      </c>
      <c r="N256">
        <v>112.6296</v>
      </c>
    </row>
    <row r="257" spans="1:14" ht="12.75">
      <c r="A257" t="s">
        <v>49</v>
      </c>
      <c r="B257" s="80">
        <v>40807</v>
      </c>
      <c r="C257">
        <v>16</v>
      </c>
      <c r="D257">
        <v>1400.759</v>
      </c>
      <c r="E257">
        <v>223.48884</v>
      </c>
      <c r="F257">
        <v>72.85432</v>
      </c>
      <c r="G257">
        <v>86.17469</v>
      </c>
      <c r="H257">
        <v>1066.833</v>
      </c>
      <c r="I257">
        <v>1132.08</v>
      </c>
      <c r="J257">
        <v>1177.27</v>
      </c>
      <c r="K257">
        <v>1222.46</v>
      </c>
      <c r="L257">
        <v>1287.707</v>
      </c>
      <c r="M257">
        <v>81</v>
      </c>
      <c r="N257">
        <v>112.6296</v>
      </c>
    </row>
    <row r="258" spans="1:14" ht="12.75">
      <c r="A258" t="s">
        <v>49</v>
      </c>
      <c r="B258" s="80">
        <v>40807</v>
      </c>
      <c r="C258">
        <v>17</v>
      </c>
      <c r="D258">
        <v>1373.588</v>
      </c>
      <c r="E258">
        <v>648.22902</v>
      </c>
      <c r="F258">
        <v>70.71914</v>
      </c>
      <c r="G258">
        <v>86.302</v>
      </c>
      <c r="H258">
        <v>614.7581</v>
      </c>
      <c r="I258">
        <v>680.1017</v>
      </c>
      <c r="J258">
        <v>725.3585</v>
      </c>
      <c r="K258">
        <v>770.6153</v>
      </c>
      <c r="L258">
        <v>835.959</v>
      </c>
      <c r="M258">
        <v>81</v>
      </c>
      <c r="N258">
        <v>112.6296</v>
      </c>
    </row>
    <row r="259" spans="1:14" ht="12.75">
      <c r="A259" t="s">
        <v>49</v>
      </c>
      <c r="B259" s="80">
        <v>40807</v>
      </c>
      <c r="C259">
        <v>18</v>
      </c>
      <c r="D259">
        <v>1336.612</v>
      </c>
      <c r="E259">
        <v>924.02776</v>
      </c>
      <c r="F259">
        <v>68.22519</v>
      </c>
      <c r="G259">
        <v>86.36497</v>
      </c>
      <c r="H259">
        <v>301.9033</v>
      </c>
      <c r="I259">
        <v>367.2946</v>
      </c>
      <c r="J259">
        <v>412.5844</v>
      </c>
      <c r="K259">
        <v>457.8743</v>
      </c>
      <c r="L259">
        <v>523.2656</v>
      </c>
      <c r="M259">
        <v>81</v>
      </c>
      <c r="N259">
        <v>112.6296</v>
      </c>
    </row>
    <row r="260" spans="1:14" ht="12.75">
      <c r="A260" t="s">
        <v>49</v>
      </c>
      <c r="B260" s="80">
        <v>40807</v>
      </c>
      <c r="C260">
        <v>19</v>
      </c>
      <c r="D260">
        <v>1330.855</v>
      </c>
      <c r="E260">
        <v>973.92332</v>
      </c>
      <c r="F260">
        <v>65.65111</v>
      </c>
      <c r="G260">
        <v>86.93775</v>
      </c>
      <c r="H260">
        <v>245.5162</v>
      </c>
      <c r="I260">
        <v>311.3412</v>
      </c>
      <c r="J260">
        <v>356.9314</v>
      </c>
      <c r="K260">
        <v>402.5216</v>
      </c>
      <c r="L260">
        <v>468.3466</v>
      </c>
      <c r="M260">
        <v>81</v>
      </c>
      <c r="N260">
        <v>112.6296</v>
      </c>
    </row>
    <row r="261" spans="1:14" ht="12.75">
      <c r="A261" t="s">
        <v>49</v>
      </c>
      <c r="B261" s="80">
        <v>40807</v>
      </c>
      <c r="C261">
        <v>20</v>
      </c>
      <c r="D261">
        <v>1315.874</v>
      </c>
      <c r="E261">
        <v>1018.2438</v>
      </c>
      <c r="F261">
        <v>64.08901</v>
      </c>
      <c r="G261">
        <v>86.69992</v>
      </c>
      <c r="H261">
        <v>186.5195</v>
      </c>
      <c r="I261">
        <v>252.1645</v>
      </c>
      <c r="J261">
        <v>297.63</v>
      </c>
      <c r="K261">
        <v>343.0955</v>
      </c>
      <c r="L261">
        <v>408.7404</v>
      </c>
      <c r="M261">
        <v>81</v>
      </c>
      <c r="N261">
        <v>112.6296</v>
      </c>
    </row>
    <row r="262" spans="1:14" ht="12.75">
      <c r="A262" t="s">
        <v>49</v>
      </c>
      <c r="B262" s="80">
        <v>40807</v>
      </c>
      <c r="C262">
        <v>21</v>
      </c>
      <c r="D262">
        <v>1308.403</v>
      </c>
      <c r="E262">
        <v>1027.3493</v>
      </c>
      <c r="F262">
        <v>62.62259</v>
      </c>
      <c r="G262">
        <v>86.72482</v>
      </c>
      <c r="H262">
        <v>169.9118</v>
      </c>
      <c r="I262">
        <v>235.5756</v>
      </c>
      <c r="J262">
        <v>281.0542</v>
      </c>
      <c r="K262">
        <v>326.5327</v>
      </c>
      <c r="L262">
        <v>392.1965</v>
      </c>
      <c r="M262">
        <v>81</v>
      </c>
      <c r="N262">
        <v>112.6296</v>
      </c>
    </row>
    <row r="263" spans="1:14" ht="12.75">
      <c r="A263" t="s">
        <v>49</v>
      </c>
      <c r="B263" s="80">
        <v>40807</v>
      </c>
      <c r="C263">
        <v>22</v>
      </c>
      <c r="D263">
        <v>1292.195</v>
      </c>
      <c r="E263">
        <v>1062.6826</v>
      </c>
      <c r="F263">
        <v>61.33988</v>
      </c>
      <c r="G263">
        <v>86.82188</v>
      </c>
      <c r="H263">
        <v>118.2454</v>
      </c>
      <c r="I263">
        <v>183.9827</v>
      </c>
      <c r="J263">
        <v>229.5121</v>
      </c>
      <c r="K263">
        <v>275.0416</v>
      </c>
      <c r="L263">
        <v>340.7788</v>
      </c>
      <c r="M263">
        <v>81</v>
      </c>
      <c r="N263">
        <v>112.6296</v>
      </c>
    </row>
    <row r="264" spans="1:14" ht="12.75">
      <c r="A264" t="s">
        <v>49</v>
      </c>
      <c r="B264" s="80">
        <v>40807</v>
      </c>
      <c r="C264">
        <v>23</v>
      </c>
      <c r="D264">
        <v>1263.554</v>
      </c>
      <c r="E264">
        <v>1113.2747</v>
      </c>
      <c r="F264">
        <v>59.66173</v>
      </c>
      <c r="G264">
        <v>86.91396</v>
      </c>
      <c r="H264">
        <v>38.89431</v>
      </c>
      <c r="I264">
        <v>104.7013</v>
      </c>
      <c r="J264">
        <v>150.279</v>
      </c>
      <c r="K264">
        <v>195.8568</v>
      </c>
      <c r="L264">
        <v>261.6638</v>
      </c>
      <c r="M264">
        <v>81</v>
      </c>
      <c r="N264">
        <v>112.6296</v>
      </c>
    </row>
    <row r="265" spans="1:14" ht="12.75">
      <c r="A265" t="s">
        <v>49</v>
      </c>
      <c r="B265" s="80">
        <v>40807</v>
      </c>
      <c r="C265">
        <v>24</v>
      </c>
      <c r="D265">
        <v>1252.035</v>
      </c>
      <c r="E265">
        <v>1164.1075</v>
      </c>
      <c r="F265">
        <v>58.74963</v>
      </c>
      <c r="G265">
        <v>86.85709</v>
      </c>
      <c r="H265">
        <v>-23.38433</v>
      </c>
      <c r="I265">
        <v>42.3796</v>
      </c>
      <c r="J265">
        <v>87.92751</v>
      </c>
      <c r="K265">
        <v>133.4754</v>
      </c>
      <c r="L265">
        <v>199.2393</v>
      </c>
      <c r="M265">
        <v>81</v>
      </c>
      <c r="N265">
        <v>112.6296</v>
      </c>
    </row>
    <row r="266" ht="12.75">
      <c r="B266" s="80"/>
    </row>
    <row r="267" ht="12.75">
      <c r="B267" s="80"/>
    </row>
    <row r="268" ht="12.75">
      <c r="B268" s="80"/>
    </row>
    <row r="269" ht="12.75">
      <c r="B269" s="80"/>
    </row>
    <row r="270" ht="12.75">
      <c r="B270" s="80"/>
    </row>
    <row r="271" ht="12.75">
      <c r="B271" s="80"/>
    </row>
    <row r="272" ht="12.75">
      <c r="B272" s="80"/>
    </row>
    <row r="273" ht="12.75">
      <c r="B273" s="80"/>
    </row>
    <row r="274" ht="12.75">
      <c r="B274" s="80"/>
    </row>
    <row r="275" ht="12.75">
      <c r="B275" s="80"/>
    </row>
    <row r="276" ht="12.75">
      <c r="B276" s="80"/>
    </row>
    <row r="277" ht="12.75">
      <c r="B277" s="80"/>
    </row>
    <row r="278" ht="12.75">
      <c r="B278" s="80"/>
    </row>
    <row r="279" ht="12.75">
      <c r="B279" s="80"/>
    </row>
    <row r="280" ht="12.75">
      <c r="B280" s="80"/>
    </row>
    <row r="281" ht="12.75">
      <c r="B281" s="80"/>
    </row>
    <row r="282" ht="12.75">
      <c r="B282" s="80"/>
    </row>
    <row r="283" ht="12.75">
      <c r="B283" s="80"/>
    </row>
    <row r="284" ht="12.75">
      <c r="B284" s="80"/>
    </row>
    <row r="285" ht="12.75">
      <c r="B285" s="80"/>
    </row>
    <row r="286" ht="12.75">
      <c r="B286" s="80"/>
    </row>
    <row r="287" ht="12.75">
      <c r="B287" s="80"/>
    </row>
    <row r="288" ht="12.75">
      <c r="B288" s="80"/>
    </row>
    <row r="289" ht="12.75">
      <c r="B289" s="80"/>
    </row>
    <row r="290" ht="12.75">
      <c r="B290" s="80"/>
    </row>
    <row r="291" ht="12.75">
      <c r="B291" s="80"/>
    </row>
    <row r="292" ht="12.75">
      <c r="B292" s="80"/>
    </row>
    <row r="293" ht="12.75">
      <c r="B293" s="80"/>
    </row>
    <row r="294" ht="12.75">
      <c r="B294" s="80"/>
    </row>
    <row r="295" ht="12.75">
      <c r="B295" s="80"/>
    </row>
    <row r="296" ht="12.75">
      <c r="B296" s="80"/>
    </row>
    <row r="297" ht="12.75">
      <c r="B297" s="80"/>
    </row>
    <row r="298" ht="12.75">
      <c r="B298" s="80"/>
    </row>
    <row r="299" ht="12.75">
      <c r="B299" s="80"/>
    </row>
    <row r="300" ht="12.75">
      <c r="B300" s="80"/>
    </row>
    <row r="301" ht="12.75">
      <c r="B301" s="80"/>
    </row>
    <row r="302" ht="12.75">
      <c r="B302" s="80"/>
    </row>
    <row r="303" ht="12.75">
      <c r="B303" s="80"/>
    </row>
    <row r="304" ht="12.75">
      <c r="B304" s="80"/>
    </row>
    <row r="305" ht="12.75">
      <c r="B305" s="80"/>
    </row>
    <row r="306" ht="12.75">
      <c r="B306" s="80"/>
    </row>
    <row r="307" ht="12.75">
      <c r="B307" s="80"/>
    </row>
    <row r="308" ht="12.75">
      <c r="B308" s="80"/>
    </row>
    <row r="309" ht="12.75">
      <c r="B309" s="80"/>
    </row>
    <row r="310" ht="12.75">
      <c r="B310" s="80"/>
    </row>
    <row r="311" ht="12.75">
      <c r="B311" s="80"/>
    </row>
    <row r="312" ht="12.75">
      <c r="B312" s="80"/>
    </row>
    <row r="313" ht="12.75">
      <c r="B313" s="80"/>
    </row>
    <row r="314" ht="12.75">
      <c r="B314" s="80"/>
    </row>
    <row r="315" ht="12.75">
      <c r="B315" s="80"/>
    </row>
    <row r="316" ht="12.75">
      <c r="B316" s="80"/>
    </row>
    <row r="317" ht="12.75">
      <c r="B317" s="80"/>
    </row>
    <row r="318" ht="12.75">
      <c r="B318" s="80"/>
    </row>
    <row r="319" ht="12.75">
      <c r="B319" s="80"/>
    </row>
    <row r="320" ht="12.75">
      <c r="B320" s="80"/>
    </row>
    <row r="321" ht="12.75">
      <c r="B321" s="80"/>
    </row>
    <row r="322" ht="12.75">
      <c r="B322" s="80"/>
    </row>
    <row r="323" ht="12.75">
      <c r="B323" s="80"/>
    </row>
    <row r="324" ht="12.75">
      <c r="B324" s="80"/>
    </row>
    <row r="325" ht="12.75">
      <c r="B325" s="80"/>
    </row>
    <row r="326" ht="12.75">
      <c r="B326" s="80"/>
    </row>
    <row r="327" ht="12.75">
      <c r="B327" s="80"/>
    </row>
    <row r="328" ht="12.75">
      <c r="B328" s="80"/>
    </row>
    <row r="329" ht="12.75">
      <c r="B329" s="80"/>
    </row>
    <row r="330" ht="12.75">
      <c r="B330" s="80"/>
    </row>
    <row r="331" ht="12.75">
      <c r="B331" s="80"/>
    </row>
    <row r="332" ht="12.75">
      <c r="B332" s="80"/>
    </row>
    <row r="333" ht="12.75">
      <c r="B333" s="80"/>
    </row>
    <row r="334" ht="12.75">
      <c r="B334" s="80"/>
    </row>
    <row r="335" ht="12.75">
      <c r="B335" s="80"/>
    </row>
    <row r="336" ht="12.75">
      <c r="B336" s="80"/>
    </row>
    <row r="337" ht="12.75">
      <c r="B337" s="80"/>
    </row>
    <row r="338" ht="12.75">
      <c r="B338" s="80"/>
    </row>
    <row r="339" ht="12.75">
      <c r="B339" s="80"/>
    </row>
    <row r="340" ht="12.75">
      <c r="B340" s="80"/>
    </row>
    <row r="341" ht="12.75">
      <c r="B341" s="80"/>
    </row>
    <row r="342" ht="12.75">
      <c r="B342" s="80"/>
    </row>
    <row r="343" ht="12.75">
      <c r="B343" s="80"/>
    </row>
    <row r="344" ht="12.75">
      <c r="B344" s="80"/>
    </row>
    <row r="345" ht="12.75">
      <c r="B345" s="80"/>
    </row>
    <row r="346" ht="12.75">
      <c r="B346" s="80"/>
    </row>
    <row r="347" ht="12.75">
      <c r="B347" s="80"/>
    </row>
    <row r="348" ht="12.75">
      <c r="B348" s="80"/>
    </row>
    <row r="349" ht="12.75">
      <c r="B349" s="80"/>
    </row>
    <row r="350" ht="12.75">
      <c r="B350" s="80"/>
    </row>
    <row r="351" ht="12.75">
      <c r="B351" s="80"/>
    </row>
    <row r="352" ht="12.75">
      <c r="B352" s="80"/>
    </row>
    <row r="353" ht="12.75">
      <c r="B353" s="80"/>
    </row>
    <row r="354" ht="12.75">
      <c r="B354" s="80"/>
    </row>
    <row r="355" ht="12.75">
      <c r="B355" s="80"/>
    </row>
    <row r="356" ht="12.75">
      <c r="B356" s="80"/>
    </row>
    <row r="357" ht="12.75">
      <c r="B357" s="80"/>
    </row>
    <row r="358" ht="12.75">
      <c r="B358" s="80"/>
    </row>
    <row r="359" ht="12.75">
      <c r="B359" s="80"/>
    </row>
    <row r="360" ht="12.75">
      <c r="B360" s="80"/>
    </row>
    <row r="361" ht="12.75">
      <c r="B361" s="80"/>
    </row>
    <row r="362" ht="12.75">
      <c r="B362" s="80"/>
    </row>
    <row r="363" ht="12.75">
      <c r="B363" s="80"/>
    </row>
    <row r="364" ht="12.75">
      <c r="B364" s="80"/>
    </row>
    <row r="365" ht="12.75">
      <c r="B365" s="80"/>
    </row>
    <row r="366" ht="12.75">
      <c r="B366" s="80"/>
    </row>
    <row r="367" ht="12.75">
      <c r="B367" s="80"/>
    </row>
    <row r="368" ht="12.75">
      <c r="B368" s="80"/>
    </row>
    <row r="369" ht="12.75">
      <c r="B369" s="80"/>
    </row>
    <row r="370" ht="12.75">
      <c r="B370" s="80"/>
    </row>
    <row r="371" ht="12.75">
      <c r="B371" s="80"/>
    </row>
    <row r="372" ht="12.75">
      <c r="B372" s="80"/>
    </row>
    <row r="373" ht="12.75">
      <c r="B373" s="80"/>
    </row>
    <row r="374" ht="12.75">
      <c r="B374" s="80"/>
    </row>
    <row r="375" ht="12.75">
      <c r="B375" s="80"/>
    </row>
    <row r="376" ht="12.75">
      <c r="B376" s="80"/>
    </row>
    <row r="377" ht="12.75">
      <c r="B377" s="80"/>
    </row>
    <row r="378" ht="12.75">
      <c r="B378" s="80"/>
    </row>
    <row r="379" ht="12.75">
      <c r="B379" s="80"/>
    </row>
    <row r="380" ht="12.75">
      <c r="B380" s="80"/>
    </row>
    <row r="381" ht="12.75">
      <c r="B381" s="80"/>
    </row>
    <row r="382" ht="12.75">
      <c r="B382" s="80"/>
    </row>
    <row r="383" ht="12.75">
      <c r="B383" s="80"/>
    </row>
    <row r="384" ht="12.75">
      <c r="B384" s="80"/>
    </row>
    <row r="385" ht="12.75">
      <c r="B385" s="80"/>
    </row>
    <row r="386" ht="12.75">
      <c r="B386" s="80"/>
    </row>
    <row r="387" ht="12.75">
      <c r="B387" s="80"/>
    </row>
    <row r="388" ht="12.75">
      <c r="B388" s="80"/>
    </row>
    <row r="389" ht="12.75">
      <c r="B389" s="80"/>
    </row>
    <row r="390" ht="12.75">
      <c r="B390" s="80"/>
    </row>
    <row r="391" ht="12.75">
      <c r="B391" s="80"/>
    </row>
    <row r="392" ht="12.75">
      <c r="B392" s="80"/>
    </row>
    <row r="393" ht="12.75">
      <c r="B393" s="80"/>
    </row>
    <row r="394" ht="12.75">
      <c r="B394" s="80"/>
    </row>
    <row r="395" ht="12.75">
      <c r="B395" s="80"/>
    </row>
    <row r="396" ht="12.75">
      <c r="B396" s="80"/>
    </row>
    <row r="397" ht="12.75">
      <c r="B397" s="80"/>
    </row>
    <row r="398" ht="12.75">
      <c r="B398" s="80"/>
    </row>
    <row r="399" ht="12.75">
      <c r="B399" s="80"/>
    </row>
    <row r="400" ht="12.75">
      <c r="B400" s="80"/>
    </row>
    <row r="401" ht="12.75">
      <c r="B401" s="80"/>
    </row>
    <row r="402" ht="12.75">
      <c r="B402" s="80"/>
    </row>
    <row r="403" ht="12.75">
      <c r="B403" s="80"/>
    </row>
    <row r="404" ht="12.75">
      <c r="B404" s="80"/>
    </row>
    <row r="405" ht="12.75">
      <c r="B405" s="80"/>
    </row>
    <row r="406" ht="12.75">
      <c r="B406" s="80"/>
    </row>
    <row r="407" ht="12.75">
      <c r="B407" s="80"/>
    </row>
    <row r="408" ht="12.75">
      <c r="B408" s="80"/>
    </row>
    <row r="409" ht="12.75">
      <c r="B409" s="80"/>
    </row>
    <row r="410" ht="12.75">
      <c r="B410" s="80"/>
    </row>
    <row r="411" ht="12.75">
      <c r="B411" s="80"/>
    </row>
    <row r="412" ht="12.75">
      <c r="B412" s="80"/>
    </row>
    <row r="413" ht="12.75">
      <c r="B413" s="80"/>
    </row>
    <row r="414" ht="12.75">
      <c r="B414" s="80"/>
    </row>
    <row r="415" ht="12.75">
      <c r="B415" s="80"/>
    </row>
    <row r="416" ht="12.75">
      <c r="B416" s="80"/>
    </row>
    <row r="417" ht="12.75">
      <c r="B417" s="80"/>
    </row>
    <row r="418" ht="12.75">
      <c r="B418" s="80"/>
    </row>
    <row r="419" ht="12.75">
      <c r="B419" s="80"/>
    </row>
    <row r="420" ht="12.75">
      <c r="B420" s="80"/>
    </row>
    <row r="421" ht="12.75">
      <c r="B421" s="80"/>
    </row>
    <row r="422" ht="12.75">
      <c r="B422" s="80"/>
    </row>
    <row r="423" ht="12.75">
      <c r="B423" s="80"/>
    </row>
    <row r="424" ht="12.75">
      <c r="B424" s="80"/>
    </row>
    <row r="425" ht="12.75">
      <c r="B425" s="80"/>
    </row>
    <row r="426" ht="12.75">
      <c r="B426" s="80"/>
    </row>
    <row r="427" ht="12.75">
      <c r="B427" s="80"/>
    </row>
    <row r="428" ht="12.75">
      <c r="B428" s="80"/>
    </row>
    <row r="429" ht="12.75">
      <c r="B429" s="80"/>
    </row>
    <row r="430" ht="12.75">
      <c r="B430" s="80"/>
    </row>
    <row r="431" ht="12.75">
      <c r="B431" s="80"/>
    </row>
    <row r="432" ht="12.75">
      <c r="B432" s="80"/>
    </row>
    <row r="433" ht="12.75">
      <c r="B433" s="80"/>
    </row>
    <row r="434" ht="12.75">
      <c r="B434" s="80"/>
    </row>
    <row r="435" ht="12.75">
      <c r="B435" s="80"/>
    </row>
    <row r="436" ht="12.75">
      <c r="B436" s="80"/>
    </row>
    <row r="437" ht="12.75">
      <c r="B437" s="80"/>
    </row>
    <row r="438" ht="12.75">
      <c r="B438" s="80"/>
    </row>
    <row r="439" ht="12.75">
      <c r="B439" s="80"/>
    </row>
    <row r="440" ht="12.75">
      <c r="B440" s="80"/>
    </row>
    <row r="441" ht="12.75">
      <c r="B441" s="80"/>
    </row>
    <row r="442" ht="12.75">
      <c r="B442" s="80"/>
    </row>
    <row r="443" ht="12.75">
      <c r="B443" s="80"/>
    </row>
    <row r="444" ht="12.75">
      <c r="B444" s="80"/>
    </row>
    <row r="445" ht="12.75">
      <c r="B445" s="80"/>
    </row>
    <row r="446" ht="12.75">
      <c r="B446" s="80"/>
    </row>
    <row r="447" ht="12.75">
      <c r="B447" s="80"/>
    </row>
    <row r="448" ht="12.75">
      <c r="B448" s="80"/>
    </row>
    <row r="449" ht="12.75">
      <c r="B449" s="80"/>
    </row>
    <row r="450" ht="12.75">
      <c r="B450" s="80"/>
    </row>
    <row r="451" ht="12.75">
      <c r="B451" s="80"/>
    </row>
    <row r="452" ht="12.75">
      <c r="B452" s="80"/>
    </row>
    <row r="453" ht="12.75">
      <c r="B453" s="80"/>
    </row>
    <row r="454" ht="12.75">
      <c r="B454" s="80"/>
    </row>
    <row r="455" ht="12.75">
      <c r="B455" s="80"/>
    </row>
    <row r="456" ht="12.75">
      <c r="B456" s="80"/>
    </row>
    <row r="457" ht="12.75">
      <c r="B457" s="80"/>
    </row>
    <row r="458" ht="12.75">
      <c r="B458" s="80"/>
    </row>
    <row r="459" ht="12.75">
      <c r="B459" s="80"/>
    </row>
    <row r="460" ht="12.75">
      <c r="B460" s="80"/>
    </row>
    <row r="461" ht="12.75">
      <c r="B461" s="80"/>
    </row>
    <row r="462" ht="12.75">
      <c r="B462" s="80"/>
    </row>
    <row r="463" ht="12.75">
      <c r="B463" s="80"/>
    </row>
    <row r="464" ht="12.75">
      <c r="B464" s="80"/>
    </row>
    <row r="465" ht="12.75">
      <c r="B465" s="80"/>
    </row>
    <row r="466" ht="12.75">
      <c r="B466" s="80"/>
    </row>
    <row r="467" ht="12.75">
      <c r="B467" s="80"/>
    </row>
    <row r="468" ht="12.75">
      <c r="B468" s="80"/>
    </row>
    <row r="469" ht="12.75">
      <c r="B469" s="80"/>
    </row>
    <row r="470" ht="12.75">
      <c r="B470" s="80"/>
    </row>
    <row r="471" ht="12.75">
      <c r="B471" s="80"/>
    </row>
    <row r="472" ht="12.75">
      <c r="B472" s="80"/>
    </row>
    <row r="473" ht="12.75">
      <c r="B473" s="80"/>
    </row>
    <row r="474" ht="12.75">
      <c r="B474" s="80"/>
    </row>
    <row r="475" ht="12.75">
      <c r="B475" s="80"/>
    </row>
    <row r="476" ht="12.75">
      <c r="B476" s="80"/>
    </row>
    <row r="477" ht="12.75">
      <c r="B477" s="80"/>
    </row>
    <row r="478" ht="12.75">
      <c r="B478" s="80"/>
    </row>
    <row r="479" ht="12.75">
      <c r="B479" s="80"/>
    </row>
    <row r="480" ht="12.75">
      <c r="B480" s="80"/>
    </row>
    <row r="481" ht="12.75">
      <c r="B481" s="80"/>
    </row>
    <row r="482" ht="12.75">
      <c r="B482" s="80"/>
    </row>
    <row r="483" ht="12.75">
      <c r="B483" s="80"/>
    </row>
    <row r="484" ht="12.75">
      <c r="B484" s="80"/>
    </row>
    <row r="485" ht="12.75">
      <c r="B485" s="80"/>
    </row>
    <row r="486" ht="12.75">
      <c r="B486" s="80"/>
    </row>
    <row r="487" ht="12.75">
      <c r="B487" s="80"/>
    </row>
    <row r="488" ht="12.75">
      <c r="B488" s="80"/>
    </row>
    <row r="489" ht="12.75">
      <c r="B489" s="80"/>
    </row>
    <row r="490" ht="12.75">
      <c r="B490" s="80"/>
    </row>
    <row r="491" ht="12.75">
      <c r="B491" s="80"/>
    </row>
    <row r="492" ht="12.75">
      <c r="B492" s="80"/>
    </row>
    <row r="493" ht="12.75">
      <c r="B493" s="80"/>
    </row>
    <row r="494" ht="12.75">
      <c r="B494" s="80"/>
    </row>
    <row r="495" ht="12.75">
      <c r="B495" s="80"/>
    </row>
    <row r="496" ht="12.75">
      <c r="B496" s="80"/>
    </row>
    <row r="497" ht="12.75">
      <c r="B497" s="80"/>
    </row>
    <row r="498" ht="12.75">
      <c r="B498" s="80"/>
    </row>
    <row r="499" ht="12.75">
      <c r="B499" s="80"/>
    </row>
    <row r="500" ht="12.75">
      <c r="B500" s="80"/>
    </row>
    <row r="501" ht="12.75">
      <c r="B501" s="80"/>
    </row>
    <row r="502" ht="12.75">
      <c r="B502" s="80"/>
    </row>
    <row r="503" ht="12.75">
      <c r="B503" s="80"/>
    </row>
    <row r="504" ht="12.75">
      <c r="B504" s="80"/>
    </row>
    <row r="505" ht="12.75">
      <c r="B505" s="80"/>
    </row>
    <row r="506" ht="12.75">
      <c r="B506" s="80"/>
    </row>
    <row r="507" ht="12.75">
      <c r="B507" s="80"/>
    </row>
    <row r="508" ht="12.75">
      <c r="B508" s="80"/>
    </row>
    <row r="509" ht="12.75">
      <c r="B509" s="80"/>
    </row>
    <row r="510" ht="12.75">
      <c r="B510" s="80"/>
    </row>
    <row r="511" ht="12.75">
      <c r="B511" s="80"/>
    </row>
    <row r="512" ht="12.75">
      <c r="B512" s="80"/>
    </row>
    <row r="513" ht="12.75">
      <c r="B513" s="80"/>
    </row>
    <row r="514" ht="12.75">
      <c r="B514" s="80"/>
    </row>
    <row r="515" ht="12.75">
      <c r="B515" s="80"/>
    </row>
    <row r="516" ht="12.75">
      <c r="B516" s="80"/>
    </row>
    <row r="517" ht="12.75">
      <c r="B517" s="80"/>
    </row>
    <row r="518" ht="12.75">
      <c r="B518" s="80"/>
    </row>
    <row r="519" ht="12.75">
      <c r="B519" s="80"/>
    </row>
    <row r="520" ht="12.75">
      <c r="B520" s="80"/>
    </row>
    <row r="521" ht="12.75">
      <c r="B521" s="80"/>
    </row>
    <row r="522" ht="12.75">
      <c r="B522" s="80"/>
    </row>
    <row r="523" ht="12.75">
      <c r="B523" s="80"/>
    </row>
    <row r="524" ht="12.75">
      <c r="B524" s="80"/>
    </row>
    <row r="525" ht="12.75">
      <c r="B525" s="80"/>
    </row>
    <row r="526" ht="12.75">
      <c r="B526" s="80"/>
    </row>
    <row r="527" ht="12.75">
      <c r="B527" s="80"/>
    </row>
    <row r="528" ht="12.75">
      <c r="B528" s="80"/>
    </row>
    <row r="529" ht="12.75">
      <c r="B529" s="80"/>
    </row>
    <row r="530" ht="12.75">
      <c r="B530" s="80"/>
    </row>
    <row r="531" ht="12.75">
      <c r="B531" s="80"/>
    </row>
    <row r="532" ht="12.75">
      <c r="B532" s="80"/>
    </row>
    <row r="533" ht="12.75">
      <c r="B533" s="80"/>
    </row>
    <row r="534" ht="12.75">
      <c r="B534" s="80"/>
    </row>
    <row r="535" ht="12.75">
      <c r="B535" s="80"/>
    </row>
    <row r="536" ht="12.75">
      <c r="B536" s="80"/>
    </row>
    <row r="537" ht="12.75">
      <c r="B537" s="80"/>
    </row>
    <row r="538" ht="12.75">
      <c r="B538" s="80"/>
    </row>
    <row r="539" ht="12.75">
      <c r="B539" s="80"/>
    </row>
    <row r="540" ht="12.75">
      <c r="B540" s="80"/>
    </row>
    <row r="541" ht="12.75">
      <c r="B541" s="80"/>
    </row>
    <row r="542" ht="12.75">
      <c r="B542" s="80"/>
    </row>
    <row r="543" ht="12.75">
      <c r="B543" s="80"/>
    </row>
    <row r="544" ht="12.75">
      <c r="B544" s="80"/>
    </row>
    <row r="545" ht="12.75">
      <c r="B545" s="80"/>
    </row>
    <row r="546" ht="12.75">
      <c r="B546" s="80"/>
    </row>
    <row r="547" ht="12.75">
      <c r="B547" s="80"/>
    </row>
    <row r="548" ht="12.75">
      <c r="B548" s="80"/>
    </row>
    <row r="549" ht="12.75">
      <c r="B549" s="80"/>
    </row>
    <row r="550" ht="12.75">
      <c r="B550" s="80"/>
    </row>
    <row r="551" ht="12.75">
      <c r="B551" s="80"/>
    </row>
    <row r="552" ht="12.75">
      <c r="B552" s="80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 Schellenberg</dc:creator>
  <cp:keywords/>
  <dc:description/>
  <cp:lastModifiedBy>FSC</cp:lastModifiedBy>
  <dcterms:created xsi:type="dcterms:W3CDTF">2009-02-12T23:40:36Z</dcterms:created>
  <dcterms:modified xsi:type="dcterms:W3CDTF">2012-01-24T22:33:11Z</dcterms:modified>
  <cp:category/>
  <cp:version/>
  <cp:contentType/>
  <cp:contentStatus/>
</cp:coreProperties>
</file>