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X-PQ/Cycle 6 Annual Filing/SX-PQ Cycle 6 Oct Filing/"/>
    </mc:Choice>
  </mc:AlternateContent>
  <xr:revisionPtr revIDLastSave="2" documentId="8_{E6493E16-A688-4ECE-80A0-DCDA22C55076}" xr6:coauthVersionLast="47" xr6:coauthVersionMax="47" xr10:uidLastSave="{00DBE11A-64F1-4F0F-983A-19C30E2ECFBD}"/>
  <bookViews>
    <workbookView xWindow="-120" yWindow="-120" windowWidth="29040" windowHeight="15840" tabRatio="815" firstSheet="39" activeTab="54" xr2:uid="{00000000-000D-0000-FFFF-FFFF00000000}"/>
  </bookViews>
  <sheets>
    <sheet name="Summary of Cost Components" sheetId="112" r:id="rId1"/>
    <sheet name="A. Sec.1 - Direct Maintenance" sheetId="111" r:id="rId2"/>
    <sheet name="B. Sec.2 - Non-Direct Expenses" sheetId="113" r:id="rId3"/>
    <sheet name="C. Sec.3 - Other Costs" sheetId="114" r:id="rId4"/>
    <sheet name="D. Sec.4 - TU" sheetId="156" r:id="rId5"/>
    <sheet name="D1. Sec.4 - C5 Invoice Summary" sheetId="154" r:id="rId6"/>
    <sheet name="D2. Sec.4 - C4 Invoice Summary" sheetId="169" r:id="rId7"/>
    <sheet name="E. Sec.5 - Interest TU (BP)" sheetId="157" r:id="rId8"/>
    <sheet name="E1. Sec.5 - Interest TU (CY)" sheetId="158" r:id="rId9"/>
    <sheet name="F. Sec.6 - Cost Stmnts" sheetId="160" r:id="rId10"/>
    <sheet name="Stmt AD" sheetId="2" r:id="rId11"/>
    <sheet name="AD-1" sheetId="4" r:id="rId12"/>
    <sheet name="AD-2" sheetId="5" r:id="rId13"/>
    <sheet name="AD-3" sheetId="6" r:id="rId14"/>
    <sheet name="AD-4" sheetId="7" r:id="rId15"/>
    <sheet name="AD-5" sheetId="8" r:id="rId16"/>
    <sheet name="AD-6" sheetId="9" r:id="rId17"/>
    <sheet name="AD-6A" sheetId="168" r:id="rId18"/>
    <sheet name="AD-6B" sheetId="10" r:id="rId19"/>
    <sheet name="AD-6C" sheetId="11" r:id="rId20"/>
    <sheet name="AD-7" sheetId="163" r:id="rId21"/>
    <sheet name="AD-8" sheetId="3" r:id="rId22"/>
    <sheet name="AD-9" sheetId="13" r:id="rId23"/>
    <sheet name="AD-10" sheetId="14" r:id="rId24"/>
    <sheet name="Stmt AE" sheetId="22" r:id="rId25"/>
    <sheet name="AE-1" sheetId="23" r:id="rId26"/>
    <sheet name="AE-1A" sheetId="136" r:id="rId27"/>
    <sheet name="AE-1B" sheetId="24" r:id="rId28"/>
    <sheet name="AE-1C" sheetId="152" r:id="rId29"/>
    <sheet name="AE-2" sheetId="25" r:id="rId30"/>
    <sheet name="AE-3" sheetId="26" r:id="rId31"/>
    <sheet name="AE-4" sheetId="27" r:id="rId32"/>
    <sheet name="Stmt AF" sheetId="34" r:id="rId33"/>
    <sheet name="AF-1" sheetId="165" r:id="rId34"/>
    <sheet name="AF-2" sheetId="167" r:id="rId35"/>
    <sheet name="AF-3" sheetId="135" r:id="rId36"/>
    <sheet name="Stmt AG" sheetId="38" r:id="rId37"/>
    <sheet name="AG-1" sheetId="109" r:id="rId38"/>
    <sheet name="AG-1A" sheetId="159" r:id="rId39"/>
    <sheet name="Stmt AH" sheetId="40" r:id="rId40"/>
    <sheet name="AH-1" sheetId="153" r:id="rId41"/>
    <sheet name="AH-2" sheetId="41" r:id="rId42"/>
    <sheet name="AH-3" sheetId="42" r:id="rId43"/>
    <sheet name="Stmt AI" sheetId="45" r:id="rId44"/>
    <sheet name="AI-1" sheetId="150" r:id="rId45"/>
    <sheet name="Stmt AJ" sheetId="46" r:id="rId46"/>
    <sheet name="AJ-1" sheetId="56" r:id="rId47"/>
    <sheet name="AJ-2" sheetId="59" r:id="rId48"/>
    <sheet name="Stmt AK" sheetId="66" r:id="rId49"/>
    <sheet name="Stmt AL" sheetId="69" r:id="rId50"/>
    <sheet name="AL-1" sheetId="70" r:id="rId51"/>
    <sheet name="AL-2" sheetId="71" r:id="rId52"/>
    <sheet name="Stmt AR" sheetId="75" r:id="rId53"/>
    <sheet name="AR-1" sheetId="161" r:id="rId54"/>
    <sheet name="Stmt AV" sheetId="82" r:id="rId55"/>
    <sheet name="AV-2A" sheetId="84" r:id="rId56"/>
    <sheet name="AV-2B" sheetId="85" r:id="rId57"/>
    <sheet name="AV-4" sheetId="146" r:id="rId58"/>
    <sheet name="Stmt Misc." sheetId="162" r:id="rId59"/>
    <sheet name="Automation" sheetId="151" r:id="rId60"/>
  </sheets>
  <definedNames>
    <definedName name="____May2007" hidden="1">{"2002Frcst","05Month",FALSE,"Frcst Format 2002"}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hidden="1">{"2002Frcst","05Month",FALSE,"Frcst Format 2002"}</definedName>
    <definedName name="__123Graph_A" localSheetId="34" hidden="1">#REF!</definedName>
    <definedName name="__123Graph_A" localSheetId="38" hidden="1">#REF!</definedName>
    <definedName name="__123Graph_A" localSheetId="53" hidden="1">#REF!</definedName>
    <definedName name="__123Graph_A" localSheetId="4" hidden="1">#REF!</definedName>
    <definedName name="__123Graph_A" localSheetId="5" hidden="1">#REF!</definedName>
    <definedName name="__123Graph_A" localSheetId="7" hidden="1">#REF!</definedName>
    <definedName name="__123Graph_A" localSheetId="8" hidden="1">#REF!</definedName>
    <definedName name="__123Graph_A" localSheetId="48" hidden="1">#REF!</definedName>
    <definedName name="__123Graph_A" localSheetId="54" hidden="1">#REF!</definedName>
    <definedName name="__123Graph_A" localSheetId="58" hidden="1">#REF!</definedName>
    <definedName name="__123Graph_A" hidden="1">#REF!</definedName>
    <definedName name="__123Graph_AGraph2" localSheetId="34" hidden="1">#REF!</definedName>
    <definedName name="__123Graph_AGraph2" localSheetId="38" hidden="1">#REF!</definedName>
    <definedName name="__123Graph_AGraph2" localSheetId="53" hidden="1">#REF!</definedName>
    <definedName name="__123Graph_AGraph2" localSheetId="4" hidden="1">#REF!</definedName>
    <definedName name="__123Graph_AGraph2" localSheetId="5" hidden="1">#REF!</definedName>
    <definedName name="__123Graph_AGraph2" localSheetId="58" hidden="1">#REF!</definedName>
    <definedName name="__123Graph_AGraph2" hidden="1">#REF!</definedName>
    <definedName name="__123Graph_AGraph4" localSheetId="34" hidden="1">#REF!</definedName>
    <definedName name="__123Graph_AGraph4" localSheetId="38" hidden="1">#REF!</definedName>
    <definedName name="__123Graph_AGraph4" localSheetId="53" hidden="1">#REF!</definedName>
    <definedName name="__123Graph_AGraph4" localSheetId="4" hidden="1">#REF!</definedName>
    <definedName name="__123Graph_AGraph4" localSheetId="5" hidden="1">#REF!</definedName>
    <definedName name="__123Graph_AGraph4" localSheetId="58" hidden="1">#REF!</definedName>
    <definedName name="__123Graph_AGraph4" hidden="1">#REF!</definedName>
    <definedName name="__123Graph_B" localSheetId="34" hidden="1">#REF!</definedName>
    <definedName name="__123Graph_B" localSheetId="38" hidden="1">#REF!</definedName>
    <definedName name="__123Graph_B" localSheetId="53" hidden="1">#REF!</definedName>
    <definedName name="__123Graph_B" localSheetId="4" hidden="1">#REF!</definedName>
    <definedName name="__123Graph_B" localSheetId="5" hidden="1">#REF!</definedName>
    <definedName name="__123Graph_B" localSheetId="7" hidden="1">#REF!</definedName>
    <definedName name="__123Graph_B" localSheetId="8" hidden="1">#REF!</definedName>
    <definedName name="__123Graph_B" localSheetId="48" hidden="1">#REF!</definedName>
    <definedName name="__123Graph_B" localSheetId="54" hidden="1">#REF!</definedName>
    <definedName name="__123Graph_B" localSheetId="58" hidden="1">#REF!</definedName>
    <definedName name="__123Graph_B" hidden="1">#REF!</definedName>
    <definedName name="__123Graph_C" localSheetId="34" hidden="1">#REF!</definedName>
    <definedName name="__123Graph_C" localSheetId="38" hidden="1">#REF!</definedName>
    <definedName name="__123Graph_C" localSheetId="53" hidden="1">#REF!</definedName>
    <definedName name="__123Graph_C" localSheetId="4" hidden="1">#REF!</definedName>
    <definedName name="__123Graph_C" localSheetId="5" hidden="1">#REF!</definedName>
    <definedName name="__123Graph_C" localSheetId="7" hidden="1">#REF!</definedName>
    <definedName name="__123Graph_C" localSheetId="8" hidden="1">#REF!</definedName>
    <definedName name="__123Graph_C" localSheetId="48" hidden="1">#REF!</definedName>
    <definedName name="__123Graph_C" localSheetId="54" hidden="1">#REF!</definedName>
    <definedName name="__123Graph_C" localSheetId="58" hidden="1">#REF!</definedName>
    <definedName name="__123Graph_C" hidden="1">#REF!</definedName>
    <definedName name="__123Graph_CCHART1" localSheetId="34" hidden="1">#REF!</definedName>
    <definedName name="__123Graph_CCHART1" localSheetId="53" hidden="1">#REF!</definedName>
    <definedName name="__123Graph_CCHART1" localSheetId="5" hidden="1">#REF!</definedName>
    <definedName name="__123Graph_CCHART1" hidden="1">#REF!</definedName>
    <definedName name="__123Graph_CCHART2" localSheetId="34" hidden="1">#REF!</definedName>
    <definedName name="__123Graph_CCHART2" localSheetId="53" hidden="1">#REF!</definedName>
    <definedName name="__123Graph_CCHART2" localSheetId="5" hidden="1">#REF!</definedName>
    <definedName name="__123Graph_CCHART2" hidden="1">#REF!</definedName>
    <definedName name="__123Graph_CCHART3" localSheetId="34" hidden="1">#REF!</definedName>
    <definedName name="__123Graph_CCHART3" localSheetId="53" hidden="1">#REF!</definedName>
    <definedName name="__123Graph_CCHART3" localSheetId="5" hidden="1">#REF!</definedName>
    <definedName name="__123Graph_CCHART3" hidden="1">#REF!</definedName>
    <definedName name="__123Graph_CCHART4" localSheetId="34" hidden="1">#REF!</definedName>
    <definedName name="__123Graph_CCHART4" localSheetId="53" hidden="1">#REF!</definedName>
    <definedName name="__123Graph_CCHART4" localSheetId="5" hidden="1">#REF!</definedName>
    <definedName name="__123Graph_CCHART4" hidden="1">#REF!</definedName>
    <definedName name="__123Graph_CCHART5" localSheetId="34" hidden="1">#REF!</definedName>
    <definedName name="__123Graph_CCHART5" localSheetId="53" hidden="1">#REF!</definedName>
    <definedName name="__123Graph_CCHART5" localSheetId="5" hidden="1">#REF!</definedName>
    <definedName name="__123Graph_CCHART5" hidden="1">#REF!</definedName>
    <definedName name="__123Graph_D" localSheetId="34" hidden="1">#REF!</definedName>
    <definedName name="__123Graph_D" localSheetId="38" hidden="1">#REF!</definedName>
    <definedName name="__123Graph_D" localSheetId="53" hidden="1">#REF!</definedName>
    <definedName name="__123Graph_D" localSheetId="4" hidden="1">#REF!</definedName>
    <definedName name="__123Graph_D" localSheetId="5" hidden="1">#REF!</definedName>
    <definedName name="__123Graph_D" localSheetId="7" hidden="1">#REF!</definedName>
    <definedName name="__123Graph_D" localSheetId="8" hidden="1">#REF!</definedName>
    <definedName name="__123Graph_D" localSheetId="48" hidden="1">#REF!</definedName>
    <definedName name="__123Graph_D" localSheetId="54" hidden="1">#REF!</definedName>
    <definedName name="__123Graph_D" localSheetId="58" hidden="1">#REF!</definedName>
    <definedName name="__123Graph_D" hidden="1">#REF!</definedName>
    <definedName name="__123Graph_DCHART1" localSheetId="34" hidden="1">#REF!</definedName>
    <definedName name="__123Graph_DCHART1" localSheetId="53" hidden="1">#REF!</definedName>
    <definedName name="__123Graph_DCHART1" localSheetId="5" hidden="1">#REF!</definedName>
    <definedName name="__123Graph_DCHART1" hidden="1">#REF!</definedName>
    <definedName name="__123Graph_DCHART2" localSheetId="34" hidden="1">#REF!</definedName>
    <definedName name="__123Graph_DCHART2" localSheetId="53" hidden="1">#REF!</definedName>
    <definedName name="__123Graph_DCHART2" localSheetId="5" hidden="1">#REF!</definedName>
    <definedName name="__123Graph_DCHART2" hidden="1">#REF!</definedName>
    <definedName name="__123Graph_DCHART3" localSheetId="34" hidden="1">#REF!</definedName>
    <definedName name="__123Graph_DCHART3" localSheetId="53" hidden="1">#REF!</definedName>
    <definedName name="__123Graph_DCHART3" localSheetId="5" hidden="1">#REF!</definedName>
    <definedName name="__123Graph_DCHART3" hidden="1">#REF!</definedName>
    <definedName name="__123Graph_DCHART4" localSheetId="34" hidden="1">#REF!</definedName>
    <definedName name="__123Graph_DCHART4" localSheetId="53" hidden="1">#REF!</definedName>
    <definedName name="__123Graph_DCHART4" localSheetId="5" hidden="1">#REF!</definedName>
    <definedName name="__123Graph_DCHART4" hidden="1">#REF!</definedName>
    <definedName name="__123Graph_DCHART5" localSheetId="34" hidden="1">#REF!</definedName>
    <definedName name="__123Graph_DCHART5" localSheetId="53" hidden="1">#REF!</definedName>
    <definedName name="__123Graph_DCHART5" localSheetId="5" hidden="1">#REF!</definedName>
    <definedName name="__123Graph_DCHART5" hidden="1">#REF!</definedName>
    <definedName name="__123Graph_E" localSheetId="34" hidden="1">#REF!</definedName>
    <definedName name="__123Graph_E" localSheetId="38" hidden="1">#REF!</definedName>
    <definedName name="__123Graph_E" localSheetId="53" hidden="1">#REF!</definedName>
    <definedName name="__123Graph_E" localSheetId="4" hidden="1">#REF!</definedName>
    <definedName name="__123Graph_E" localSheetId="5" hidden="1">#REF!</definedName>
    <definedName name="__123Graph_E" localSheetId="7" hidden="1">#REF!</definedName>
    <definedName name="__123Graph_E" localSheetId="8" hidden="1">#REF!</definedName>
    <definedName name="__123Graph_E" localSheetId="48" hidden="1">#REF!</definedName>
    <definedName name="__123Graph_E" localSheetId="54" hidden="1">#REF!</definedName>
    <definedName name="__123Graph_E" localSheetId="58" hidden="1">#REF!</definedName>
    <definedName name="__123Graph_E" hidden="1">#REF!</definedName>
    <definedName name="__123Graph_F" hidden="1">#REF!</definedName>
    <definedName name="__123Graph_FCHART4" localSheetId="34" hidden="1">#REF!</definedName>
    <definedName name="__123Graph_FCHART4" localSheetId="53" hidden="1">#REF!</definedName>
    <definedName name="__123Graph_FCHART4" localSheetId="5" hidden="1">#REF!</definedName>
    <definedName name="__123Graph_FCHART4" hidden="1">#REF!</definedName>
    <definedName name="__123Graph_FCHART5" localSheetId="34" hidden="1">#REF!</definedName>
    <definedName name="__123Graph_FCHART5" localSheetId="53" hidden="1">#REF!</definedName>
    <definedName name="__123Graph_FCHART5" localSheetId="5" hidden="1">#REF!</definedName>
    <definedName name="__123Graph_FCHART5" hidden="1">#REF!</definedName>
    <definedName name="__123Graph_X" localSheetId="34" hidden="1">#REF!</definedName>
    <definedName name="__123Graph_X" localSheetId="38" hidden="1">#REF!</definedName>
    <definedName name="__123Graph_X" localSheetId="53" hidden="1">#REF!</definedName>
    <definedName name="__123Graph_X" localSheetId="4" hidden="1">#REF!</definedName>
    <definedName name="__123Graph_X" localSheetId="5" hidden="1">#REF!</definedName>
    <definedName name="__123Graph_X" localSheetId="7" hidden="1">#REF!</definedName>
    <definedName name="__123Graph_X" localSheetId="8" hidden="1">#REF!</definedName>
    <definedName name="__123Graph_X" localSheetId="48" hidden="1">#REF!</definedName>
    <definedName name="__123Graph_X" localSheetId="54" hidden="1">#REF!</definedName>
    <definedName name="__123Graph_X" localSheetId="58" hidden="1">#REF!</definedName>
    <definedName name="__123Graph_X" hidden="1">#REF!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FDS_HYPERLINK_TOGGLE_STATE__" hidden="1">"ON"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hidden="1">{"2002Frcst","05Month",FALSE,"Frcst Format 2002"}</definedName>
    <definedName name="_123Graph_CHART3" localSheetId="17" hidden="1">#REF!</definedName>
    <definedName name="_123Graph_CHART3" localSheetId="34" hidden="1">#REF!</definedName>
    <definedName name="_123Graph_CHART3" localSheetId="38" hidden="1">#REF!</definedName>
    <definedName name="_123Graph_CHART3" localSheetId="53" hidden="1">#REF!</definedName>
    <definedName name="_123Graph_CHART3" localSheetId="4" hidden="1">#REF!</definedName>
    <definedName name="_123Graph_CHART3" localSheetId="5" hidden="1">#REF!</definedName>
    <definedName name="_123Graph_CHART3" localSheetId="58" hidden="1">#REF!</definedName>
    <definedName name="_123Graph_CHART3" hidden="1">#REF!</definedName>
    <definedName name="_123Graph_E" localSheetId="17" hidden="1">#REF!</definedName>
    <definedName name="_123Graph_E" localSheetId="20" hidden="1">#REF!</definedName>
    <definedName name="_123Graph_E" localSheetId="34" hidden="1">#REF!</definedName>
    <definedName name="_123Graph_E" localSheetId="53" hidden="1">#REF!</definedName>
    <definedName name="_123Graph_E" localSheetId="4" hidden="1">#REF!</definedName>
    <definedName name="_123Graph_E" localSheetId="7" hidden="1">#REF!</definedName>
    <definedName name="_123Graph_E" localSheetId="8" hidden="1">#REF!</definedName>
    <definedName name="_123Graph_E" localSheetId="58" hidden="1">#REF!</definedName>
    <definedName name="_123Graph_E" hidden="1">#REF!</definedName>
    <definedName name="_AMO_SingleObject_157336487_ROM_F0.SEC2.Print_1.SEC1.SEC1.BDY.REV_MO_201601_Data_Set_WORK_BILLDET1" localSheetId="17" hidden="1">#REF!</definedName>
    <definedName name="_AMO_SingleObject_157336487_ROM_F0.SEC2.Print_1.SEC1.SEC1.BDY.REV_MO_201601_Data_Set_WORK_BILLDET1" localSheetId="34" hidden="1">#REF!</definedName>
    <definedName name="_AMO_SingleObject_157336487_ROM_F0.SEC2.Print_1.SEC1.SEC1.BDY.REV_MO_201601_Data_Set_WORK_BILLDET1" localSheetId="53" hidden="1">#REF!</definedName>
    <definedName name="_AMO_SingleObject_157336487_ROM_F0.SEC2.Print_1.SEC1.SEC1.BDY.REV_MO_201601_Data_Set_WORK_BILLDET1" localSheetId="4" hidden="1">#REF!</definedName>
    <definedName name="_AMO_SingleObject_157336487_ROM_F0.SEC2.Print_1.SEC1.SEC1.BDY.REV_MO_201601_Data_Set_WORK_BILLDET1" localSheetId="7" hidden="1">#REF!</definedName>
    <definedName name="_AMO_SingleObject_157336487_ROM_F0.SEC2.Print_1.SEC1.SEC1.BDY.REV_MO_201601_Data_Set_WORK_BILLDET1" localSheetId="8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localSheetId="17" hidden="1">#REF!</definedName>
    <definedName name="_AMO_SingleObject_157336487_ROM_F0.SEC2.Print_1.SEC1.SEC1.HDR.REV_MO_201601" localSheetId="34" hidden="1">#REF!</definedName>
    <definedName name="_AMO_SingleObject_157336487_ROM_F0.SEC2.Print_1.SEC1.SEC1.HDR.REV_MO_201601" localSheetId="53" hidden="1">#REF!</definedName>
    <definedName name="_AMO_SingleObject_157336487_ROM_F0.SEC2.Print_1.SEC1.SEC1.HDR.REV_MO_201601" localSheetId="4" hidden="1">#REF!</definedName>
    <definedName name="_AMO_SingleObject_157336487_ROM_F0.SEC2.Print_1.SEC1.SEC1.HDR.REV_MO_201601" localSheetId="7" hidden="1">#REF!</definedName>
    <definedName name="_AMO_SingleObject_157336487_ROM_F0.SEC2.Print_1.SEC1.SEC1.HDR.REV_MO_201601" localSheetId="8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localSheetId="17" hidden="1">#REF!</definedName>
    <definedName name="_AMO_SingleObject_157336487_ROM_F0.SEC2.Print_1.SEC1.SEC2.BDY.REV_MO_201602_Data_Set_WORK_BILLDET1" localSheetId="34" hidden="1">#REF!</definedName>
    <definedName name="_AMO_SingleObject_157336487_ROM_F0.SEC2.Print_1.SEC1.SEC2.BDY.REV_MO_201602_Data_Set_WORK_BILLDET1" localSheetId="53" hidden="1">#REF!</definedName>
    <definedName name="_AMO_SingleObject_157336487_ROM_F0.SEC2.Print_1.SEC1.SEC2.BDY.REV_MO_201602_Data_Set_WORK_BILLDET1" localSheetId="4" hidden="1">#REF!</definedName>
    <definedName name="_AMO_SingleObject_157336487_ROM_F0.SEC2.Print_1.SEC1.SEC2.BDY.REV_MO_201602_Data_Set_WORK_BILLDET1" localSheetId="7" hidden="1">#REF!</definedName>
    <definedName name="_AMO_SingleObject_157336487_ROM_F0.SEC2.Print_1.SEC1.SEC2.BDY.REV_MO_201602_Data_Set_WORK_BILLDET1" localSheetId="8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localSheetId="17" hidden="1">#REF!</definedName>
    <definedName name="_AMO_SingleObject_157336487_ROM_F0.SEC2.Print_1.SEC1.SEC2.HDR.REV_MO_201602" localSheetId="34" hidden="1">#REF!</definedName>
    <definedName name="_AMO_SingleObject_157336487_ROM_F0.SEC2.Print_1.SEC1.SEC2.HDR.REV_MO_201602" localSheetId="53" hidden="1">#REF!</definedName>
    <definedName name="_AMO_SingleObject_157336487_ROM_F0.SEC2.Print_1.SEC1.SEC2.HDR.REV_MO_201602" localSheetId="4" hidden="1">#REF!</definedName>
    <definedName name="_AMO_SingleObject_157336487_ROM_F0.SEC2.Print_1.SEC1.SEC2.HDR.REV_MO_201602" localSheetId="7" hidden="1">#REF!</definedName>
    <definedName name="_AMO_SingleObject_157336487_ROM_F0.SEC2.Print_1.SEC1.SEC2.HDR.REV_MO_201602" localSheetId="8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localSheetId="17" hidden="1">#REF!</definedName>
    <definedName name="_AMO_SingleObject_157336487_ROM_F0.SEC2.Print_1.SEC1.SEC3.BDY.REV_MO_201603_Data_Set_WORK_BILLDET1" localSheetId="34" hidden="1">#REF!</definedName>
    <definedName name="_AMO_SingleObject_157336487_ROM_F0.SEC2.Print_1.SEC1.SEC3.BDY.REV_MO_201603_Data_Set_WORK_BILLDET1" localSheetId="53" hidden="1">#REF!</definedName>
    <definedName name="_AMO_SingleObject_157336487_ROM_F0.SEC2.Print_1.SEC1.SEC3.BDY.REV_MO_201603_Data_Set_WORK_BILLDET1" localSheetId="4" hidden="1">#REF!</definedName>
    <definedName name="_AMO_SingleObject_157336487_ROM_F0.SEC2.Print_1.SEC1.SEC3.BDY.REV_MO_201603_Data_Set_WORK_BILLDET1" localSheetId="7" hidden="1">#REF!</definedName>
    <definedName name="_AMO_SingleObject_157336487_ROM_F0.SEC2.Print_1.SEC1.SEC3.BDY.REV_MO_201603_Data_Set_WORK_BILLDET1" localSheetId="8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localSheetId="17" hidden="1">#REF!</definedName>
    <definedName name="_AMO_SingleObject_157336487_ROM_F0.SEC2.Print_1.SEC1.SEC3.HDR.REV_MO_201603" localSheetId="34" hidden="1">#REF!</definedName>
    <definedName name="_AMO_SingleObject_157336487_ROM_F0.SEC2.Print_1.SEC1.SEC3.HDR.REV_MO_201603" localSheetId="53" hidden="1">#REF!</definedName>
    <definedName name="_AMO_SingleObject_157336487_ROM_F0.SEC2.Print_1.SEC1.SEC3.HDR.REV_MO_201603" localSheetId="4" hidden="1">#REF!</definedName>
    <definedName name="_AMO_SingleObject_157336487_ROM_F0.SEC2.Print_1.SEC1.SEC3.HDR.REV_MO_201603" localSheetId="7" hidden="1">#REF!</definedName>
    <definedName name="_AMO_SingleObject_157336487_ROM_F0.SEC2.Print_1.SEC1.SEC3.HDR.REV_MO_201603" localSheetId="8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localSheetId="17" hidden="1">#REF!</definedName>
    <definedName name="_AMO_SingleObject_157336487_ROM_F0.SEC2.Print_1.SEC1.SEC4.BDY.REV_MO_999999_Data_Set_WORK_BILLDET1" localSheetId="34" hidden="1">#REF!</definedName>
    <definedName name="_AMO_SingleObject_157336487_ROM_F0.SEC2.Print_1.SEC1.SEC4.BDY.REV_MO_999999_Data_Set_WORK_BILLDET1" localSheetId="53" hidden="1">#REF!</definedName>
    <definedName name="_AMO_SingleObject_157336487_ROM_F0.SEC2.Print_1.SEC1.SEC4.BDY.REV_MO_999999_Data_Set_WORK_BILLDET1" localSheetId="4" hidden="1">#REF!</definedName>
    <definedName name="_AMO_SingleObject_157336487_ROM_F0.SEC2.Print_1.SEC1.SEC4.BDY.REV_MO_999999_Data_Set_WORK_BILLDET1" localSheetId="7" hidden="1">#REF!</definedName>
    <definedName name="_AMO_SingleObject_157336487_ROM_F0.SEC2.Print_1.SEC1.SEC4.BDY.REV_MO_999999_Data_Set_WORK_BILLDET1" localSheetId="8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localSheetId="17" hidden="1">#REF!</definedName>
    <definedName name="_AMO_SingleObject_157336487_ROM_F0.SEC2.Print_1.SEC1.SEC4.HDR.REV_MO_999999" localSheetId="34" hidden="1">#REF!</definedName>
    <definedName name="_AMO_SingleObject_157336487_ROM_F0.SEC2.Print_1.SEC1.SEC4.HDR.REV_MO_999999" localSheetId="53" hidden="1">#REF!</definedName>
    <definedName name="_AMO_SingleObject_157336487_ROM_F0.SEC2.Print_1.SEC1.SEC4.HDR.REV_MO_999999" localSheetId="4" hidden="1">#REF!</definedName>
    <definedName name="_AMO_SingleObject_157336487_ROM_F0.SEC2.Print_1.SEC1.SEC4.HDR.REV_MO_999999" localSheetId="7" hidden="1">#REF!</definedName>
    <definedName name="_AMO_SingleObject_157336487_ROM_F0.SEC2.Print_1.SEC1.SEC4.HDR.REV_MO_999999" localSheetId="8" hidden="1">#REF!</definedName>
    <definedName name="_AMO_SingleObject_157336487_ROM_F0.SEC2.Print_1.SEC1.SEC4.HDR.REV_MO_999999" hidden="1">#REF!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Fill" localSheetId="17" hidden="1">#REF!</definedName>
    <definedName name="_Fill" localSheetId="34" hidden="1">#REF!</definedName>
    <definedName name="_Fill" localSheetId="38" hidden="1">#REF!</definedName>
    <definedName name="_Fill" localSheetId="53" hidden="1">#REF!</definedName>
    <definedName name="_Fill" localSheetId="4" hidden="1">#REF!</definedName>
    <definedName name="_Fill" localSheetId="5" hidden="1">#REF!</definedName>
    <definedName name="_Fill" localSheetId="7" hidden="1">#REF!</definedName>
    <definedName name="_Fill" localSheetId="8" hidden="1">#REF!</definedName>
    <definedName name="_Fill" localSheetId="48" hidden="1">#REF!</definedName>
    <definedName name="_Fill" localSheetId="52" hidden="1">#REF!</definedName>
    <definedName name="_Fill" localSheetId="54" hidden="1">#REF!</definedName>
    <definedName name="_Fill" localSheetId="58" hidden="1">#REF!</definedName>
    <definedName name="_Fill" hidden="1">#REF!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localSheetId="34" hidden="1">#REF!</definedName>
    <definedName name="_Key1" localSheetId="38" hidden="1">#REF!</definedName>
    <definedName name="_Key1" localSheetId="53" hidden="1">#REF!</definedName>
    <definedName name="_Key1" localSheetId="4" hidden="1">#REF!</definedName>
    <definedName name="_Key1" localSheetId="5" hidden="1">#REF!</definedName>
    <definedName name="_Key1" localSheetId="43" hidden="1">#REF!</definedName>
    <definedName name="_Key1" localSheetId="48" hidden="1">#REF!</definedName>
    <definedName name="_Key1" localSheetId="52" hidden="1">#REF!</definedName>
    <definedName name="_Key1" localSheetId="54" hidden="1">#REF!</definedName>
    <definedName name="_Key1" localSheetId="58" hidden="1">#REF!</definedName>
    <definedName name="_Key1" hidden="1">#REF!</definedName>
    <definedName name="_Key2" localSheetId="34" hidden="1">#REF!</definedName>
    <definedName name="_Key2" localSheetId="38" hidden="1">#REF!</definedName>
    <definedName name="_Key2" localSheetId="53" hidden="1">#REF!</definedName>
    <definedName name="_Key2" localSheetId="4" hidden="1">#REF!</definedName>
    <definedName name="_Key2" localSheetId="5" hidden="1">#REF!</definedName>
    <definedName name="_Key2" localSheetId="43" hidden="1">#REF!</definedName>
    <definedName name="_Key2" localSheetId="48" hidden="1">#REF!</definedName>
    <definedName name="_Key2" localSheetId="52" hidden="1">#REF!</definedName>
    <definedName name="_Key2" localSheetId="54" hidden="1">#REF!</definedName>
    <definedName name="_Key2" localSheetId="58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hidden="1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localSheetId="34" hidden="1">#REF!</definedName>
    <definedName name="_Sort" localSheetId="38" hidden="1">#REF!</definedName>
    <definedName name="_Sort" localSheetId="53" hidden="1">#REF!</definedName>
    <definedName name="_Sort" localSheetId="4" hidden="1">#REF!</definedName>
    <definedName name="_Sort" localSheetId="5" hidden="1">#REF!</definedName>
    <definedName name="_Sort" localSheetId="43" hidden="1">#REF!</definedName>
    <definedName name="_Sort" localSheetId="48" hidden="1">#REF!</definedName>
    <definedName name="_Sort" localSheetId="52" hidden="1">#REF!</definedName>
    <definedName name="_Sort" localSheetId="54" hidden="1">#REF!</definedName>
    <definedName name="_Sort" localSheetId="58" hidden="1">#REF!</definedName>
    <definedName name="_Sort" hidden="1">#REF!</definedName>
    <definedName name="_Table1_In1" hidden="1">#REF!</definedName>
    <definedName name="_Table1_Out" hidden="1">#REF!</definedName>
    <definedName name="_Table2_Out" hidden="1">#REF!</definedName>
    <definedName name="_w2" hidden="1">{"SourcesUses",#N/A,TRUE,"CFMODEL";"TransOverview",#N/A,TRUE,"CFMODEL"}</definedName>
    <definedName name="a" localSheetId="17" hidden="1">{#N/A,#N/A,TRUE,"SDGE";#N/A,#N/A,TRUE,"GBU";#N/A,#N/A,TRUE,"TBU";#N/A,#N/A,TRUE,"EDBU";#N/A,#N/A,TRUE,"ExclCC"}</definedName>
    <definedName name="a" localSheetId="20" hidden="1">{#N/A,#N/A,TRUE,"SDGE";#N/A,#N/A,TRUE,"GBU";#N/A,#N/A,TRUE,"TBU";#N/A,#N/A,TRUE,"EDBU";#N/A,#N/A,TRUE,"ExclCC"}</definedName>
    <definedName name="a" localSheetId="37" hidden="1">{#N/A,#N/A,TRUE,"SDGE";#N/A,#N/A,TRUE,"GBU";#N/A,#N/A,TRUE,"TBU";#N/A,#N/A,TRUE,"EDBU";#N/A,#N/A,TRUE,"ExclCC"}</definedName>
    <definedName name="a" localSheetId="38" hidden="1">{#N/A,#N/A,TRUE,"SDGE";#N/A,#N/A,TRUE,"GBU";#N/A,#N/A,TRUE,"TBU";#N/A,#N/A,TRUE,"EDBU";#N/A,#N/A,TRUE,"ExclCC"}</definedName>
    <definedName name="a" localSheetId="42" hidden="1">{#N/A,#N/A,TRUE,"SDGE";#N/A,#N/A,TRUE,"GBU";#N/A,#N/A,TRUE,"TBU";#N/A,#N/A,TRUE,"EDBU";#N/A,#N/A,TRUE,"ExclCC"}</definedName>
    <definedName name="a" localSheetId="53" hidden="1">{#N/A,#N/A,TRUE,"SDGE";#N/A,#N/A,TRUE,"GBU";#N/A,#N/A,TRUE,"TBU";#N/A,#N/A,TRUE,"EDBU";#N/A,#N/A,TRUE,"ExclCC"}</definedName>
    <definedName name="a" localSheetId="4" hidden="1">{#N/A,#N/A,TRUE,"SDGE";#N/A,#N/A,TRUE,"GBU";#N/A,#N/A,TRUE,"TBU";#N/A,#N/A,TRUE,"EDBU";#N/A,#N/A,TRUE,"ExclCC"}</definedName>
    <definedName name="a" localSheetId="58" hidden="1">{#N/A,#N/A,TRUE,"SDGE";#N/A,#N/A,TRUE,"GBU";#N/A,#N/A,TRUE,"TBU";#N/A,#N/A,TRUE,"EDBU";#N/A,#N/A,TRUE,"ExclCC"}</definedName>
    <definedName name="a" hidden="1">{#N/A,#N/A,TRUE,"SDGE";#N/A,#N/A,TRUE,"GBU";#N/A,#N/A,TRUE,"TBU";#N/A,#N/A,TRUE,"EDBU";#N/A,#N/A,TRUE,"ExclCC"}</definedName>
    <definedName name="aaa" hidden="1">{"Income Statement",#N/A,FALSE,"CFMODEL";"Balance Sheet",#N/A,FALSE,"CFMODEL"}</definedName>
    <definedName name="aaaaa" hidden="1">{#N/A,#N/A,TRUE,"SDGE";#N/A,#N/A,TRUE,"GBU";#N/A,#N/A,TRUE,"TBU";#N/A,#N/A,TRUE,"EDBU";#N/A,#N/A,TRUE,"ExclCC"}</definedName>
    <definedName name="aaaaaaaaaaaaa" hidden="1">{"SourcesUses",#N/A,TRUE,"CFMODEL";"TransOverview",#N/A,TRUE,"CFMODEL"}</definedName>
    <definedName name="abc" hidden="1">"3Q12KMQDU0T4XKGIPPUR4OEMV"</definedName>
    <definedName name="ad" hidden="1">{"var_page",#N/A,FALSE,"template"}</definedName>
    <definedName name="adafdadf" hidden="1">{"Var_page",#N/A,FALSE,"template"}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localSheetId="17" hidden="1">#REF!</definedName>
    <definedName name="AG" localSheetId="20" hidden="1">#REF!</definedName>
    <definedName name="AG" localSheetId="34" hidden="1">#REF!</definedName>
    <definedName name="AG" localSheetId="38" hidden="1">#REF!</definedName>
    <definedName name="AG" localSheetId="53" hidden="1">#REF!</definedName>
    <definedName name="AG" localSheetId="4" hidden="1">#REF!</definedName>
    <definedName name="AG" localSheetId="5" hidden="1">#REF!</definedName>
    <definedName name="AG" localSheetId="58" hidden="1">#REF!</definedName>
    <definedName name="AG" hidden="1">#REF!</definedName>
    <definedName name="anscount" hidden="1">2</definedName>
    <definedName name="ARange24" hidden="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" localSheetId="17" hidden="1">{#N/A,#N/A,TRUE,"SDGE";#N/A,#N/A,TRUE,"GBU";#N/A,#N/A,TRUE,"TBU";#N/A,#N/A,TRUE,"EDBU";#N/A,#N/A,TRUE,"ExclCC"}</definedName>
    <definedName name="b" localSheetId="20" hidden="1">{#N/A,#N/A,TRUE,"SDGE";#N/A,#N/A,TRUE,"GBU";#N/A,#N/A,TRUE,"TBU";#N/A,#N/A,TRUE,"EDBU";#N/A,#N/A,TRUE,"ExclCC"}</definedName>
    <definedName name="b" localSheetId="37" hidden="1">{#N/A,#N/A,TRUE,"SDGE";#N/A,#N/A,TRUE,"GBU";#N/A,#N/A,TRUE,"TBU";#N/A,#N/A,TRUE,"EDBU";#N/A,#N/A,TRUE,"ExclCC"}</definedName>
    <definedName name="b" localSheetId="38" hidden="1">{#N/A,#N/A,TRUE,"SDGE";#N/A,#N/A,TRUE,"GBU";#N/A,#N/A,TRUE,"TBU";#N/A,#N/A,TRUE,"EDBU";#N/A,#N/A,TRUE,"ExclCC"}</definedName>
    <definedName name="b" localSheetId="42" hidden="1">{#N/A,#N/A,TRUE,"SDGE";#N/A,#N/A,TRUE,"GBU";#N/A,#N/A,TRUE,"TBU";#N/A,#N/A,TRUE,"EDBU";#N/A,#N/A,TRUE,"ExclCC"}</definedName>
    <definedName name="b" localSheetId="53" hidden="1">{#N/A,#N/A,TRUE,"SDGE";#N/A,#N/A,TRUE,"GBU";#N/A,#N/A,TRUE,"TBU";#N/A,#N/A,TRUE,"EDBU";#N/A,#N/A,TRUE,"ExclCC"}</definedName>
    <definedName name="b" localSheetId="4" hidden="1">{#N/A,#N/A,TRUE,"SDGE";#N/A,#N/A,TRUE,"GBU";#N/A,#N/A,TRUE,"TBU";#N/A,#N/A,TRUE,"EDBU";#N/A,#N/A,TRUE,"ExclCC"}</definedName>
    <definedName name="b" localSheetId="58" hidden="1">{#N/A,#N/A,TRUE,"SDGE";#N/A,#N/A,TRUE,"GBU";#N/A,#N/A,TRUE,"TBU";#N/A,#N/A,TRUE,"EDBU";#N/A,#N/A,TRUE,"ExclCC"}</definedName>
    <definedName name="b" hidden="1">{#N/A,#N/A,TRUE,"SDGE";#N/A,#N/A,TRUE,"GBU";#N/A,#N/A,TRUE,"TBU";#N/A,#N/A,TRUE,"EDBU";#N/A,#N/A,TRUE,"ExclCC"}</definedName>
    <definedName name="BEx00GHMXV67V1IG4T3LJKINJOCE" hidden="1">Addn #REF!</definedName>
    <definedName name="BEx00NZ7E5MCKBWJU6YPJ0CIZGM1" hidden="1">#REF!</definedName>
    <definedName name="BEx00RKU39JBM7SUSNPNGYECEJZV" hidden="1">Addn #REF!</definedName>
    <definedName name="BEx00VMF6OHXZLZWCWECCE3SHOY6" hidden="1">Functional #REF!</definedName>
    <definedName name="BEx018IE720H8Z2DTAJU85MF1MQT" hidden="1">Addn #REF!</definedName>
    <definedName name="BEx018NP0S5GEJKB3HT0W5HEFFUW" hidden="1">Functional #REF!</definedName>
    <definedName name="BEx01A5MM0X3EW0B595MY7WRLW01" hidden="1">Addn #REF!</definedName>
    <definedName name="BEx01D087DSHBK4MOGCV0J1A9O5C" hidden="1">SEU Func #REF!</definedName>
    <definedName name="BEx01F3QM3HEPCWWJJEX0L0RVWAN" hidden="1">#REF!</definedName>
    <definedName name="BEx01KCHKZJCF91ETSRPIFWQQAC1" hidden="1">Addn #REF!</definedName>
    <definedName name="BEx028MGCR0BV1OQZV038K5A4KR7" hidden="1">Addn #REF!</definedName>
    <definedName name="BEx02JEVS5Y9ANXL35AI60XC861X" hidden="1">Addn #REF!</definedName>
    <definedName name="BEx04128O1W72UO1QC7UCPNNZG9Z" hidden="1">Financial &amp; Non-#REF!</definedName>
    <definedName name="BEx1EQLVKGR0YQ630F75LKBMUD9Q" hidden="1">#REF!</definedName>
    <definedName name="BEx1FMDJGHELQUASX5HFL9J4RE3D" hidden="1">SEU Func #REF!</definedName>
    <definedName name="BEx1FN9XD8476NWAOIPFIQFAP91R" hidden="1">Addn #REF!</definedName>
    <definedName name="BEx1G128RXM0XJFJS75YTQJP1Q9R" hidden="1">SEU Func #REF!</definedName>
    <definedName name="BEx1G9AW6BYCF2WYM1TVBBM7QSC9" hidden="1">#REF!</definedName>
    <definedName name="BEx1GFG4TPKIQWVZUC3BRZ33360O" hidden="1">#REF!</definedName>
    <definedName name="BEx1GH8V32T74W3SDLZNWIEFOJMB" hidden="1">SEU Func Area by #REF!</definedName>
    <definedName name="BEx1GJSHRDLE9CKAZP6VYGNF8WAG" hidden="1">SEU Func Area by #REF!</definedName>
    <definedName name="BEx1GP6Q18Y44JCRA9DPKE7V7882" hidden="1">SEU Func #REF!</definedName>
    <definedName name="BEx1GV6HL426WS23WUK9S7XW7FX9" hidden="1">Addn #REF!</definedName>
    <definedName name="BEx1GY13FUWX193W8IDTUD617BUN" hidden="1">Functional #REF!</definedName>
    <definedName name="BEx1HQCNLA2KXL1D5E998O0G20TZ" hidden="1">SEU Driver #REF!</definedName>
    <definedName name="BEx1HT78JLDAMJRZ3P9PTYM0U8XS" hidden="1">SCG Func #REF!</definedName>
    <definedName name="BEx1ID9XWI0EXHZYLQIL8D0C0WH5" hidden="1">Addn #REF!</definedName>
    <definedName name="BEx1IK0TJV8J9XYO8DS8X7JYCB14" hidden="1">SEU Func #REF!</definedName>
    <definedName name="BEx1J0T1LZ9TBG36H8UB1M80V9AK" hidden="1">Functional #REF!</definedName>
    <definedName name="BEx1J4916QYSR8WPX1XHGOWA103Q" hidden="1">SEU Func Comm by #REF!</definedName>
    <definedName name="BEx1JF6S184IMMIL22WMI24WC7HD" hidden="1">Addn #REF!</definedName>
    <definedName name="BEx1JGDY5NT12UZS6711YPIP9E4I" hidden="1">#REF!</definedName>
    <definedName name="BEx1JPJ3GNL4JBOQ0VTJ2F27GORL" hidden="1">[0]!SDGE Func #REF!</definedName>
    <definedName name="BEx1L5DJE8K7R3Y5C1GBMPG80XDP" hidden="1">Addn #REF!</definedName>
    <definedName name="BEx1L7RW4E4AHIWD20SD8XXF8XY4" hidden="1">SEU Driver #REF!</definedName>
    <definedName name="BEx1LKYMFDZHFZ6EQ50UC0ZEGJGN" hidden="1">Addn #REF!</definedName>
    <definedName name="BEx1LSGD5W6G03IPF1V0A8O9XNWR" hidden="1">Functional #REF!</definedName>
    <definedName name="BEx1LVWJKI98V71VUT7OAJ5CAMKN" hidden="1">Addn #REF!</definedName>
    <definedName name="BEx1MHBUVWYO0XOUSCOV752SUYZE" hidden="1">Financial &amp; Non-#REF!</definedName>
    <definedName name="BEx1NAJS89E9Y0NV0RM3KUU5CB5R" hidden="1">Addn #REF!</definedName>
    <definedName name="BEx1NQKYIAPPIOD2SMZ7820ZNOSF" hidden="1">Addn #REF!</definedName>
    <definedName name="BEx1NVOE7GJ6WKW7I9CREZ2GP8TD" hidden="1">Addn #REF!</definedName>
    <definedName name="BEx1O54CDEKZNW8NQYXSU5O9H2LF" hidden="1">[0]!SDGE Func #REF!</definedName>
    <definedName name="BEx1OTUFQX114IUT3GN0TVYSYB5M" hidden="1">Addn #REF!</definedName>
    <definedName name="BEx1P3FODKMSYNP46H6VG2XDKGC7" hidden="1">Financial &amp; Non-#REF!</definedName>
    <definedName name="BEx1Q0EIX8A33V3LFNH493ILI0HX" hidden="1">Addn #REF!</definedName>
    <definedName name="BEx1Q0JTU5M0YHKGIG4H1DP3QQOY" hidden="1">SEU Func #REF!</definedName>
    <definedName name="BEx1R3TB96C84UAF24S3ITS3JH5R" hidden="1">SCG Func #REF!</definedName>
    <definedName name="BEx1R49EW58CQXI9JK7BKROC7KN1" hidden="1">Addn #REF!</definedName>
    <definedName name="BEx1RGJR2PVQ3D3SA5X6L9QPM7F4" hidden="1">Functional #REF!</definedName>
    <definedName name="BEx1RME8LVJIKMHRI4PHSH9V2CVY" hidden="1">Addn #REF!</definedName>
    <definedName name="BEx1ROXUWY4JF43R22YGQV8VS0G7" hidden="1">Addn #REF!</definedName>
    <definedName name="BEx1S29YABN753A629BX6PXBFA96" hidden="1">Addn #REF!</definedName>
    <definedName name="BEx1S5Q3TCX96WTELY74HA2ASVJT" hidden="1">#REF!</definedName>
    <definedName name="BEx1SDTFFOGLBUZL27LL4A0YI943" hidden="1">Addn #REF!</definedName>
    <definedName name="BEx1SIWTLD5J30EPTJW7XO561SJG" hidden="1">#REF!</definedName>
    <definedName name="BEx1SMCVHCJUCMC4FVFM78N6H72U" hidden="1">SEU Func #REF!</definedName>
    <definedName name="BEx1STULMAWD0NEAREILM64OPY00" hidden="1">Addn #REF!</definedName>
    <definedName name="BEx1SUWGDLGRUWXJTM1C7TJGIJR8" hidden="1">Addn #REF!</definedName>
    <definedName name="BEx1T3QNED4G45NO2INJRTKAD45T" hidden="1">Functional #REF!</definedName>
    <definedName name="BEx1T8U2JOKCUEEX4YLT03SKWQ6G" hidden="1">[0]!SDGE Func #REF!</definedName>
    <definedName name="BEx1TETUI9OXKL0Z7E9VQDC08FJG" hidden="1">Addn #REF!</definedName>
    <definedName name="BEx1UIJDWIKALV3EM8BJYPLENFMV" hidden="1">Addn #REF!</definedName>
    <definedName name="BEx1UWMHP3RS3MO76CVAU4P9KH2B" hidden="1">SEU Func Area by #REF!</definedName>
    <definedName name="BEx1V5M8GZ4M0D63HGWVN0QG25LG" hidden="1">SEU Driver by Func #REF!</definedName>
    <definedName name="BEx1VKLP2EMBATC7SZ4FLJRJ8VFI" hidden="1">SCG Func #REF!</definedName>
    <definedName name="BEx1VV8NGNLAOB6X4WL8PL46CSCB" hidden="1">Functional #REF!</definedName>
    <definedName name="BEx1WEPZTS8G9SY4FERGMHWFIYY3" hidden="1">SCG Func #REF!</definedName>
    <definedName name="BEx1X9AICW4MTOYHJ5TS4E03359S" hidden="1">SEU Func #REF!</definedName>
    <definedName name="BEx1XZ7QPNQFFG75UYWAOLXQJXWJ" hidden="1">SEU Driver by Func #REF!</definedName>
    <definedName name="BEx3AEHZW9LV0JGOI3140E9RU17M" hidden="1">Addn #REF!</definedName>
    <definedName name="BEx3BOSY29ELEJ90MCIEMAGOLTHV" hidden="1">SEU Func Area by #REF!</definedName>
    <definedName name="BEx3BY8WKSOC5XACCR5M2YP8BP70" hidden="1">#REF!</definedName>
    <definedName name="BEx3C0HPWFOJP9Q302IKBHWFV9DX" hidden="1">SEU Func #REF!</definedName>
    <definedName name="BEx3CT48SATJWIT8QHVS6DQ5P4LM" hidden="1">Financial &amp; Non-#REF!</definedName>
    <definedName name="BEx3CYT1ZL8MYON1H0NO1OCITU6Y" hidden="1">#REF!</definedName>
    <definedName name="BEx3D2K1ZM1P4KC7KYJ0X36ABUFH" hidden="1">SEU Func Comm by #REF!</definedName>
    <definedName name="BEx3D83Q0RX8NCO14VJZ6F7PPS9D" hidden="1">SEU Func #REF!</definedName>
    <definedName name="BEx3DKDXLAZ3571ELHUDJ1PNATW8" hidden="1">SEU Driver #REF!</definedName>
    <definedName name="BEx3DY6A6OPCMFSTO9WZP1NEBG24" hidden="1">#REF!</definedName>
    <definedName name="BEx3E1GWXLZJM9TQAB3W6662B9QP" hidden="1">Addn #REF!</definedName>
    <definedName name="BEx3E9PPY44KH2XGA8UMDMWC8W3I" hidden="1">#REF!</definedName>
    <definedName name="BEx3EA5SXED2RVVFEO20G847BZSN" hidden="1">#REF!</definedName>
    <definedName name="BEx3EAREXYW79BJYLUDYECDKM9AL" hidden="1">SEU Func Area by #REF!</definedName>
    <definedName name="BEx3EXJFOP6C1X0JLHB9Q8FAQTXP" hidden="1">#REF!</definedName>
    <definedName name="BEx3FID7JXDA6WTSV4AEOCFHW8I2" hidden="1">Addn #REF!</definedName>
    <definedName name="BEx3G7OW5MPIEEHI12V7QP9OZ8AH" hidden="1">#REF!</definedName>
    <definedName name="BEx3GFXO9P9TWVWKR9NW8N5RVFU7" hidden="1">SEU Driver #REF!</definedName>
    <definedName name="BEx3GXM8YOHYYQ8YL2U1M52A29Z0" hidden="1">Functional #REF!</definedName>
    <definedName name="BEx3HE3PCILPEW4KD2C00CJNRJZZ" hidden="1">SEU Driver #REF!</definedName>
    <definedName name="BEx3HSXOVI1E2FREWWS86O8R19E2" hidden="1">Financial &amp; Non-#REF!</definedName>
    <definedName name="BEx3IZN5224O9JUXPERTAGQ9BHZP" hidden="1">#REF!</definedName>
    <definedName name="BEx3JAA3E69G5K7ODRWCZN7HKKAB" hidden="1">Addn #REF!</definedName>
    <definedName name="BEx3K3Y9OPKSIZA0E1EEG4NT5B0T" hidden="1">Addn #REF!</definedName>
    <definedName name="BEx3K7UJ43OGQ20KNWYO03FVJ96T" hidden="1">Financial &amp; Non-#REF!</definedName>
    <definedName name="BEx3KH51243KR3TT5ZRP4W4KYX6S" hidden="1">SCG Func #REF!</definedName>
    <definedName name="BEx3LQ3AM8COFHOZW48MW1PCSMFB" hidden="1">Addn #REF!</definedName>
    <definedName name="BEx3LW39LX1DJIBZWULPI9CMSOC2" hidden="1">Addn #REF!</definedName>
    <definedName name="BEx3M7H9TQG9BSH3XCM8YAT6G6WJ" hidden="1">Financial &amp; Non-#REF!</definedName>
    <definedName name="BEx3M7XDIMHCSLM9Y2AT9NWLAOMY" hidden="1">Addn #REF!</definedName>
    <definedName name="BEx3MH2DKQSONMDJMVD4F2NKNM7G" hidden="1">Addn #REF!</definedName>
    <definedName name="BEx3MSGDXGW7OSHCKKQPMKKDR21A" hidden="1">Addn #REF!</definedName>
    <definedName name="BEx3N1G1UA6DMAIM7LIDXN7RKUUX" hidden="1">[0]!SDGE Func #REF!</definedName>
    <definedName name="BEx3N3EA4VJGB0V14C2HEGPXKP2I" hidden="1">Addn #REF!</definedName>
    <definedName name="BEx3NAFRIW5XWQA3OPN0Q24T0T42" hidden="1">Financial &amp; Non-#REF!</definedName>
    <definedName name="BEx3NEXKLPYH9X4KCYI7ESLC2GL4" hidden="1">Financial &amp; Non-#REF!</definedName>
    <definedName name="BEx3NFJ7AEGQPC1L8HQ9OPJ6HJVG" hidden="1">Addn #REF!</definedName>
    <definedName name="BEx3O5R5RBVLXHLE9AEKHF7TPET5" hidden="1">#REF!</definedName>
    <definedName name="BEx3O9Y9QHE201PEADOXXL01T8B9" hidden="1">SCG Func #REF!</definedName>
    <definedName name="BEx3OJ3EWCV3784K3YFC4RASIOGF" hidden="1">Functional #REF!</definedName>
    <definedName name="BEx3OXMM1O9DHZBX8KCTCAFXL35R" hidden="1">Addn #REF!</definedName>
    <definedName name="BEx3P4YVTSBLV0SJS5A82ANHBVG4" hidden="1">#REF!</definedName>
    <definedName name="BEx3P9GQUDWNPS9CL9O88YIYTG2B" hidden="1">[0]!SDGE Func #REF!</definedName>
    <definedName name="BEx3PUG0WDX3VMOW3YC9L7FA6795" hidden="1">#REF!</definedName>
    <definedName name="BEx3Q0FSCMFGDFRA18K779PC5SOU" hidden="1">SEU Driver #REF!</definedName>
    <definedName name="BEx3RK6IMVTK41YUUGFJYXS2R12V" hidden="1">Financial &amp; Non-#REF!</definedName>
    <definedName name="BEx3SF7B3E0AIY3RJREOCHFQ6ZOY" hidden="1">Functional #REF!</definedName>
    <definedName name="BEx3SOHSXK5I2AX8UQ1367PVN94C" hidden="1">#REF!</definedName>
    <definedName name="BEx3TD2DG6QMJ5IKJIUBGBZEPEPO" hidden="1">SEU Func Comm by #REF!</definedName>
    <definedName name="BEx3TLGJC8Q5WEWUNPCRP8YQCT4M" hidden="1">SEU Func Area by #REF!</definedName>
    <definedName name="BEx3TM242XQQHIQCIHLY63VDLGQ0" hidden="1">SEU Func #REF!</definedName>
    <definedName name="BEx3TPT1WV6YQ4RGA0ZEFJ7WEOQQ" hidden="1">Addn #REF!</definedName>
    <definedName name="BEx3UJ0Y0EKCX55B0WAD89K1I9A2" hidden="1">SEU Driver #REF!</definedName>
    <definedName name="BEx5793NUDQFE11HUM4WTJY9IFKN" hidden="1">Addn #REF!</definedName>
    <definedName name="BEx58N01LLZ8ZKB5V5P7UG5JZLSX" hidden="1">Addn #REF!</definedName>
    <definedName name="BEx59250F3FSWLBU1PX6J51NGMF2" hidden="1">Addn #REF!</definedName>
    <definedName name="BEx5931D0OK7253V4DKCZOJQ7CF6" hidden="1">Financial &amp; Non-#REF!</definedName>
    <definedName name="BEx59BA1716EYX5N0PFQ93LXY7R1" hidden="1">Addn #REF!</definedName>
    <definedName name="BEx59DOBKH8VQ98XK7SNHA8B047T" hidden="1">Addn #REF!</definedName>
    <definedName name="BEx59EQ7A4HVKPNS0I2HIPB8NOKJ" hidden="1">[0]!SDGE Func #REF!</definedName>
    <definedName name="BEx59JYWXN9L4GE0O40TJIRHE8P3" hidden="1">SEU Func #REF!</definedName>
    <definedName name="BEx59Y216NXUJ0GAPO3YO3VAVU7Y" hidden="1">Financial &amp; Non-#REF!</definedName>
    <definedName name="BEx5B9K3B02PJMMXXC4SKP6NO2CI" hidden="1">Addn #REF!</definedName>
    <definedName name="BEx5BDAX4V28AHZW9HVCC9TEMJW6" hidden="1">#REF!</definedName>
    <definedName name="BEx5BIUKY4Q3KD7JK9A78SJHIT4S" hidden="1">#REF!</definedName>
    <definedName name="BEx5BSVY0ZJU5LWHW14G30FZ7WNT" hidden="1">Addn #REF!</definedName>
    <definedName name="BEx5C9THJ886U0S3S65HH25DA6L5" hidden="1">Addn #REF!</definedName>
    <definedName name="BEx5CU1WA73BOAX4HZBTE4D3COW6" hidden="1">Addn #REF!</definedName>
    <definedName name="BEx5D9C4Z9LRXWV58SC94GBRMFS4" hidden="1">SEU Func #REF!</definedName>
    <definedName name="BEx5DQV9BM9CHGYMW87AFZOP9S9B" hidden="1">Addn #REF!</definedName>
    <definedName name="BEx5DXGLRIFRGETUGZDVNCCYOHKD" hidden="1">Financial &amp; Non-#REF!</definedName>
    <definedName name="BEx5DXWQFTJFHRMSE4FWPHTKLTIE" hidden="1">SEU Func #REF!</definedName>
    <definedName name="BEx5E7COVKY842P1212KOBRHK4DE" hidden="1">SEU Func #REF!</definedName>
    <definedName name="BEx5EB8XUYYLCXPJ8V9C1FHYJ0T8" hidden="1">[0]!SDGE Func #REF!</definedName>
    <definedName name="BEx5EDY0WYS351CC34O3AXLT11TX" hidden="1">SEU Func Area by #REF!</definedName>
    <definedName name="BEx5EN8J7513PCBQXOTXOOM8Y8MZ" hidden="1">Addn #REF!</definedName>
    <definedName name="BEx5EXQ67TILJNNHBN4C5BJGDT2H" hidden="1">#REF!</definedName>
    <definedName name="BEx5F7GQQLV72KNSTYT1DT4534TY" hidden="1">SEU Func #REF!</definedName>
    <definedName name="BEx5F9PR9BI8ZTQCHZVT9MSMKIGL" hidden="1">SEU Driver #REF!</definedName>
    <definedName name="BEx5F9V2SND4PHG740J2N3F13YXZ" hidden="1">Addn #REF!</definedName>
    <definedName name="BEx5FLJVHRG42QI195ANYO5RJEOE" hidden="1">Addn #REF!</definedName>
    <definedName name="BEx5G26LL7JG28WLELU77NB94D24" hidden="1">SCG Func #REF!</definedName>
    <definedName name="BEx5G3U1F5AV1D9DLRNKT33F8PWY" hidden="1">#REF!</definedName>
    <definedName name="BEx5G98A5G4DVMI1IHKJZL8ND4SW" hidden="1">SEU Func Area by #REF!</definedName>
    <definedName name="BEx5GI7TBQH1IAHOJZEVZ991ZJ52" hidden="1">Financial &amp; Non-#REF!</definedName>
    <definedName name="BEx5H0NECIJJL39PTFDGTA8QX80R" hidden="1">SEU Func #REF!</definedName>
    <definedName name="BEx5H3CIHK23F0WPY14ZVTSVWBAZ" hidden="1">Addn #REF!</definedName>
    <definedName name="BEx5H5W59HFH8HXCBHJBY5UPH7F4" hidden="1">SEU Func #REF!</definedName>
    <definedName name="BEx5HV2GH2NKG2ZMBKOBBJNFI428" hidden="1">Functional #REF!</definedName>
    <definedName name="BEx5HYINOA160CH9GI3QOUK508N2" hidden="1">[0]!SDGE Func #REF!</definedName>
    <definedName name="BEx5JAX4AOZH9O950U7GVQJFTIZ6" hidden="1">SEU Func #REF!</definedName>
    <definedName name="BEx5JUEFFFWCNP5ECB9KK9FN8XU6" hidden="1">Financial &amp; Non-#REF!</definedName>
    <definedName name="BEx5JXUFOJ8QL1O4OV01U73K97XN" hidden="1">Functional #REF!</definedName>
    <definedName name="BEx5K9DRXLRKAIGVBD5ZA5VX98K8" hidden="1">SEU Func #REF!</definedName>
    <definedName name="BEx5KBS25AF4Y2ZDIIANYJ4A7O9D" hidden="1">Addn #REF!</definedName>
    <definedName name="BEx5KBS2YIR4PFJ5IOP3TFWY2PPX" hidden="1">Functional #REF!</definedName>
    <definedName name="BEx5KCOEOJ2CEGE7RRL3BY5L9FNN" hidden="1">Financial &amp; Non-#REF!</definedName>
    <definedName name="BEx5KDKSPYR1TLV0X9KORPRO1TQF" hidden="1">SEU Driver by Func #REF!</definedName>
    <definedName name="BEx5KV9DMMK99WN0JMGJ25NAV4UE" hidden="1">SEU Driver #REF!</definedName>
    <definedName name="BEx5L2LUQAKQCZVHOCD9ZBZYYS4B" hidden="1">#REF!</definedName>
    <definedName name="BEx5LC73IA7G6DRD2JU2BP27482T" hidden="1">SEU Func #REF!</definedName>
    <definedName name="BEx5LG37VMLUGZYZ8Z96WYEWHYEH" hidden="1">Addn #REF!</definedName>
    <definedName name="BEx5LYTLLDSL43P8M6Q9VD7IRKT4" hidden="1">Addn #REF!</definedName>
    <definedName name="BEx5LZPZQ0Q3M0HD4JMAQUTI58KJ" hidden="1">Functional #REF!</definedName>
    <definedName name="BEx5MA26EHX7VNGSNNAZ0KZMX02D" hidden="1">SEU Func #REF!</definedName>
    <definedName name="BEx5MD7IFYQJG8DF8PBO3RALXN2V" hidden="1">Addn #REF!</definedName>
    <definedName name="BEx5MNUHM5YPFC1YNX13K7M2LD9F" hidden="1">SEU Driver #REF!</definedName>
    <definedName name="BEx5MW8LCJWSC3TFMS4W8AI5J8VG" hidden="1">SEU Func Comm by #REF!</definedName>
    <definedName name="BEx5NK2ADYL3ELV1XHFPFOV8W42D" hidden="1">[0]!SDGE Func #REF!</definedName>
    <definedName name="BEx5OAL3NTNMHU9ERQOWTX8NTMX9" hidden="1">#REF!</definedName>
    <definedName name="BEx5OF2X01GCRGDKH63EW0B09RRJ" hidden="1">Financial &amp; Non-#REF!</definedName>
    <definedName name="BEx5PS8FN2D4DOX6U1J943CZH0LU" hidden="1">Functional #REF!</definedName>
    <definedName name="BEx5QQEG5M04N5YQ20UR10EWJ6M3" hidden="1">Addn #REF!</definedName>
    <definedName name="BEx73WIB65EZVKX73XD21IFUO36J" hidden="1">Financial &amp; Non-#REF!</definedName>
    <definedName name="BEx746P6H9UJ8T9MTNG7C73YSGFU" hidden="1">Addn #REF!</definedName>
    <definedName name="BEx74GAFRM21NBATRNLD7FWS1OXY" hidden="1">Functional #REF!</definedName>
    <definedName name="BEx74VVIHGE8RWIOQN9SZZ487OOC" hidden="1">Functional #REF!</definedName>
    <definedName name="BEx74XDH3TPR8GXY3PNUOMP3VX2A" hidden="1">Addn #REF!</definedName>
    <definedName name="BEx7520NAQMR076UI9WUPELXOTH2" hidden="1">SCG Func #REF!</definedName>
    <definedName name="BEx75V36DE3VP1AMI1RXXUV87029" hidden="1">Addn #REF!</definedName>
    <definedName name="BEx75V8OC9Q4YQQOLAJT6UDQDZ2N" hidden="1">#REF!</definedName>
    <definedName name="BEx75X6R04A1CL2MWVAAB055B3P9" hidden="1">Functional #REF!</definedName>
    <definedName name="BEx75XXSXBCP9KU62O05Y9Z5ACWM" hidden="1">#REF!</definedName>
    <definedName name="BEx761DRPA25R4PZH61K2NGXMK2U" hidden="1">SEU Func Comm by #REF!</definedName>
    <definedName name="BEx768Q7WXW37TL98VE3X80MYAOT" hidden="1">[0]!SDGE Func #REF!</definedName>
    <definedName name="BEx769MLSTUCGG15G1X2OEJ4ZQH7" hidden="1">SEU Func #REF!</definedName>
    <definedName name="BEx76BKMRV8NL1SQ6S37CNF7ETPJ" hidden="1">Addn #REF!</definedName>
    <definedName name="BEx76EQ049XAKGG9W866LOKTIJKO" hidden="1">#REF!</definedName>
    <definedName name="BEx76LGP7TRCIGQR1FZ1B4G223M5" hidden="1">#REF!</definedName>
    <definedName name="BEx76RR9E3UKJ375VSBT7ZQNMEB4" hidden="1">Financial &amp; Non-#REF!</definedName>
    <definedName name="BEx771Y54SZNEMLLKKVM69Q2UXPW" hidden="1">Addn #REF!</definedName>
    <definedName name="BEx77SRQQMO7ZX0ZJB9V7V67BBY8" hidden="1">#REF!</definedName>
    <definedName name="BEx787LVO91DZ12YLLQPAV8OMYJ8" hidden="1">Financial &amp; Non-#REF!</definedName>
    <definedName name="BEx78ESP6PYY9PRKG7N8I1062CBG" hidden="1">Financial &amp; Non-#REF!</definedName>
    <definedName name="BEx78JAKA3FRA112WDVJR5P2M06F" hidden="1">SEU Func Comm by #REF!</definedName>
    <definedName name="BEx79BGQJWM5HK7GBU4QCZQIGMJA" hidden="1">Addn #REF!</definedName>
    <definedName name="BEx79NLSWDY80RZ83IBSPPWC1LRP" hidden="1">Addn #REF!</definedName>
    <definedName name="BEx7AG85P2UCLBZH785AVALZ8NO2" hidden="1">Addn #REF!</definedName>
    <definedName name="BEx7BUKMRJIJ2T3VLPHVCGFYB91N" hidden="1">Addn #REF!</definedName>
    <definedName name="BEx7CD5LQHPU9ZD6Q6VGX42EG18N" hidden="1">#REF!</definedName>
    <definedName name="BEx7CSQONL7R3J1DFL1RBZ2UB4CJ" hidden="1">Addn #REF!</definedName>
    <definedName name="BEx7D9DFIZJHQGFY7GA9YYUA9ND5" hidden="1">Financial &amp; Non-#REF!</definedName>
    <definedName name="BEx7DB642H67MNJ2PZ1ACGYUMYX0" hidden="1">#REF!</definedName>
    <definedName name="BEx7DWG6RQW0D28OD9I5XKJYFDLX" hidden="1">SEU Func #REF!</definedName>
    <definedName name="BEx7E3SN5T57Z84MWEWGPL56BVYQ" hidden="1">Functional #REF!</definedName>
    <definedName name="BEx7E8QL4MLEWB3YUM4BI27WYSG4" hidden="1">Addn #REF!</definedName>
    <definedName name="BEx7F1YHNQP67YWOA22R2460OG8Q" hidden="1">#REF!</definedName>
    <definedName name="BEx7FGHPIVIRMUKXHH1IIO8C39WM" hidden="1">SCG Func #REF!</definedName>
    <definedName name="BEx7FK3D2PKAX7A5OS0M3EPATLK3" hidden="1">Addn #REF!</definedName>
    <definedName name="BEx7FX4LXTGXH0S5WO63H5V8973A" hidden="1">Addn #REF!</definedName>
    <definedName name="BEx7G09THIAHGVV4C6W739GLIL6F" hidden="1">SEU Driver #REF!</definedName>
    <definedName name="BEx7G1X3E168X1WSXE3IYQD39CSH" hidden="1">Functional #REF!</definedName>
    <definedName name="BEx7G5D8R3DAHH327NHVIRW1M1A6" hidden="1">SEU Driver by Func #REF!</definedName>
    <definedName name="BEx7GC43Z3IT632VJ04YICAVP2PC" hidden="1">Functional #REF!</definedName>
    <definedName name="BEx7GD5SMD4HYABHIF7TA7NL06BF" hidden="1">Addn #REF!</definedName>
    <definedName name="BEx7GNNEKMZ2TVCGR1CBK6H4CY70" hidden="1">SEU Driver by Func #REF!</definedName>
    <definedName name="BEx7GWSFCD13I3QC1N2NFFKY062P" hidden="1">Functional #REF!</definedName>
    <definedName name="BEx7H5XL7MLM8ZG6E12EKRMNYRXA" hidden="1">Addn #REF!</definedName>
    <definedName name="BEx7H86FAD3PJYLGZL1U0HWZBU77" hidden="1">SEU Driver #REF!</definedName>
    <definedName name="BEx7HNGQN8KJWL6B1O2RWR1I8XCR" hidden="1">Functional #REF!</definedName>
    <definedName name="BEx7I7ZOS5D5E9WZ6L4BOE2F3DY2" hidden="1">SEU Func #REF!</definedName>
    <definedName name="BEx7IA8PT7MFJWXGVCJFRY106ATL" hidden="1">SEU Func #REF!</definedName>
    <definedName name="BEx7IQKN2RWFXIJJQC1M3HN91456" hidden="1">SEU Driver by Func #REF!</definedName>
    <definedName name="BEx7IYTADRCEGWHWTPP3TX68M7RE" hidden="1">Addn #REF!</definedName>
    <definedName name="BEx7IYTI2BVB47X6UKCDS3S6S8M2" hidden="1">Financial &amp; Non-#REF!</definedName>
    <definedName name="BEx7JA7HO64PE6BSEFDQAYG2DV2M" hidden="1">SEU Driver #REF!</definedName>
    <definedName name="BEx7JN8QP1FGPG1PXW02J1OO9FTN" hidden="1">SCG Func #REF!</definedName>
    <definedName name="BEx7K7GY8XLOVRC3OHHBZ1TX6TMR" hidden="1">Addn #REF!</definedName>
    <definedName name="BEx7KGM4CB247DEMSOCLKY4D5TBL" hidden="1">#REF!</definedName>
    <definedName name="BEx7KJRBH9UOHHJDI99HVR8V9R0K" hidden="1">#REF!</definedName>
    <definedName name="BEx7KPGBNYFR4LHWGEPF89JL73WI" hidden="1">Addn #REF!</definedName>
    <definedName name="BEx7KYQUG9K5VGBRVMEF5XXB6I7D" hidden="1">Addn #REF!</definedName>
    <definedName name="BEx7LBHATV73G9G8EYC25A1GZPM7" hidden="1">Financial &amp; Non-#REF!</definedName>
    <definedName name="BEx7MCN6WJYIADN53L1N60G4M3U9" hidden="1">#REF!</definedName>
    <definedName name="BEx7NJ7BROENWNOB9DYNAZDMO381" hidden="1">Functional #REF!</definedName>
    <definedName name="BEx8ZNEEKMIGOZI4AEQOFKR48OX7" hidden="1">Addn #REF!</definedName>
    <definedName name="BEx906FH0CTZE3CU0DQWH3H4ZC4P" hidden="1">SEU Func #REF!</definedName>
    <definedName name="BEx9193BXQJVD64QF1Y7916CR3VZ" hidden="1">SEU Driver by Func #REF!</definedName>
    <definedName name="BEx91IOLAF9Q374K05VA9813T42J" hidden="1">Functional #REF!</definedName>
    <definedName name="BEx91MVNJP7UR6PVBG9O9JNNLL2S" hidden="1">Addn #REF!</definedName>
    <definedName name="BEx91NS16U93E9MPG050VOPE1B5V" hidden="1">Addn #REF!</definedName>
    <definedName name="BEx91WRP8CJ9NVHOVO3KK1CSEY3A" hidden="1">#REF!</definedName>
    <definedName name="BEx92JP6NFWRWOQOM9LV0ZGH6UII" hidden="1">[0]!SDGE Func #REF!</definedName>
    <definedName name="BEx92LY2W9T7IMRAJ6GVSJOYGXKX" hidden="1">Addn #REF!</definedName>
    <definedName name="BEx92VU31VCK7JA4H3D7UN9TXSLT" hidden="1">SEU Driver by Func #REF!</definedName>
    <definedName name="BEx937O89Y1D1SATU4ZSG51U1NQG" hidden="1">#REF!</definedName>
    <definedName name="BEx939RQZR5P0TIF9I3BMR6SR6Z8" hidden="1">Addn #REF!</definedName>
    <definedName name="BEx93C61JLMSUFCCC969HXVOAV5U" hidden="1">Addn #REF!</definedName>
    <definedName name="BEx93P7HZ849NJYP2FN3FVKLD1ZJ" hidden="1">#REF!</definedName>
    <definedName name="BEx93WUJ8SBBPMQO3GR8OPSWFZA4" hidden="1">Functional #REF!</definedName>
    <definedName name="BEx94SBGT6E7UM98ZRUU1UD0X2V9" hidden="1">SCG Func #REF!</definedName>
    <definedName name="BEx94YRCDNZCTCP3C1U048E2SHCV" hidden="1">#REF!</definedName>
    <definedName name="BEx95E6X1N492AUIEIQ1IXXTNYO0" hidden="1">SEU Func #REF!</definedName>
    <definedName name="BEx95GW2VHSR2AQCIZELG33FDA8H" hidden="1">Addn #REF!</definedName>
    <definedName name="BEx95JVY865JGQH3BGYILSOT7KIT" hidden="1">SEU Driver #REF!</definedName>
    <definedName name="BEx95RTS6PHEQTQLZVX7ZLJEZ2EC" hidden="1">SEU Func #REF!</definedName>
    <definedName name="BEx96FYFAVILQ8VYSE72BM2KXQHS" hidden="1">Functional #REF!</definedName>
    <definedName name="BEx96KLL02U9UGG9BE084W1T06AP" hidden="1">Functional #REF!</definedName>
    <definedName name="BEx96PED6KVTVBCA3YI15OONN1VC" hidden="1">Functional #REF!</definedName>
    <definedName name="BEx970MWXAD0OKZXP8P821WJ2SQ5" hidden="1">Addn #REF!</definedName>
    <definedName name="BEx971U2C4AAQ6GJB4FOAMCR7NZB" hidden="1">Financial &amp; Non-#REF!</definedName>
    <definedName name="BEx980WB7NBY9MBNN1VDHUAOOEN4" hidden="1">#REF!</definedName>
    <definedName name="BEx98DC7540CFIHHCBRDYER6N969" hidden="1">SEU Driver by Func #REF!</definedName>
    <definedName name="BEx98E3186U1CAC5ZCGORYSPBW55" hidden="1">SCG Func #REF!</definedName>
    <definedName name="BEx98P6A568OSQJKJ16MGMHFWQAJ" hidden="1">Addn #REF!</definedName>
    <definedName name="BEx98UPYWSKR968JQDKEOQJTFEN3" hidden="1">Addn #REF!</definedName>
    <definedName name="BEx99WS3MA5AE74HPBKZM9EI6J2H" hidden="1">Functional #REF!</definedName>
    <definedName name="BEx9A3TPSYIC5VV8BM8QF9YA6HKL" hidden="1">Addn #REF!</definedName>
    <definedName name="BEx9AB0O7AFRBN0DS6X3G5XATV0F" hidden="1">Addn #REF!</definedName>
    <definedName name="BEx9BKKJ3V7FT0YYP901CO1J9PK2" hidden="1">Addn #REF!</definedName>
    <definedName name="BEx9BNKFPZNHOBUFKJXSEZ45UCNX" hidden="1">Addn #REF!</definedName>
    <definedName name="BEx9BO0OF08DI95D48HIA4FNEAQ2" hidden="1">SCG Func #REF!</definedName>
    <definedName name="BEx9BYSZKJE7X0DZO9IBYA390EXN" hidden="1">Addn #REF!</definedName>
    <definedName name="BEx9C3WJQMGW0R7CUVA07P3TX1SN" hidden="1">SEU Func Comm by #REF!</definedName>
    <definedName name="BEx9CMHBVIKQKWB05U715K3OYE5N" hidden="1">Addn #REF!</definedName>
    <definedName name="BEx9CPBY3A014VDO5NC8CZH6A1ND" hidden="1">SEU Func #REF!</definedName>
    <definedName name="BEx9D4RIB90NHVB2YZNHPU1W05Q4" hidden="1">Addn #REF!</definedName>
    <definedName name="BEx9D5D3ORZ8H4FK3XMG4BUSRDF3" hidden="1">SEU Func #REF!</definedName>
    <definedName name="BEx9DCUTUL3BE617O4SMJRVU2L0S" hidden="1">Functional #REF!</definedName>
    <definedName name="BEx9DI91MBI8Y7KKG4TYD7GK0OO3" hidden="1">Addn #REF!</definedName>
    <definedName name="BEx9DPQSEJ56DZCPF3OY3GWEMEHS" hidden="1">[0]!SDGE Func #REF!</definedName>
    <definedName name="BEx9E8H2OWZQ45XRM27VACOL31OU" hidden="1">Addn #REF!</definedName>
    <definedName name="BEx9EBX1BZ0PL195G5AESVWY096V" hidden="1">SEU Func Area by #REF!</definedName>
    <definedName name="BEx9EFTH7ZBJ5N1CAQI38H8WNFW3" hidden="1">Addn #REF!</definedName>
    <definedName name="BEx9EK5VLPKF9XVYLA8L5M0VFA4J" hidden="1">Addn #REF!</definedName>
    <definedName name="BEx9ERI925K9PH2Z2PB4I9EX8QF3" hidden="1">#REF!</definedName>
    <definedName name="BEx9ET5JSJVBRWYIE1INNJ7SGTCC" hidden="1">Functional #REF!</definedName>
    <definedName name="BEx9EWG8HOBAXEVNI9PTPOTVPJ6O" hidden="1">Addn #REF!</definedName>
    <definedName name="BEx9F2FZK97W302TB1PE6SLT2W8P" hidden="1">SEU Driver by Func #REF!</definedName>
    <definedName name="BEx9F3N6P6EMZ3CI82RIVDKI8UYJ" hidden="1">Addn #REF!</definedName>
    <definedName name="BEx9F5QQ16E2AYXJFWMSOB65PQQD" hidden="1">#REF!</definedName>
    <definedName name="BEx9FEA49CAL0U75VSCJZGNERORM" hidden="1">SEU Func #REF!</definedName>
    <definedName name="BEx9FEA5G88VPTUBP7INZOU42U47" hidden="1">Addn #REF!</definedName>
    <definedName name="BEx9FZ3XLP4NW4ALG6YLL87UDWN5" hidden="1">#REF!</definedName>
    <definedName name="BEx9GA1T1D6OO1LJLL4M23ZQ4YZQ" hidden="1">Addn #REF!</definedName>
    <definedName name="BEx9GBEC3P5Y01WYIGKVJSG7XI43" hidden="1">[0]!SDGE Func #REF!</definedName>
    <definedName name="BEx9GKJHEHAXU8NPOK41VWZLKJHS" hidden="1">Addn #REF!</definedName>
    <definedName name="BEx9H7GTDG0K270VC8KIQPAZ4Y1Y" hidden="1">Functional #REF!</definedName>
    <definedName name="BEx9H9F15H3PH7ZYTKUA946W25IF" hidden="1">Addn #REF!</definedName>
    <definedName name="BEx9HMLS4KZDOM68X06UUH8EVM99" hidden="1">SEU Func #REF!</definedName>
    <definedName name="BEx9I0JFAIJY2OQ5GGLQIBX2SOHB" hidden="1">Addn #REF!</definedName>
    <definedName name="BEx9IIDAOIWYAR4176TWG0DUP0GC" hidden="1">Addn #REF!</definedName>
    <definedName name="BEx9IM9JB41V6TQ5P1QZV0H9VVUQ" hidden="1">Addn #REF!</definedName>
    <definedName name="BEx9IO2AQXVT9EE1WFNZY4RMZA5L" hidden="1">SEU Driver by Func #REF!</definedName>
    <definedName name="BEx9IW5MPMXZH6A45GHP65AIU5EC" hidden="1">SEU Func #REF!</definedName>
    <definedName name="BEx9JE4Z63EP3IGA8SSLS32MQ9IT" hidden="1">Functional #REF!</definedName>
    <definedName name="BEx9JGJB4AO5A49KA8HTRU4Y918P" hidden="1">Addn #REF!</definedName>
    <definedName name="BExAW9LX762OLWCG971X5UJG9BTI" hidden="1">SEU Driver #REF!</definedName>
    <definedName name="BExAWRW398WOEUXSG9OKLKRUHBUJ" hidden="1">SCG Func #REF!</definedName>
    <definedName name="BExAWWOQP0AIVB5SQ8ABBSZ73REK" hidden="1">Functional #REF!</definedName>
    <definedName name="BExAX3FFIBEYOD1VMORTDGV6CT6V" hidden="1">Addn #REF!</definedName>
    <definedName name="BExAX8Z4B7UP4MPIDL4N5UVE5X3A" hidden="1">Financial &amp; Non-#REF!</definedName>
    <definedName name="BExAXXJTKDDLRRG0YNJZ27IIY0CH" hidden="1">Addn #REF!</definedName>
    <definedName name="BExAY1W8CE9P3MQIAPX8VJEG5NVW" hidden="1">#REF!</definedName>
    <definedName name="BExAYAFTOFMR1YIYU7IUFOYRNV62" hidden="1">Addn #REF!</definedName>
    <definedName name="BExAYMVHP7W93W3JTZL9H6BYQM61" hidden="1">Addn #REF!</definedName>
    <definedName name="BExAYPVEB4OPFNAISBTOWTRBP8VX" hidden="1">[0]!SDGE Func #REF!</definedName>
    <definedName name="BExB03RSQON10JAWO2328LAW1MKE" hidden="1">SEU Func #REF!</definedName>
    <definedName name="BExB072HB427FBTZFTA92PWX0YQ9" hidden="1">Addn #REF!</definedName>
    <definedName name="BExB0CRHCO9ULDDSTT7DMTT05RT9" hidden="1">Addn #REF!</definedName>
    <definedName name="BExB0GIADY00FT7NXSNF175LJJ3Y" hidden="1">Addn #REF!</definedName>
    <definedName name="BExB0LGCWVXLFI71FVWXDKJA49PH" hidden="1">Addn #REF!</definedName>
    <definedName name="BExB0WOWQSN1F679LTDEFHU5W26B" hidden="1">Addn #REF!</definedName>
    <definedName name="BExB19KVAYD32NCCJV4ZP4JXKH5S" hidden="1">#REF!</definedName>
    <definedName name="BExB1EIYLMVJLP7TLE2RF39QS0MX" hidden="1">#REF!</definedName>
    <definedName name="BExB1EO9KWOLKJHCPTWLRRDESP7G" hidden="1">Addn #REF!</definedName>
    <definedName name="BExB1GRT8047FU91FKXXPPVBWVY4" hidden="1">SEU Func Area by #REF!</definedName>
    <definedName name="BExB1LKGYUXV7YND54V03Z7PCFWG" hidden="1">SEU Func Comm by #REF!</definedName>
    <definedName name="BExB1VB0MPHLR3SDA5NV6NV1X49C" hidden="1">SEU Driver #REF!</definedName>
    <definedName name="BExB2AQT03UGIOC6S1HS02YS0OIN" hidden="1">SCG Func #REF!</definedName>
    <definedName name="BExB2K6JX9SZWRWTCTUMT8KMDHOD" hidden="1">SEU Func Comm by #REF!</definedName>
    <definedName name="BExB30O0S6EO45SFV1QSN1Q24LOL" hidden="1">#REF!</definedName>
    <definedName name="BExB30TB59C8G4EC0WEJUHQ4VA39" hidden="1">Addn #REF!</definedName>
    <definedName name="BExB3EWF1OUNCEWXWPL6HTD45R2Q" hidden="1">Financial &amp; Non-#REF!</definedName>
    <definedName name="BExB3QL8Q7ZK705KJACMI750B1JO" hidden="1">Addn #REF!</definedName>
    <definedName name="BExB3XS637O5LMK5N78CTI3Z0Z5B" hidden="1">#REF!</definedName>
    <definedName name="BExB43MOHQGG9F0TAVNR9GV4HDUC" hidden="1">Addn #REF!</definedName>
    <definedName name="BExB49GYU15TD74UV4AOHN1UDRXT" hidden="1">SEU Func Area by #REF!</definedName>
    <definedName name="BExB5C4TYO1CLQBIZ1ZKBB9LUBUJ" hidden="1">Functional #REF!</definedName>
    <definedName name="BExB5DS47CSMB5M7U57GGRRL6RAI" hidden="1">Addn #REF!</definedName>
    <definedName name="BExB5GRZ48PZ0X03WTTZUHM5V6N7" hidden="1">[0]!SDGE Func #REF!</definedName>
    <definedName name="BExB5HOC7YR7B7UZUQJFO3AMX3Z7" hidden="1">Addn #REF!</definedName>
    <definedName name="BExB7JUQKW1TSF1EMURW4N49BPW8" hidden="1">SEU Func #REF!</definedName>
    <definedName name="BExB7XSCGB3ICZZXK5GGNRCZGO1R" hidden="1">Functional #REF!</definedName>
    <definedName name="BExB82KZZ20HGQ8ZWDI6NN7B7LP3" hidden="1">Addn #REF!</definedName>
    <definedName name="BExB842YTBKTN3J0DAZ8G2FRLGZA" hidden="1">SCG Func #REF!</definedName>
    <definedName name="BExB8A2R5KAW4ZHD9RTJG7XQBC9Z" hidden="1">SEU Driver by Func #REF!</definedName>
    <definedName name="BExB9DSAVBYJB0UFO37L4UPOIA9D" hidden="1">Addn #REF!</definedName>
    <definedName name="BExB9J6IXISS1DDVV1O9QAR83KUM" hidden="1">Addn #REF!</definedName>
    <definedName name="BExBA09J0XCIK4F6DIN33HWB83VZ" hidden="1">Addn #REF!</definedName>
    <definedName name="BExBBFD1NS7S1R4UT1X0FC1V0IE6" hidden="1">Financial &amp; Non-#REF!</definedName>
    <definedName name="BExBBW58Z0FWF8SYQVQCKPDQM4V5" hidden="1">#REF!</definedName>
    <definedName name="BExBC0N4KY5AUPHPSP2WYOPQ9BGK" hidden="1">#REF!</definedName>
    <definedName name="BExBC5AACPOLAFEHIH7A39NFVMS9" hidden="1">SEU Func Area by #REF!</definedName>
    <definedName name="BExBCC14R9T8Y5BCJ9J6RZ5LAR34" hidden="1">#REF!</definedName>
    <definedName name="BExBCQ49E5ROUT89A7DNPSC88TP2" hidden="1">SEU Func #REF!</definedName>
    <definedName name="BExBCRGQSBNA9SIIV33OWZ9TT8EM" hidden="1">Financial &amp; Non-#REF!</definedName>
    <definedName name="BExBCS2AHW4TXTQK83WN29LWIRQK" hidden="1">[0]!SDGE Func #REF!</definedName>
    <definedName name="BExBD7NBV33LLYYJZDPWE3JS4YO8" hidden="1">Addn #REF!</definedName>
    <definedName name="BExBDGHLEQZH9D2HRC94XCSM8R21" hidden="1">Functional #REF!</definedName>
    <definedName name="BExCREBL0YXLWZKVEV40GLP86ISW" hidden="1">Addn #REF!</definedName>
    <definedName name="BExCSEL4O1O7A8QTADPQK997R2GC" hidden="1">[0]!SDGE Func #REF!</definedName>
    <definedName name="BExCSQKPT6AAP0PXNSIN8X33MNOQ" hidden="1">Addn #REF!</definedName>
    <definedName name="BExCSWV9HBGHLCFOMS18O18TUB3A" hidden="1">Addn #REF!</definedName>
    <definedName name="BExCTP6SO68GK895SG97OHJ44KJ9" hidden="1">Addn #REF!</definedName>
    <definedName name="BExCUFV4VP0SIARZ6VFX4CSM3H9D" hidden="1">Functional #REF!</definedName>
    <definedName name="BExCUH2AJHJRFFT62RFBIXW1D2QI" hidden="1">Functional #REF!</definedName>
    <definedName name="BExCUNSYJS0MXZ5ET8GHRGF8KIY2" hidden="1">Functional #REF!</definedName>
    <definedName name="BExCUSWD0ZI62K3UGX4N1XN89Q1P" hidden="1">SEU Driver #REF!</definedName>
    <definedName name="BExCV03BCBUW893TW8JSQSFA881E" hidden="1">Functional #REF!</definedName>
    <definedName name="BExCVFTQ4HN27K1U27PC99JFSWWW" hidden="1">Functional #REF!</definedName>
    <definedName name="BExCWLHH3Q3G7ILX126X41OC9UWW" hidden="1">Functional #REF!</definedName>
    <definedName name="BExCX29OCTHXR81FOAIARU0P0X4X" hidden="1">[0]!SDGE Func #REF!</definedName>
    <definedName name="BExCXCLUKV8FFGMN02TB06QN6BWG" hidden="1">SEU Func #REF!</definedName>
    <definedName name="BExCXYC68R84SJWKHLGHSF3BTT7G" hidden="1">SEU Driver by Func #REF!</definedName>
    <definedName name="BExCY712YSE6GCWJ0AMT3HALNA4X" hidden="1">Functional #REF!</definedName>
    <definedName name="BExCYQCYE5YHOB1TKOHL6B3I27IT" hidden="1">Financial &amp; Non-#REF!</definedName>
    <definedName name="BExCYRPFE15L8X3EUVCJNH6I01D9" hidden="1">SEU Driver by Func #REF!</definedName>
    <definedName name="BExCYY5GHFAIPGDZ8HNTGSWV4KQL" hidden="1">SCG Func #REF!</definedName>
    <definedName name="BExCZ5SJSLJTD4LETK6S52CEE8K5" hidden="1">SEU Driver by Func #REF!</definedName>
    <definedName name="BExCZODGQ5EQME30RIBVIMU88981" hidden="1">Financial &amp; Non-#REF!</definedName>
    <definedName name="BExD049C027P55BCRTWO9K40MDXC" hidden="1">Financial &amp; Non-#REF!</definedName>
    <definedName name="BExD04PEPBEQQX4RZ6C0WVALBV9W" hidden="1">SEU Driver #REF!</definedName>
    <definedName name="BExD0P35ITFSLDJ85I2S2XLI9D02" hidden="1">Addn #REF!</definedName>
    <definedName name="BExD1Z8Q7A8QEJBB3NBLBKV5UWDA" hidden="1">#REF!</definedName>
    <definedName name="BExD2054KGE1BMQV3F8E1TCXKD7K" hidden="1">Financial &amp; Non-#REF!</definedName>
    <definedName name="BExD24MZ6RCOIW4QM8EBYWBZ3FGX" hidden="1">Addn #REF!</definedName>
    <definedName name="BExD2PGRAQFQR76TR4M84GCI9TOX" hidden="1">SEU Func Comm by #REF!</definedName>
    <definedName name="BExD345FLWTNWLN5919CGC69OXJS" hidden="1">Addn #REF!</definedName>
    <definedName name="BExD37LGJYVJFID61F08P9GB1FNV" hidden="1">SEU Func #REF!</definedName>
    <definedName name="BExD3FOR9N7H6TPIKASJH6RB78Y8" hidden="1">SEU Driver #REF!</definedName>
    <definedName name="BExD3SVHOP1C3T2Z7DH6IBE3P843" hidden="1">SEU Func #REF!</definedName>
    <definedName name="BExD4UXT6QYCDEFJ4TR5HLDLP5GS" hidden="1">#REF!</definedName>
    <definedName name="BExD50179NSGUGLLUHX045A1AR1I" hidden="1">SEU Func #REF!</definedName>
    <definedName name="BExD5WUM2VOHW0PHHK7UU3C5G4KA" hidden="1">Addn #REF!</definedName>
    <definedName name="BExD6L9V8D6IAI4B3RW8L9XB4E9U" hidden="1">Addn #REF!</definedName>
    <definedName name="BExD6SM96QF45B1K8P5SYGG16HU7" hidden="1">Functional #REF!</definedName>
    <definedName name="BExD7ECGTP7A754YQVMXGZ6ODVJW" hidden="1">Addn #REF!</definedName>
    <definedName name="BExD7MFRXGJ499ABP7FXYAGDBVBF" hidden="1">SEU Func Area by #REF!</definedName>
    <definedName name="BExD86TI39WBFO32YV2U8JXO98P4" hidden="1">SEU Func #REF!</definedName>
    <definedName name="BExD948GWQCYXUUZQK0PIOEBV29S" hidden="1">Financial &amp; Non-#REF!</definedName>
    <definedName name="BExDC683UDAXPU8TJ720TDYW01P3" hidden="1">Addn #REF!</definedName>
    <definedName name="BExDCS3PZTHRO9F13N38ECDVNS32" hidden="1">SCG Func #REF!</definedName>
    <definedName name="BExEPN4D9U6D31SRSQ8GHI9K0EBT" hidden="1">Addn #REF!</definedName>
    <definedName name="BExEQ4I6HD9H5DM4DMM6GQ1EMDPK" hidden="1">SEU Func Comm by #REF!</definedName>
    <definedName name="BExEQPS9BRC55JZ9I5FYCQTKSEJN" hidden="1">SEU Func Area by #REF!</definedName>
    <definedName name="BExEQRVTCIBYGOUBKNVPTZHMXHFR" hidden="1">Addn #REF!</definedName>
    <definedName name="BExERDLXL02M3SL45RHTWJUPCGS8" hidden="1">#REF!</definedName>
    <definedName name="BExERK1VAXZE8JQU29QXCUMOI6E2" hidden="1">#REF!</definedName>
    <definedName name="BExERKYD3HHJGPFDI9EDNNVI2ALK" hidden="1">Addn #REF!</definedName>
    <definedName name="BExES2HHMG8HMKDE7EJU3AC0I6BR" hidden="1">Financial &amp; Non-#REF!</definedName>
    <definedName name="BExES6U1HSYY1KIDIHTNW3J42ZHS" hidden="1">Financial &amp; Non-#REF!</definedName>
    <definedName name="BExESH0UL4KHBDSX39ZAEWSMHVQY" hidden="1">Addn #REF!</definedName>
    <definedName name="BExESMV5WEZAC2GDCQ810LXIR0DY" hidden="1">SCG Func #REF!</definedName>
    <definedName name="BExETF6PXKIF0BXNH3KRJ554Y0P6" hidden="1">SEU Func Area by #REF!</definedName>
    <definedName name="BExETT4JKBXWE85124PM89EQ4DRI" hidden="1">[0]!SDGE Func #REF!</definedName>
    <definedName name="BExETWVC2ECF85WXYT8IOG6U8U18" hidden="1">#REF!</definedName>
    <definedName name="BExEUJHV8RCKINDDUZ9EKK2116MH" hidden="1">Addn #REF!</definedName>
    <definedName name="BExEUK8WG4Z6L2QA4QFT0Z8AITMS" hidden="1">Addn #REF!</definedName>
    <definedName name="BExEUOAHO8X3MF3DLWEPAW6WVNI0" hidden="1">SEU Func Area by #REF!</definedName>
    <definedName name="BExEUZDOS5IW0LBVFJWVEPY4C500" hidden="1">Addn #REF!</definedName>
    <definedName name="BExEV5Z2G00UNVZN78TCFNX15OKI" hidden="1">SEU Func Area by #REF!</definedName>
    <definedName name="BExEVFKDB3I1PGDYRBZ2S7QG9M6W" hidden="1">Addn #REF!</definedName>
    <definedName name="BExEVG0H7VPEOQHSNR964Y7Q0234" hidden="1">Addn #REF!</definedName>
    <definedName name="BExEVRZZXQNCUB14WPQ8GA48DQT3" hidden="1">Addn #REF!</definedName>
    <definedName name="BExEVXUI6PQXR3D5BE29CJJ6DV2N" hidden="1">Functional #REF!</definedName>
    <definedName name="BExEWB18OJGAK1WTLGEY7JBB9YYA" hidden="1">SEU Func #REF!</definedName>
    <definedName name="BExEWKXAR9PKJRKRQI6VK7GAUXR1" hidden="1">#REF!</definedName>
    <definedName name="BExEWM9T10EA58YE3U9SIXKEYV44" hidden="1">SEU Func #REF!</definedName>
    <definedName name="BExEXM8E0F2BQDCLAB77JFLQ0PT9" hidden="1">Functional #REF!</definedName>
    <definedName name="BExEZ0A8XICFQ6C9HWDCGUHIDXDN" hidden="1">SEU Func #REF!</definedName>
    <definedName name="BExEZ76ENXGOBF5PBXQJ70L9O2PZ" hidden="1">SEU Driver #REF!</definedName>
    <definedName name="BExEZA6AQF951QMNDZITNW6I9YF4" hidden="1">SEU Func #REF!</definedName>
    <definedName name="BExEZHTCTFHWIE5X77O7X7BXREQI" hidden="1">SCG Func #REF!</definedName>
    <definedName name="BExEZJGS1LRPE6VTO367I075MALO" hidden="1">Addn #REF!</definedName>
    <definedName name="BExEZNYMRBM329VJ6BYON8FE3A6P" hidden="1">#REF!</definedName>
    <definedName name="BExF0OISVALZJC3KCPHVSTSPJ06G" hidden="1">Addn #REF!</definedName>
    <definedName name="BExF1325NS5JVS6VT49CGOE612FK" hidden="1">SEU Func #REF!</definedName>
    <definedName name="BExF1R6P0MN4JZAT3ZF12QGYH74R" hidden="1">SCG Func #REF!</definedName>
    <definedName name="BExF22Q5GLEZIXJFJ9QNV296EVC9" hidden="1">SEU Driver by Func #REF!</definedName>
    <definedName name="BExF2DNW3LPYTH861EFEUJNG7R3Y" hidden="1">SEU Func #REF!</definedName>
    <definedName name="BExF3H2O11H0RHQ9Q7S28D9I2YFF" hidden="1">Functional #REF!</definedName>
    <definedName name="BExF3TYLWVJF9PW2Q562URNI9HS3" hidden="1">Addn #REF!</definedName>
    <definedName name="BExF3YWJ9AGH6R3FHIC5E2RHLM77" hidden="1">SEU Func #REF!</definedName>
    <definedName name="BExF3ZYEVITE9FYW53VPFQQ2F1NW" hidden="1">[0]!SDGE Func #REF!</definedName>
    <definedName name="BExF415J0OXHQZRM64F05WAGOA0A" hidden="1">SEU Func Comm by #REF!</definedName>
    <definedName name="BExF421YI6V0HJL4LMQMKBC8KI1Z" hidden="1">Financial &amp; Non-#REF!</definedName>
    <definedName name="BExF4870SD6GYYBXV19HVKQE7S50" hidden="1">Addn #REF!</definedName>
    <definedName name="BExF4JVTKGSB9I6CJ72A7TOZE4CN" hidden="1">SEU Driver by Func #REF!</definedName>
    <definedName name="BExF4SQ23FGVM2RD7ROEH120ZOSM" hidden="1">Functional #REF!</definedName>
    <definedName name="BExF579EMBCCKTQ787NH5YBB9CXI" hidden="1">SEU Driver by Func #REF!</definedName>
    <definedName name="BExF59NQZO044CZ1UDDUUT1GMGGB" hidden="1">Addn #REF!</definedName>
    <definedName name="BExF5NALJ6KWCBF2J2SJV1RAKIIA" hidden="1">[0]!SDGE Func #REF!</definedName>
    <definedName name="BExF6610V6SPKG6Y40RHAG258JBC" hidden="1">#REF!</definedName>
    <definedName name="BExF6TUPOWY2HNDNPUBPWMXJZVG1" hidden="1">Functional #REF!</definedName>
    <definedName name="BExF7AXRCV25ZBTOJ6CA7J6SRJPV" hidden="1">Addn #REF!</definedName>
    <definedName name="BExF7YREKZ9KNA4NJFZO3ZUQYEKL" hidden="1">Functional #REF!</definedName>
    <definedName name="BExGKN1EQXCDQEHXP2JYQQRYTRWK" hidden="1">Addn #REF!</definedName>
    <definedName name="BExGLHB4SQLGEEKYPK5PCSP8CXIU" hidden="1">SEU Func #REF!</definedName>
    <definedName name="BExGLKB1KMG0JUC55WOOFYX0L1QT" hidden="1">Financial &amp; Non-#REF!</definedName>
    <definedName name="BExGLQ02ITX09XCPFPXUSEY9X9O6" hidden="1">Addn #REF!</definedName>
    <definedName name="BExGLYE4J4L87N4M36NDPS2FTWGP" hidden="1">Functional #REF!</definedName>
    <definedName name="BExGM1OUGUFAEN5JAJ448R6L0DC9" hidden="1">SEU Driver #REF!</definedName>
    <definedName name="BExGM4OR6LGJ4FDHDF9B4FQLO5VG" hidden="1">#REF!</definedName>
    <definedName name="BExGMMO4PGKI0FCLLW0Y83EE49RL" hidden="1">Addn #REF!</definedName>
    <definedName name="BExGMTESDL71HXFF5HGI2UNODRJZ" hidden="1">SEU Driver by Func #REF!</definedName>
    <definedName name="BExGMVYK8MOJBCT6MO7TFJCQWCB4" hidden="1">Addn #REF!</definedName>
    <definedName name="BExGNLVTUF1UPFTN1H04SGPNRF7J" hidden="1">Functional #REF!</definedName>
    <definedName name="BExGNW803QVDQPUE9JUS0V7PM9XV" hidden="1">Addn #REF!</definedName>
    <definedName name="BExGO39MU9M3YRTE728WTLYISKF8" hidden="1">Addn #REF!</definedName>
    <definedName name="BExGO9V0UPC4EUV2KNMCLR1LECQ7" hidden="1">Addn #REF!</definedName>
    <definedName name="BExGOBCYYQ32Y05966JGP890LR5P" hidden="1">Financial &amp; Non-#REF!</definedName>
    <definedName name="BExGPJ9JSSVOEMUU1M5YPEVFX4NG" hidden="1">SEU Driver by Func #REF!</definedName>
    <definedName name="BExGPYEBZP2PJXBPRNVLPF811HK5" hidden="1">Addn #REF!</definedName>
    <definedName name="BExGQ6SGHLX1UM9L4HFT426AGHTJ" hidden="1">#REF!</definedName>
    <definedName name="BExGQOMI69EAM2G0OO7JQ9QWBGHF" hidden="1">SCG Func #REF!</definedName>
    <definedName name="BExGQXM28CAHL5P2JT4MT12AXVKQ" hidden="1">Functional #REF!</definedName>
    <definedName name="BExGR05TTS4EEK6FJB4Z1XNCU2IL" hidden="1">#REF!</definedName>
    <definedName name="BExGR2PH07U3CUHH1SJI9MSVTF4X" hidden="1">[0]!SDGE Func #REF!</definedName>
    <definedName name="BExGRCLIZJ7923TN9WTU4JZQTJYD" hidden="1">SEU Driver #REF!</definedName>
    <definedName name="BExGRNOQ1INB98JYFD7QR60QU8J0" hidden="1">Addn #REF!</definedName>
    <definedName name="BExGROABY17NJ0W01ONPLDSLT7KW" hidden="1">Addn #REF!</definedName>
    <definedName name="BExGRTDQRTVRLDLDG9M3OT7SCRYO" hidden="1">#REF!</definedName>
    <definedName name="BExGS1H2LMB6GNAYU1SO8C2A7ZCY" hidden="1">#REF!</definedName>
    <definedName name="BExGSET422SC76HGF6BD7D0Y4AJ7" hidden="1">SEU Driver by Func #REF!</definedName>
    <definedName name="BExGSJLREUNQM8QN7XF7ULBE3ABJ" hidden="1">Functional #REF!</definedName>
    <definedName name="BExGSRP2RCVSVBEI53K7SAI5Q9PI" hidden="1">SCG Func #REF!</definedName>
    <definedName name="BExGSU3EO2DALPTV06MEXU0DGFQC" hidden="1">SEU Func #REF!</definedName>
    <definedName name="BExGT9TRBEXEWQ0B9KXJX7Z5UJRY" hidden="1">Financial &amp; Non-#REF!</definedName>
    <definedName name="BExGTBMJUADXPOUCEYU665THGQO2" hidden="1">Functional #REF!</definedName>
    <definedName name="BExGTIITSO78YF6RR73QHWEYK87U" hidden="1">Addn #REF!</definedName>
    <definedName name="BExGUAOWJHFLPH9QVH93IOYVKOMO" hidden="1">[0]!SDGE Func #REF!</definedName>
    <definedName name="BExGUGJ7JW4B1Q93WL3HH2XKDWXW" hidden="1">Addn #REF!</definedName>
    <definedName name="BExGUOBXX25SLEUMAHTMBBD37IF8" hidden="1">SCG Func #REF!</definedName>
    <definedName name="BExGV83UEDIYPPYAFYK850MTRA20" hidden="1">#REF!</definedName>
    <definedName name="BExGVWU3I1N98ZJLT37NV6U7MU41" hidden="1">Addn #REF!</definedName>
    <definedName name="BExGVXVSDMTHO66SM4TYGELLKBHR" hidden="1">SCG Func #REF!</definedName>
    <definedName name="BExGW1XJNF8ZA5174XEG2T1BA0LK" hidden="1">#REF!</definedName>
    <definedName name="BExGX3E1UUGUNWM7H46KUNH1G7V9" hidden="1">SEU Func Area by #REF!</definedName>
    <definedName name="BExGXFDNXOOKOD5MZTQ0KVDF4N34" hidden="1">#REF!</definedName>
    <definedName name="BExGXNX1TWG5GTUBXCTBTF1B4KJV" hidden="1">Financial &amp; Non-#REF!</definedName>
    <definedName name="BExGXQM6KA3CYNQRFGYQ73WXXG17" hidden="1">[0]!SDGE Func #REF!</definedName>
    <definedName name="BExGXX7JK0MPSZQT0YGZ8WBGKX1B" hidden="1">Addn #REF!</definedName>
    <definedName name="BExGY55KGVQABF1JSG4UW8ZYF0V0" hidden="1">Addn #REF!</definedName>
    <definedName name="BExGY7ZZ56Z6VYPBCD3UONC4EJZG" hidden="1">Functional #REF!</definedName>
    <definedName name="BExGY9CMOVKAA1T7PZKIYJK1B21L" hidden="1">Addn #REF!</definedName>
    <definedName name="BExGYKL4E6PDS7BORYW6OIYDZ08D" hidden="1">#REF!</definedName>
    <definedName name="BExGZANU0NKBR7BENVVONMA3G9VH" hidden="1">Functional #REF!</definedName>
    <definedName name="BExGZE3V7GJL3EY0JX5GX8MBWN8U" hidden="1">SEU Func Comm by #REF!</definedName>
    <definedName name="BExGZEPFQH1LIB70VVOS2H2BZGAG" hidden="1">SEU Driver #REF!</definedName>
    <definedName name="BExGZHJZPD8DKFQ3732QJAL8QVXT" hidden="1">Addn #REF!</definedName>
    <definedName name="BExGZJ1XKN2W09Q7JR3W6MM4STLQ" hidden="1">Financial &amp; Non-#REF!</definedName>
    <definedName name="BExGZQZS6V2URKO3EIGKOOVHUU3H" hidden="1">Addn #REF!</definedName>
    <definedName name="BExH0IKGVHOBJIDPCZHJ479O3SRP" hidden="1">SEU Func #REF!</definedName>
    <definedName name="BExH1YKD2I1DBVJNDJET8J83W122" hidden="1">[0]!SDGE Func #REF!</definedName>
    <definedName name="BExH2CY9K2FSWO15D9QFCTPUHA9H" hidden="1">Addn #REF!</definedName>
    <definedName name="BExH2D91ZFWCDB3SI5A50B000FVX" hidden="1">Addn #REF!</definedName>
    <definedName name="BExH2YZ94P6CDZWU4OBA137L6UHO" hidden="1">SEU Func #REF!</definedName>
    <definedName name="BExH3P7DTX62RPMIDHX5GI04FYKQ" hidden="1">Functional #REF!</definedName>
    <definedName name="BExH4ETUSFTMPBY6PV1SWMC6QX5G" hidden="1">#REF!</definedName>
    <definedName name="BExIFSCMTI0FAJ8EV2XHIBYCOK6I" hidden="1">Addn #REF!</definedName>
    <definedName name="BExIH2T1CRIPNN2YFR7GOWLYEA52" hidden="1">SCG Func #REF!</definedName>
    <definedName name="BExIH2T1IY9JQEUFBZ4JLOJV0TG5" hidden="1">Functional #REF!</definedName>
    <definedName name="BExIHGAIUBSYBR9A804NA3TRM4S8" hidden="1">#REF!</definedName>
    <definedName name="BExIHZRVCSHLCGDXWK8U6MU55AB7" hidden="1">SEU Func #REF!</definedName>
    <definedName name="BExII4VA48OXWGVJF9IBSMUY9V98" hidden="1">Functional #REF!</definedName>
    <definedName name="BExII7EXHAHJM240CRUWBO9962O7" hidden="1">Addn #REF!</definedName>
    <definedName name="BExIITW628XK67X2U1OPK4J84ZEV" hidden="1">#REF!</definedName>
    <definedName name="BExIJ7DPBEAMQ0MSR84W0UBZWEGS" hidden="1">SEU Func #REF!</definedName>
    <definedName name="BExIJA84K6XVD5SKJPK4SV2P73TB" hidden="1">#REF!</definedName>
    <definedName name="BExIJNPMVEY41OWJGVYMC94PWIYE" hidden="1">Addn #REF!</definedName>
    <definedName name="BExIJPIDP9JV8OJLIDAYGPANDFSY" hidden="1">Financial &amp; Non-#REF!</definedName>
    <definedName name="BExIJPNPAAVDZH0GGK1FKGQPZZSM" hidden="1">#REF!</definedName>
    <definedName name="BExIK1HYH5WNNXHXQ1OWPYCTHU72" hidden="1">Addn #REF!</definedName>
    <definedName name="BExIKEZJKO4ZEDFGQII0YK1U11JZ" hidden="1">#REF!</definedName>
    <definedName name="BExIKRKOIS45NJ5YKIDVWPQOYOL9" hidden="1">Addn #REF!</definedName>
    <definedName name="BExIL4B5GFRFNQH8Q8AMHVEHCUZO" hidden="1">Functional #REF!</definedName>
    <definedName name="BExIL4GLR59EU0W87F88F2QG1Z8O" hidden="1">#REF!</definedName>
    <definedName name="BExILAR1ZPEWM5YR24H92C0JDRRN" hidden="1">Addn #REF!</definedName>
    <definedName name="BExILDATS6PRT5N7FTAWPKOBH5B7" hidden="1">#REF!</definedName>
    <definedName name="BExILWHDUF5X53U4Q4U0I1JKVVE5" hidden="1">Functional #REF!</definedName>
    <definedName name="BExIM4VIKFX1GI2KS4JBBQD4OZC4" hidden="1">Addn #REF!</definedName>
    <definedName name="BExIMC2EV8MZFYH202AYX95VN5T4" hidden="1">Functional #REF!</definedName>
    <definedName name="BExIMQ5KZ1K5TTI03C4VA04B2U57" hidden="1">Functional #REF!</definedName>
    <definedName name="BExIN13AVDPXLS4PF4Z9M9G1Z76E" hidden="1">SEU Func #REF!</definedName>
    <definedName name="BExIND86ZS4TEVYV6ZK18DKTBFIO" hidden="1">SEU Driver by Func #REF!</definedName>
    <definedName name="BExIO8P4YOIMV1JAWVAZ4DO6021M" hidden="1">Addn #REF!</definedName>
    <definedName name="BExIP5D60RQDO1HRB19L6DCT83H4" hidden="1">Addn #REF!</definedName>
    <definedName name="BExIPBNM3CSLE9YV7LOT0R11MJBI" hidden="1">Addn #REF!</definedName>
    <definedName name="BExIQ92Q0519J5MJF4MW49ZAAUV6" hidden="1">SCG Func #REF!</definedName>
    <definedName name="BExIQEM98FHB6XHBDY1JFPRGK4MD" hidden="1">Addn #REF!</definedName>
    <definedName name="BExIQK0GFOIXW53793KMLA7DSQWI" hidden="1">Addn #REF!</definedName>
    <definedName name="BExIQS98Y1Q64V6T2E9KQVFOKVI8" hidden="1">Addn #REF!</definedName>
    <definedName name="BExIQTG93KR7ME8UBCBGVA6APZ6M" hidden="1">SEU Driver by Func #REF!</definedName>
    <definedName name="BExIR9SCR713IFP0WZBGWVXN92JA" hidden="1">SEU Func #REF!</definedName>
    <definedName name="BExIRG2YB6U8XHVW0HAGK8L4KEYV" hidden="1">Addn #REF!</definedName>
    <definedName name="BExIRL0WRAH90TEKQ2PU8MXBVPBM" hidden="1">#REF!</definedName>
    <definedName name="BExIRNVGNU73CEF6ALOGYUNOW0U7" hidden="1">SCG Func #REF!</definedName>
    <definedName name="BExIRVO0QSGCASW0AWUQM10DO92I" hidden="1">Addn #REF!</definedName>
    <definedName name="BExIS0WSQ5Z8QJQFTZYMXQZN5YCN" hidden="1">SEU Driver by Func #REF!</definedName>
    <definedName name="BExIS4YIQALZA992UXXBU4JDFBGM" hidden="1">Addn #REF!</definedName>
    <definedName name="BExISG72A6BHVE3NBQVTYPSLT7KB" hidden="1">Addn #REF!</definedName>
    <definedName name="BExITABBUGATHQ5Y5MAOQP5SH17Q" hidden="1">SEU Func #REF!</definedName>
    <definedName name="BExITARJVCVQ5G6KQDP88RC6QHCY" hidden="1">SEU Driver by Func #REF!</definedName>
    <definedName name="BExITBIGWP0MJPJSN8IZU3RMEAWJ" hidden="1">Addn #REF!</definedName>
    <definedName name="BExITOP7O4BSUW087EKMYLKB4UXR" hidden="1">Addn #REF!</definedName>
    <definedName name="BExIUBXHE3WUI9QDGCGHET2XGDAL" hidden="1">Addn #REF!</definedName>
    <definedName name="BExIV8QOQ84LJ5PXUX5MI80QGD5Q" hidden="1">SEU Driver #REF!</definedName>
    <definedName name="BExIW726IGZYRA6TJ5ZLKE7ABQG8" hidden="1">Addn #REF!</definedName>
    <definedName name="BExIWEJX25D5FZQI9Z7LS76QACOK" hidden="1">SEU Func #REF!</definedName>
    <definedName name="BExIWX4QUS8GZI89PS41C2PO12UH" hidden="1">#REF!</definedName>
    <definedName name="BExIXEYRZT15Z6D54TJWMF3SWCQP" hidden="1">SEU Driver #REF!</definedName>
    <definedName name="BExIXNCWXXNR81ZIR70WT7ST77V6" hidden="1">#REF!</definedName>
    <definedName name="BExIXR95Q2IRU8YKZAQATRN0FWV6" hidden="1">Addn #REF!</definedName>
    <definedName name="BExIXZ1KHL3SNHLFECYBDHKZ6U46" hidden="1">Financial &amp; Non-#REF!</definedName>
    <definedName name="BExIXZXWB0BZMJ1121LAL9FZAMPY" hidden="1">#REF!</definedName>
    <definedName name="BExIXZY37U9ICT1J1TGVVPDR0J6T" hidden="1">Addn #REF!</definedName>
    <definedName name="BExIYBS6OBX000CKF26KUVT6PKXL" hidden="1">[0]!SDGE Func #REF!</definedName>
    <definedName name="BExIYHH6IUOGFPR0AUG0J2X3E6P1" hidden="1">SEU Func #REF!</definedName>
    <definedName name="BExIZ6STDECZVLI5IBZWNWSATJ4K" hidden="1">#REF!</definedName>
    <definedName name="BExIZ7954XTG6TZNHLKX4KDKM9AL" hidden="1">[0]!SDGE Func #REF!</definedName>
    <definedName name="BExIZL6QTBF2FNZRHMADQY6XGJNX" hidden="1">[0]!SDGE Func #REF!</definedName>
    <definedName name="BExJ0K955EICJ1YH4ZJN1EIAPCZU" hidden="1">#REF!</definedName>
    <definedName name="BExKDX3VKK7MG2TKGKAVMP2ALL86" hidden="1">SEU Driver by Func #REF!</definedName>
    <definedName name="BExKESQ2K3X7U1M7WJDWS8NN1TYL" hidden="1">Addn #REF!</definedName>
    <definedName name="BExKF1KFA6ISNT7S5JBN7SJ6HN1G" hidden="1">#REF!</definedName>
    <definedName name="BExKFMZTST3O2X2Y679VNNJ5G5IT" hidden="1">Addn #REF!</definedName>
    <definedName name="BExKFY31TCY75OMUQNG8CGUAAIZH" hidden="1">SEU Func #REF!</definedName>
    <definedName name="BExKGB4BKOPM9LE0VKOE03YHIQQM" hidden="1">[0]!SDGE Func #REF!</definedName>
    <definedName name="BExKGK414LP3SF9H998WCWSOZ2RF" hidden="1">SEU Func Comm by #REF!</definedName>
    <definedName name="BExKGYCEMSXID5NF8FBMWC5E4K2K" hidden="1">SEU Func #REF!</definedName>
    <definedName name="BExKH58LCFIHH716PTTOB278LXGP" hidden="1">SEU Func Area by #REF!</definedName>
    <definedName name="BExKH8DY8MFUAOSM43HQ8ZLUIYDQ" hidden="1">SEU Func Comm by #REF!</definedName>
    <definedName name="BExKHZICQ1E9QB703OWB9P9TA3GE" hidden="1">#REF!</definedName>
    <definedName name="BExKI5I5KMP8GK5LXTIJRDIZI45R" hidden="1">Financial &amp; Non-#REF!</definedName>
    <definedName name="BExKI6PB6I40BP844JARMGLG2SEB" hidden="1">SEU Func Comm by #REF!</definedName>
    <definedName name="BExKIQXJ967YLRAPFPZG794BH5FH" hidden="1">#REF!</definedName>
    <definedName name="BExKJ449OV40VVKF65OXB94QVZRT" hidden="1">[0]!SDGE Func #REF!</definedName>
    <definedName name="BExKJDK7IFNOH6RPBUJFQZKBG9OH" hidden="1">#REF!</definedName>
    <definedName name="BExKJQWAL54M0GRP4G9LT5MZ4OMD" hidden="1">Functional #REF!</definedName>
    <definedName name="BExKJSP190NZYQ5XVLKC55XXONA5" hidden="1">Financial &amp; Non-#REF!</definedName>
    <definedName name="BExKK133OOFMQ7OWQCIX64AAKG2L" hidden="1">Functional #REF!</definedName>
    <definedName name="BExKK2VV978E5BT67CQZMWKW3LM0" hidden="1">SEU Driver #REF!</definedName>
    <definedName name="BExKKKPT0RT08PFXTO1TW4GD4O72" hidden="1">Financial &amp; Non-#REF!</definedName>
    <definedName name="BExKKQ3YKPG0QQ2CCOWY5FOQL6XM" hidden="1">Functional #REF!</definedName>
    <definedName name="BExKL9FUJ2MAP5ZX5Z9FRXDH8NYC" hidden="1">Addn #REF!</definedName>
    <definedName name="BExKM8YAU64ZSHWSTOSVCXXSSCW3" hidden="1">Addn #REF!</definedName>
    <definedName name="BExKML3DLDIN5KIOOVS39URB556K" hidden="1">SEU Driver #REF!</definedName>
    <definedName name="BExKNYOZYS7I7HLZ129C2GRARZ16" hidden="1">Addn #REF!</definedName>
    <definedName name="BExKP7Y39UUGJ27U56FD2ME1KEP8" hidden="1">#REF!</definedName>
    <definedName name="BExKPRKVLJ5V59B8JWBKL52I9LUS" hidden="1">SEU Driver #REF!</definedName>
    <definedName name="BExKQ0F2NKVWWZKV3BGXGP4M2VAB" hidden="1">Financial &amp; Non-#REF!</definedName>
    <definedName name="BExKQ8NVLIT2Y22ECVW8NVPOMRIS" hidden="1">Addn #REF!</definedName>
    <definedName name="BExKR1VTU35AA8MJSWNOC03YM1QJ" hidden="1">Functional #REF!</definedName>
    <definedName name="BExKR8RYW6MVQ90YGUFXYV8L34Y9" hidden="1">Addn #REF!</definedName>
    <definedName name="BExKRWQXIQ0Z9KBXHOCWW79NEIMQ" hidden="1">SEU Driver by Func #REF!</definedName>
    <definedName name="BExKS6N0RWV8M0L0SWKOTCW30V6N" hidden="1">SCG Func #REF!</definedName>
    <definedName name="BExKS73AFX6IOPJ24COHC5Y30145" hidden="1">Addn #REF!</definedName>
    <definedName name="BExKTCLKTZQTBMY9VWLXLV0JMA9G" hidden="1">SCG Func #REF!</definedName>
    <definedName name="BExKTWOHI8PDZ0JPTTE7Q0RFDQ6A" hidden="1">SEU Func Comm by #REF!</definedName>
    <definedName name="BExKU39VGJLLYZIYK7152IIOF3QO" hidden="1">Functional #REF!</definedName>
    <definedName name="BExKU8YVHGSXISXM3VLI5L8DZB9M" hidden="1">Addn #REF!</definedName>
    <definedName name="BExKUBTB0I4XX7MY353FZD37JTT1" hidden="1">Addn #REF!</definedName>
    <definedName name="BExKUCPN5NTM52SNK7EI4BW9SB8G" hidden="1">Addn #REF!</definedName>
    <definedName name="BExKVDVJGVVKQQE2R9K79IPYV84K" hidden="1">Functional #REF!</definedName>
    <definedName name="BExM8ZKH3UP9P5WJASC50S8LP664" hidden="1">Addn #REF!</definedName>
    <definedName name="BExMAJRGSIR6B60AL6WX7A4LRW60" hidden="1">Functional #REF!</definedName>
    <definedName name="BExMAL43YJRRMMRTLS9A2ADQ7ARN" hidden="1">Addn #REF!</definedName>
    <definedName name="BExMAY020KM1KV6VF6ECNR54F8H4" hidden="1">Financial &amp; Non-#REF!</definedName>
    <definedName name="BExMAYWEZTCCJHQMGTDJ1A37YU7A" hidden="1">Addn #REF!</definedName>
    <definedName name="BExMB1QV9QK0ZMI45WS9BP5AFQ6O" hidden="1">SEU Driver by Func #REF!</definedName>
    <definedName name="BExMCGZWH8JESXBU5FKRQLUIGD7H" hidden="1">SEU Func #REF!</definedName>
    <definedName name="BExMCYTRQZAN58T3JVVUKN00G8TA" hidden="1">#REF!</definedName>
    <definedName name="BExMDJ7HH09S5OF6ZSLZ3GNDIQPI" hidden="1">SEU Driver #REF!</definedName>
    <definedName name="BExMDJT23FOO7CHLLHTC90FO8HTA" hidden="1">Addn #REF!</definedName>
    <definedName name="BExMDPY5F5XZH8HO45T0GJBQLNMS" hidden="1">SCG Func #REF!</definedName>
    <definedName name="BExMDUAP2EQI3Q78L0SAFXFLPT4B" hidden="1">Functional #REF!</definedName>
    <definedName name="BExME7MQDJ65NPFDCI9ZJHESAOUO" hidden="1">Functional #REF!</definedName>
    <definedName name="BExMEB88ZSSHONPYPVQVLMI087MN" hidden="1">[0]!SDGE Func #REF!</definedName>
    <definedName name="BExMEBZAZ4NPJIN5YIPCHXTCLUYU" hidden="1">Financial &amp; Non-#REF!</definedName>
    <definedName name="BExMEJ69PEOYTY3JH5Y4HI9K37HM" hidden="1">Addn #REF!</definedName>
    <definedName name="BExMELPVH2A780R1BZF94B61NNLT" hidden="1">Functional #REF!</definedName>
    <definedName name="BExMENTE6VDOIFDN6E9OIT1X7FRI" hidden="1">Financial &amp; Non-#REF!</definedName>
    <definedName name="BExMF577SWU21FLNEOG8Z1LSXW4W" hidden="1">SEU Driver by Func #REF!</definedName>
    <definedName name="BExMFQS24YQ73TYXUC3VX2I26SPH" hidden="1">#REF!</definedName>
    <definedName name="BExMGB5KXY2V8JJBY1BUP25IL7PZ" hidden="1">#REF!</definedName>
    <definedName name="BExMGF7C01Z9U7YMYJAUV3N1M222" hidden="1">Addn #REF!</definedName>
    <definedName name="BExMGOXWQY72Q42XUVNBNJ68SCWL" hidden="1">SEU Func #REF!</definedName>
    <definedName name="BExMGPOYUC1P4H867BRSI49M7XN4" hidden="1">Functional #REF!</definedName>
    <definedName name="BExMGQQSKI22L90LKX7J7R8IJTYN" hidden="1">[0]!SDGE Func #REF!</definedName>
    <definedName name="BExMGS39V91P6N8K89TBHIK11NXN" hidden="1">SCG Func #REF!</definedName>
    <definedName name="BExMH1TVNP5HF1BRYTLXIDDKOZ6S" hidden="1">Addn #REF!</definedName>
    <definedName name="BExMHDO5Q50GZZG66W4JZ17HQPJ6" hidden="1">Addn #REF!</definedName>
    <definedName name="BExMHHPRC496VAFBZBHWJ2Q8RAY2" hidden="1">Addn #REF!</definedName>
    <definedName name="BExMHIM2IX8RUQZ8XXGJRV8VASYM" hidden="1">Addn #REF!</definedName>
    <definedName name="BExMHQ3UNCVIBIXHPQMSNULHFRZJ" hidden="1">#REF!</definedName>
    <definedName name="BExMHZZWCUW2LAKE6DQCGOIO6UNL" hidden="1">SEU Func #REF!</definedName>
    <definedName name="BExMI9VX7UHKIXM5WADK6NYN15DD" hidden="1">SEU Driver by Func #REF!</definedName>
    <definedName name="BExMIFA55ROTS3LTP0KD4HNJ4KNM" hidden="1">Addn #REF!</definedName>
    <definedName name="BExMJLOTJ54L4YM3YNGCNJ05Z06B" hidden="1">#REF!</definedName>
    <definedName name="BExMJXTQCAKQTOWFNWVOYBSD2E3H" hidden="1">Addn #REF!</definedName>
    <definedName name="BExMK7V8LGPSGPADE34UVO11KCDN" hidden="1">Addn #REF!</definedName>
    <definedName name="BExMKQAQ0OOXUQQNP16IW04CB31T" hidden="1">Financial &amp; Non-#REF!</definedName>
    <definedName name="BExML135M2OMCP27UTB2EE8RHL6J" hidden="1">Addn #REF!</definedName>
    <definedName name="BExML4TY6P9PJ1AH1XDQGD5C68F2" hidden="1">#REF!</definedName>
    <definedName name="BExMM0WFG8G3KB0OASCLL5AC0ONW" hidden="1">SEU Func Comm by #REF!</definedName>
    <definedName name="BExMM1HZVEP4G5J4DX615ZSFMQUZ" hidden="1">Functional #REF!</definedName>
    <definedName name="BExMMNTRRKO04772SBFDMS83UJFW" hidden="1">Addn #REF!</definedName>
    <definedName name="BExMMOA1RQU6F8AW993D1AV8FS83" hidden="1">Functional #REF!</definedName>
    <definedName name="BExMNAAZN51CLJDY28X4R17SL7DY" hidden="1">SCG Func #REF!</definedName>
    <definedName name="BExMNB7CXH6Z415JA8NXAQTTWE6F" hidden="1">Functional #REF!</definedName>
    <definedName name="BExMNDAX5P2SPZLWT664PLCI91A1" hidden="1">Functional #REF!</definedName>
    <definedName name="BExMNGWDVOO76VO30FKCO8J0OCCC" hidden="1">SEU Func #REF!</definedName>
    <definedName name="BExMNPAGCU6O5FM90I5DQNXTDLU6" hidden="1">[0]!SDGE Func #REF!</definedName>
    <definedName name="BExMNZS3Y02ZU55HR88AN6OIBHNO" hidden="1">SEU Driver #REF!</definedName>
    <definedName name="BExMO5X7UFE5OT76GT4ZZJOLG4M8" hidden="1">Financial &amp; Non-#REF!</definedName>
    <definedName name="BExMOHM0XU316F0O6JVHM10XKMNM" hidden="1">Addn #REF!</definedName>
    <definedName name="BExMOOSY6RU55NYNTNDFRW0VNJ8R" hidden="1">SCG Func #REF!</definedName>
    <definedName name="BExMP1UCX5RBULDAEQQRH40M55B0" hidden="1">#REF!</definedName>
    <definedName name="BExMPC13DPCNW7JITTX6YD0FA6XQ" hidden="1">Addn #REF!</definedName>
    <definedName name="BExMPP7U4PC4FO9ST6JRYVV57T4W" hidden="1">Financial &amp; Non-#REF!</definedName>
    <definedName name="BExMQ4NLEEZ3RE0WXCQS3UISSFC2" hidden="1">Addn #REF!</definedName>
    <definedName name="BExMQ6ATGDBCHCFPL4LNQH0G3C3Q" hidden="1">SEU Driver #REF!</definedName>
    <definedName name="BExMQJSCDCUXDSNTD1B9LXMPUQ4T" hidden="1">SCG Func #REF!</definedName>
    <definedName name="BExMQRKWQ4GCVSBUJBM4509XR0I6" hidden="1">#REF!</definedName>
    <definedName name="BExMQZDFM6REC1CIHLIWOO0S42A2" hidden="1">SEU Func #REF!</definedName>
    <definedName name="BExMR6EWCY52W01QZQOLBFTR124J" hidden="1">SEU Driver by Func #REF!</definedName>
    <definedName name="BExMRKY9QK5LV0WQSEVF1NEPLY2I" hidden="1">SEU Driver by Func #REF!</definedName>
    <definedName name="BExMRTSGRYVIP5AR6LCTRF8D71KA" hidden="1">Addn #REF!</definedName>
    <definedName name="BExMSEX7XWOZM8GVFKRFEQBGHXOA" hidden="1">SEU Driver by Func #REF!</definedName>
    <definedName name="BExMSKGR674YUIEMWAXOD5HI4J7B" hidden="1">SEU Driver #REF!</definedName>
    <definedName name="BExO60WZVOCTJPE1IXJG0XGYZJNT" hidden="1">SEU Func Area by #REF!</definedName>
    <definedName name="BExO6129YAWMR7HOVBDF4LQNVP66" hidden="1">SEU Driver #REF!</definedName>
    <definedName name="BExO62441253JG7FUJDWJJSMTWPM" hidden="1">SEU Driver #REF!</definedName>
    <definedName name="BExO62PQIHHOY2AMT4DS5R4X2GDE" hidden="1">#REF!</definedName>
    <definedName name="BExO6FG76JG938WZ4VRW3DWP3453" hidden="1">#REF!</definedName>
    <definedName name="BExO6VMUCMFBCMVG250D3SD90Q0P" hidden="1">Addn #REF!</definedName>
    <definedName name="BExO74XBR05Z3OFEINK71ZZNGEIN" hidden="1">[0]!SDGE Func #REF!</definedName>
    <definedName name="BExO7ABJCC5RO5ZRFO3EALA6E26V" hidden="1">SEU Func Area by #REF!</definedName>
    <definedName name="BExO7IPN407OSZ4D26UTUGXWY1L2" hidden="1">Addn #REF!</definedName>
    <definedName name="BExO7QI6R622VVAMNZSEVHADGAW4" hidden="1">SEU Func Area by #REF!</definedName>
    <definedName name="BExO7ZSNWDHCVH0VQ4UKOGZ520HS" hidden="1">SEU Func Comm by #REF!</definedName>
    <definedName name="BExO82SKFIERVB1ZNP4AC82M8YUP" hidden="1">#REF!</definedName>
    <definedName name="BExO8AA9S369RFL3XGH097ZQX2FJ" hidden="1">SEU Driver by Func #REF!</definedName>
    <definedName name="BExO8RYVNYD1T7M7F0JW2TXZLTP3" hidden="1">[0]!SDGE Func #REF!</definedName>
    <definedName name="BExO9504J9X5SXORSOTXW0PT59JX" hidden="1">Financial &amp; Non-#REF!</definedName>
    <definedName name="BExO955HS210TLM0L428N4017JNQ" hidden="1">#REF!</definedName>
    <definedName name="BExO9HAIWSP2HKRMYQK5HSJJRXB5" hidden="1">[0]!SDGE Func #REF!</definedName>
    <definedName name="BExO9JU5FRFZS8VOCWSHGOCNPRUO" hidden="1">SEU Driver #REF!</definedName>
    <definedName name="BExO9TVPELHSSYFNE9H2Q12VARJ8" hidden="1">Functional #REF!</definedName>
    <definedName name="BExOA069IYGEKQJUMRNZAUYGHYEV" hidden="1">Addn #REF!</definedName>
    <definedName name="BExOA24AWI5P528WA2MG9XPJ10L9" hidden="1">Addn #REF!</definedName>
    <definedName name="BExOAN8WWRQQ821CN5CAUAUS1H3H" hidden="1">Addn #REF!</definedName>
    <definedName name="BExOAZZISMSAAP3ZVSJOPBGSEBYJ" hidden="1">Addn #REF!</definedName>
    <definedName name="BExOBDGX77AE6KDSC3Q8QBAKF7OZ" hidden="1">SEU Driver #REF!</definedName>
    <definedName name="BExOBFF4KANUZYUK37E4232RPCZ5" hidden="1">SEU Func Area by #REF!</definedName>
    <definedName name="BExOBPB6HWKPTKGSF2NVW5BFY089" hidden="1">Addn #REF!</definedName>
    <definedName name="BExOBT1YWRS72JU43NBHNLN3MX37" hidden="1">Functional #REF!</definedName>
    <definedName name="BExOCBHLUOJJ3UA543C0845URN9O" hidden="1">#REF!</definedName>
    <definedName name="BExOCI8BCYE5VOS7SW59CHPXQXD3" hidden="1">Functional #REF!</definedName>
    <definedName name="BExOCYKA8C9LCJZ97HE642EHO6MV" hidden="1">#REF!</definedName>
    <definedName name="BExOCZ0IZA0NXKV7K1DZEZBNRTDZ" hidden="1">[0]!SDGE Func #REF!</definedName>
    <definedName name="BExOCZ0J5OGJ1P4AGO1KSRW4EGU9" hidden="1">Addn #REF!</definedName>
    <definedName name="BExOD3YNCD55OGF8FWVKI8E6ZHCX" hidden="1">Addn #REF!</definedName>
    <definedName name="BExODLSK4AXZMT0UQ7308DJ25A3X" hidden="1">Addn #REF!</definedName>
    <definedName name="BExODTVTSFDRYVKXVTZMAYROJNAC" hidden="1">Addn #REF!</definedName>
    <definedName name="BExOEATEHRPAAW59WRPVUXCSXWWM" hidden="1">Financial &amp; Non-#REF!</definedName>
    <definedName name="BExOECBC8K6R5WJMBKLK19FVPEIH" hidden="1">#REF!</definedName>
    <definedName name="BExOESNA0H1NRV4Z3HXFZAV6JNPO" hidden="1">SEU Driver by Func #REF!</definedName>
    <definedName name="BExOEWZU6X5T9E578SELNVKF8IT1" hidden="1">#REF!</definedName>
    <definedName name="BExOF6VWZ97OQ1MXBL3NB7Z9GHAD" hidden="1">SEU Func #REF!</definedName>
    <definedName name="BExOFNINR8MYGMZJAJWXQT3V0DRI" hidden="1">#REF!</definedName>
    <definedName name="BExOFYR5NL8NL19S6KEG4ONIU4H4" hidden="1">SEU Func Comm by #REF!</definedName>
    <definedName name="BExOG106RFCPYHFQJP0S6YDXA8WY" hidden="1">Financial &amp; Non-#REF!</definedName>
    <definedName name="BExOG63K269Z3JX8RAXAOV5RFA6S" hidden="1">SEU Func Comm by #REF!</definedName>
    <definedName name="BExOG8HWP4K3ABV2RW47ERMG54WX" hidden="1">SEU Func #REF!</definedName>
    <definedName name="BExOG8SO9ZNSX3LX33TCRGER0FC5" hidden="1">Addn #REF!</definedName>
    <definedName name="BExOGGL7DY6KAFJ3BT9C5DDB2DMN" hidden="1">#REF!</definedName>
    <definedName name="BExOGUDJ29BYVV2DFL766H2VHS9P" hidden="1">Addn #REF!</definedName>
    <definedName name="BExOGXO35C5VQTEPYOMAXTTGK35G" hidden="1">Functional #REF!</definedName>
    <definedName name="BExOHGUL493OFL92WUO5941UNVAF" hidden="1">#REF!</definedName>
    <definedName name="BExOHJZZKRW8MLWKB8ZPBTDFT1NN" hidden="1">Functional #REF!</definedName>
    <definedName name="BExOJ4XVI6RIYLYK2Z74M5KI02TX" hidden="1">#REF!</definedName>
    <definedName name="BExOJEOL8KHOSO8KJA1RDXFGIAC7" hidden="1">SEU Driver by Func #REF!</definedName>
    <definedName name="BExOJJ6GSDEMS1GWKT2EHSUUP616" hidden="1">Addn #REF!</definedName>
    <definedName name="BExOK5I6MPNO5GXXJQESFQBM82FB" hidden="1">Addn #REF!</definedName>
    <definedName name="BExOKB76IASP45CDFUS9NBC6S8ID" hidden="1">#REF!</definedName>
    <definedName name="BExOKCJURL6UU68VOLAM5OSCNJUV" hidden="1">[0]!SDGE Func #REF!</definedName>
    <definedName name="BExOLEGH73PP7GBMUFDRSXY7QCGF" hidden="1">Addn #REF!</definedName>
    <definedName name="BExOM0C3ZT7OZ02ETIUHWUYMX0RH" hidden="1">#REF!</definedName>
    <definedName name="BExONUPYFRBOE82K597FNCKB2HNV" hidden="1">SEU Func #REF!</definedName>
    <definedName name="BExOOGLMRXXY80EY8PMUW7M6NGBT" hidden="1">Functional #REF!</definedName>
    <definedName name="BExOQAU418SOUHRKKHCQ7XH3N1UG" hidden="1">#REF!</definedName>
    <definedName name="BExQ2YIINOU9OPZUELI88344M3RN" hidden="1">SEU Driver by Func #REF!</definedName>
    <definedName name="BExQ3EZXMYF6SC2MDLM85CBCD7NU" hidden="1">SEU Func #REF!</definedName>
    <definedName name="BExQ3LLAZX8BH6YDVV2IJ97BR385" hidden="1">Addn #REF!</definedName>
    <definedName name="BExQ3VMNX0N9RDUPVIRP8O2P94JM" hidden="1">#REF!</definedName>
    <definedName name="BExQ3XFEYJSJLWP8XJNQY5ER1QTA" hidden="1">Addn #REF!</definedName>
    <definedName name="BExQ3ZTP2E66EKF82DXHNW6OWQVU" hidden="1">Addn #REF!</definedName>
    <definedName name="BExQ4AWYCTIYAGZI30IIHJRMK9QG" hidden="1">SEU Func #REF!</definedName>
    <definedName name="BExQ4CPOM6QGR639Q3KY4ECMC332" hidden="1">SCG Func #REF!</definedName>
    <definedName name="BExQ4F9B38CP2K9VITUCWBF1V0CS" hidden="1">Addn #REF!</definedName>
    <definedName name="BExQ4I9DCQNTO5R0AAS2BVIQ0LU0" hidden="1">Addn #REF!</definedName>
    <definedName name="BExQ4MG9P145QUW5CV2HFKQNQIPD" hidden="1">SCG Func #REF!</definedName>
    <definedName name="BExQ4Q77K0YR2IE6YWVW9WWVOXVJ" hidden="1">Addn #REF!</definedName>
    <definedName name="BExQ4QNIBAMQ3SZ3YUJTHQ453ECA" hidden="1">[0]!SDGE Func #REF!</definedName>
    <definedName name="BExQ50E33GY7AGKBQS7CUT71NA7V" hidden="1">Functional #REF!</definedName>
    <definedName name="BExQ51A9NLA2Z0BHSZ3HH003DUV6" hidden="1">#REF!</definedName>
    <definedName name="BExQ6RBQUCKWWHR49B00BM7NJKBU" hidden="1">SEU Driver #REF!</definedName>
    <definedName name="BExQ7H8Z4JZEKV7DKRN8IR7L8LN4" hidden="1">SEU Driver by Func #REF!</definedName>
    <definedName name="BExQ7M718ZLUNZ31YFPZU417O6AS" hidden="1">Addn #REF!</definedName>
    <definedName name="BExQ7YS7NL71BNL8X2TPIZ4UFABT" hidden="1">SCG Func #REF!</definedName>
    <definedName name="BExQ88OA9QG61T9Y6ICP4LHO80L4" hidden="1">#REF!</definedName>
    <definedName name="BExQ8P082ADH0GHYHNAS5H76LODT" hidden="1">Addn #REF!</definedName>
    <definedName name="BExQ8ZN66PYJPS4NA56Y8ZW76WHA" hidden="1">SEU Driver #REF!</definedName>
    <definedName name="BExQ9KH5NBG3I2WC91XLCXADHCY8" hidden="1">Addn #REF!</definedName>
    <definedName name="BExQ9P9MV7LZESESTQODI5LPS43P" hidden="1">#REF!</definedName>
    <definedName name="BExQ9RYW8PAJJS7C5ROAMSOU24FA" hidden="1">SEU Func #REF!</definedName>
    <definedName name="BExQABQUO054C0TGXGU1E178CJ78" hidden="1">Functional #REF!</definedName>
    <definedName name="BExQAI6W93U5E8GKHSEMYVCOQDTK" hidden="1">Financial &amp; Non-#REF!</definedName>
    <definedName name="BExQAJJDG87VXDZVZ6L4TVFA43G8" hidden="1">Addn #REF!</definedName>
    <definedName name="BExQAX0XGWFG7U8J58T1B6GLBTPQ" hidden="1">Financial &amp; Non-#REF!</definedName>
    <definedName name="BExQAXMHIUFR2SXTYEOXH1IU7FI6" hidden="1">SEU Func #REF!</definedName>
    <definedName name="BExQB7O1191BXM70J8YLKLI37EI7" hidden="1">SEU Func #REF!</definedName>
    <definedName name="BExQBAYQL3L2GL45IPXO9PHQXN1E" hidden="1">Addn #REF!</definedName>
    <definedName name="BExQBB9D8E92R7TZYZR39OAYKBAZ" hidden="1">Financial &amp; Non-#REF!</definedName>
    <definedName name="BExQBIB0AV5H6PRIUIV5BP99WOGP" hidden="1">Addn #REF!</definedName>
    <definedName name="BExQBNEFP57K3WT5RWPEKXN96DSN" hidden="1">Financial &amp; Non-#REF!</definedName>
    <definedName name="BExQBOG43NUN0YPBOQ9ELQJM1KK8" hidden="1">[0]!SDGE Func #REF!</definedName>
    <definedName name="BExQBR56XC5DKOS6VWQSM0V1CNVK" hidden="1">#REF!</definedName>
    <definedName name="BExQBW8N109R7HBQWZ3ITXTT9NHA" hidden="1">Functional #REF!</definedName>
    <definedName name="BExQBWE35QPYV14IAX9WA9PCLLJY" hidden="1">Addn #REF!</definedName>
    <definedName name="BExQBY1CRDVJQUXD8WTG2HO8S4YY" hidden="1">SEU Func #REF!</definedName>
    <definedName name="BExQC1SAIBSAVSD80NWIIEFTRS3Y" hidden="1">Functional #REF!</definedName>
    <definedName name="BExQC4HFIQGF0THKO9JUJ176I5VA" hidden="1">Addn #REF!</definedName>
    <definedName name="BExQC64OAI7X1A7H5G4EY9HZ49MV" hidden="1">#REF!</definedName>
    <definedName name="BExQCE7ZNNHRB6G2DUALPAL71S7T" hidden="1">Functional #REF!</definedName>
    <definedName name="BExQDBHMVN97D3TGXA85E63CUF4N" hidden="1">Functional #REF!</definedName>
    <definedName name="BExQDTBJ9AGB4D3JCXZIKRH2A2D5" hidden="1">Addn #REF!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7Z058RP9Z1NXPNIIVP3UFEX" hidden="1">Addn #REF!</definedName>
    <definedName name="BExQF8PX3T0UZ31CITIWEECBCOAL" hidden="1">Functional #REF!</definedName>
    <definedName name="BExQF9M8VIR56ZOVRGEBOWN7GO00" hidden="1">SEU Func #REF!</definedName>
    <definedName name="BExQFGNXSCIRLDX9X8H4IFN7BU6G" hidden="1">Addn #REF!</definedName>
    <definedName name="BExQFJNSW29Z2GQS47388QSKTAUO" hidden="1">SCG Func #REF!</definedName>
    <definedName name="BExQGCVQ27XJRQKLCQK0I6SYJE7A" hidden="1">Addn #REF!</definedName>
    <definedName name="BExQH3EIE5OI9AO9NWINKTO0YUUD" hidden="1">Addn #REF!</definedName>
    <definedName name="BExQHFJJZ453I91O5R4SDT3R49II" hidden="1">SEU Driver by Func #REF!</definedName>
    <definedName name="BExQHZMB7G35XFLCF1VPENGXTKW0" hidden="1">Addn #REF!</definedName>
    <definedName name="BExQI02KWITK4JLIL36ZOHLBKGOI" hidden="1">SCG Func #REF!</definedName>
    <definedName name="BExQIBRDPH5X5EPOQ8ANRD6ERSRY" hidden="1">SEU Func #REF!</definedName>
    <definedName name="BExQIJP8AMPRS9ZOFYPUX3QT9DCA" hidden="1">Functional #REF!</definedName>
    <definedName name="BExQJCMBSTIP2LZ3JXXJL7FSJSS8" hidden="1">#REF!</definedName>
    <definedName name="BExQJZ3KTKDHMDLW85FULTC2WAOQ" hidden="1">Addn #REF!</definedName>
    <definedName name="BExQK46ZM2Z2JWNYU3EBRZNRK5MJ" hidden="1">Functional #REF!</definedName>
    <definedName name="BExQKE31SV6EH8DAMJ4EKHYJ1P38" hidden="1">Financial &amp; Non-#REF!</definedName>
    <definedName name="BExQLT1AL7DPIH2ZF0N3ZYXJ1GHG" hidden="1">Addn #REF!</definedName>
    <definedName name="BExRZJTMRQ7D3UKMUG3FEBZ9YQQX" hidden="1">Addn #REF!</definedName>
    <definedName name="BExS0CW83OA5EKXM0L8HVKRWC1YA" hidden="1">Financial &amp; Non-#REF!</definedName>
    <definedName name="BExS0XVC7U1OIU7C1GPZRS02K0DW" hidden="1">Addn #REF!</definedName>
    <definedName name="BExS14WZRDFAFITC69DNKWQIIAQF" hidden="1">SEU Func #REF!</definedName>
    <definedName name="BExS15TDWNEFSC2K12R64B21U2ER" hidden="1">Functional #REF!</definedName>
    <definedName name="BExS1HNH5O7LQM1GGJD5FZBHMXIZ" hidden="1">Functional #REF!</definedName>
    <definedName name="BExS1THRUXZ3XVPW1XBQ0VHO9XZG" hidden="1">#REF!</definedName>
    <definedName name="BExS22HGR6D9MS67P2DUB6FX24ME" hidden="1">Addn #REF!</definedName>
    <definedName name="BExS27Q6D7DI1Q7103RY4N5FI5PJ" hidden="1">SEU Func #REF!</definedName>
    <definedName name="BExS2AFAU71CEY0E9IAK4MDRPQDP" hidden="1">SEU Driver #REF!</definedName>
    <definedName name="BExS2L7PYAVKNHNOB8UKRX2OUN1E" hidden="1">Addn #REF!</definedName>
    <definedName name="BExS2LD0JHQATS4KKDF08NLIQEAN" hidden="1">#REF!</definedName>
    <definedName name="BExS3GTXOY2FXN3KKUNPQ3ZKWQYD" hidden="1">Functional #REF!</definedName>
    <definedName name="BExS3IBWQW51YD19V9XINRZFT37D" hidden="1">SCG Func #REF!</definedName>
    <definedName name="BExS5E7O0CG4P3U6O2SO3KUCWN1X" hidden="1">SEU Func Area by #REF!</definedName>
    <definedName name="BExS5P5DSMPM6QC2J47S4OZBSBHC" hidden="1">Addn #REF!</definedName>
    <definedName name="BExS6BBUJZ443Z7JD9XISA4VZKCZ" hidden="1">Addn #REF!</definedName>
    <definedName name="BExS6L7WWB2AY9B9CRX0B8ZY9RA8" hidden="1">SEU Func #REF!</definedName>
    <definedName name="BExS71EJ95OT904Y464LA98EUX0O" hidden="1">SEU Driver #REF!</definedName>
    <definedName name="BExS74ZZJS8RDGXS0N33F8LO0AFI" hidden="1">Addn #REF!</definedName>
    <definedName name="BExS7676U1G43C4AGI7V2CFIXGKK" hidden="1">Addn #REF!</definedName>
    <definedName name="BExS7EQKJUS1O1G09IC8BBF8NRPS" hidden="1">Addn #REF!</definedName>
    <definedName name="BExS7LBYUQW02NWJUC50AL0QB0BC" hidden="1">Financial &amp; Non-#REF!</definedName>
    <definedName name="BExS7YTGMRL7M5AEAHTR6TGX3RR8" hidden="1">SEU Func #REF!</definedName>
    <definedName name="BExS847PDPFPGR9EP7XAP65DFG7M" hidden="1">[0]!SDGE Func #REF!</definedName>
    <definedName name="BExS85UYRGDWA1N1YMZMLPMIHY16" hidden="1">Functional #REF!</definedName>
    <definedName name="BExS8JHZR5RYMXHS2BZ2JA581YEQ" hidden="1">Addn #REF!</definedName>
    <definedName name="BExS8O55M4IV5UFZ5R62V7SLJ794" hidden="1">[0]!SDGE Func #REF!</definedName>
    <definedName name="BExS8YBZRN2SAB1Z0QWD4LTW9TDE" hidden="1">Functional #REF!</definedName>
    <definedName name="BExS92J2YMOU1BT56VOUDKZDW6A0" hidden="1">#REF!</definedName>
    <definedName name="BExS9GBD3ODEHQK243A1KHFPZYXP" hidden="1">Addn #REF!</definedName>
    <definedName name="BExS9MLY4GW7OKN0XXA2VQD67RGS" hidden="1">Addn #REF!</definedName>
    <definedName name="BExSA9360W0NPEKNF7C3CR2BIF43" hidden="1">#REF!</definedName>
    <definedName name="BExSA9JA5S47AC6EN7JNC33559GG" hidden="1">Addn #REF!</definedName>
    <definedName name="BExSAAABPYLIZ3RACZBIINEB79RU" hidden="1">SCG Func #REF!</definedName>
    <definedName name="BExSAJVMJRYEBRP8HQWAPVT0353Z" hidden="1">Addn #REF!</definedName>
    <definedName name="BExSAW5YGBMQXDRHNJ9VPN83LHSB" hidden="1">Functional #REF!</definedName>
    <definedName name="BExSAW5ZRWKHR68VG5SX1JML8SNU" hidden="1">Functional #REF!</definedName>
    <definedName name="BExSAWM3SJ0NQCZI3M5EFF951Z2K" hidden="1">Addn #REF!</definedName>
    <definedName name="BExSB1UZKPUMJUW88VY9HKCP4CFU" hidden="1">SEU Func #REF!</definedName>
    <definedName name="BExSBAP6KF35RVGGDKFOONVUDTGR" hidden="1">SCG Func #REF!</definedName>
    <definedName name="BExSE38VOP5A8ZMOW0LCZQMB29NN" hidden="1">SEU Driver by Func #REF!</definedName>
    <definedName name="BExSEAAHYKQPG6QN01IQZ5CUBS2K" hidden="1">#REF!</definedName>
    <definedName name="BExSEIZETXYIPL1RRGCTK4JXUNP0" hidden="1">Addn #REF!</definedName>
    <definedName name="BExSEV4BF77D27E3QM36R4SX620Q" hidden="1">SEU Func #REF!</definedName>
    <definedName name="BExSF9YBJY4NI59SIYVUVB0RHOF4" hidden="1">Functional #REF!</definedName>
    <definedName name="BExSFKFYRGFMQJN4JIPPK7PMC8LE" hidden="1">Functional #REF!</definedName>
    <definedName name="BExSFSJAMB7T9SL3A6XQO78A30PE" hidden="1">SEU Driver #REF!</definedName>
    <definedName name="BExSFY2ZNJ80BO8WBGH184HA98EK" hidden="1">SEU Func #REF!</definedName>
    <definedName name="BExSG4DJUVP24UH00G6C9BCFI6KA" hidden="1">Addn #REF!</definedName>
    <definedName name="BExSGJ7K26U35ER7JUE8V684SFCE" hidden="1">Financial &amp; Non-#REF!</definedName>
    <definedName name="BExSHBOKDMINRDJ7YNYDLKHU9GYY" hidden="1">[0]!SDGE Func #REF!</definedName>
    <definedName name="BExSHLVF6TPM309S368ESB5ZGZSP" hidden="1">SCG Func #REF!</definedName>
    <definedName name="BExSI4R6BJRHRQC9AWQ19WPYBQDS" hidden="1">Functional #REF!</definedName>
    <definedName name="BExTUGQR5U2JKKM690XNDR2KSDO9" hidden="1">Functional #REF!</definedName>
    <definedName name="BExTVC7NJZ78QFKT4X882RHJ46GJ" hidden="1">SEU Func #REF!</definedName>
    <definedName name="BExTW1DUQNAQI9BU8SWL2ICM9MMF" hidden="1">SEU Func #REF!</definedName>
    <definedName name="BExTW36RCD2KY1OEX83Q1U3Q7VEN" hidden="1">Functional #REF!</definedName>
    <definedName name="BExTWB4LY5OOB9M8R4ZRF0CDR8EK" hidden="1">Financial &amp; Non-#REF!</definedName>
    <definedName name="BExTWFX7M4DNJT01LA4G7CYKCU8O" hidden="1">#REF!</definedName>
    <definedName name="BExTWHVA529RIUNUTJC4YZRSYACS" hidden="1">Financial &amp; Non-#REF!</definedName>
    <definedName name="BExTXCQM8ASRFIRTKNOR4PRO5OQI" hidden="1">Addn #REF!</definedName>
    <definedName name="BExTXFL0HOBZ8ZB5R9T82PYHU5LD" hidden="1">Addn #REF!</definedName>
    <definedName name="BExTXI4TZTK03PE88UETNDSY061P" hidden="1">SEU Func #REF!</definedName>
    <definedName name="BExTXJS8SUGI8GKGKFEGIVUS6NL5" hidden="1">#REF!</definedName>
    <definedName name="BExTXLFIV4QC0KSIFAQHYBBHL6A7" hidden="1">Addn #REF!</definedName>
    <definedName name="BExTXO9YLF9CAC6Q4BUNFXBAI1YL" hidden="1">Financial &amp; Non-#REF!</definedName>
    <definedName name="BExTXSX81QFMW6EWWTT4O5BUXE8O" hidden="1">SEU Func Area by #REF!</definedName>
    <definedName name="BExTY2D1TYFKUGMS9CNKOTKEUAUO" hidden="1">SEU Driver by Func #REF!</definedName>
    <definedName name="BExTY8IBOV0WBKWN39KNO05GJANV" hidden="1">Addn #REF!</definedName>
    <definedName name="BExTYSL89HCHPV90LUSU3GFH5JUK" hidden="1">SEU Func #REF!</definedName>
    <definedName name="BExTYTSE5DS5GVCLLE99W0UOASUK" hidden="1">Addn #REF!</definedName>
    <definedName name="BExTYZS5UD8M7HDR9E0PODKMBZXD" hidden="1">Financial &amp; Non-#REF!</definedName>
    <definedName name="BExTZ6TNMOJ5PDJENKQE96SFGV3P" hidden="1">Functional #REF!</definedName>
    <definedName name="BExTZ9YUXERFPLEVBN6UFJC30OST" hidden="1">Addn #REF!</definedName>
    <definedName name="BExTZEWYX1YUP70BVYTBFGUX1SQE" hidden="1">SEU Driver by Func #REF!</definedName>
    <definedName name="BExU084V35HGS6L43SZTIDZFNNC1" hidden="1">#REF!</definedName>
    <definedName name="BExU0L0SX2FA3UOSERNA0FM3PEIH" hidden="1">Addn #REF!</definedName>
    <definedName name="BExU0Q4A10ERSVP7SWJI6U9PO2NP" hidden="1">Functional #REF!</definedName>
    <definedName name="BExU0S2G1O4WXMP72CEDPOXI142J" hidden="1">Functional #REF!</definedName>
    <definedName name="BExU1D71KFUC0C17OR6QOTK3HJJE" hidden="1">#REF!</definedName>
    <definedName name="BExU1JHM6ANRZOKY36E119FJC4EE" hidden="1">SEU Func #REF!</definedName>
    <definedName name="BExU1MXNQJK6TLTPYNJSJE001XMZ" hidden="1">Addn #REF!</definedName>
    <definedName name="BExU1UA1UGIHTJX2JD11TYO928EW" hidden="1">Functional #REF!</definedName>
    <definedName name="BExU28NRZOCQA8U63F8AUJ1Y7FK3" hidden="1">SEU Driver by Func #REF!</definedName>
    <definedName name="BExU2DWP55J27AU8B8CKOGIVB781" hidden="1">Financial &amp; Non-#REF!</definedName>
    <definedName name="BExU2DWP9UIV3GEL4Y02T4MV2ORF" hidden="1">SCG Func #REF!</definedName>
    <definedName name="BExU2F3W26ICAF3HJW9RPFGOKBR0" hidden="1">SEU Func #REF!</definedName>
    <definedName name="BExU2GB0KSJB3AT77LPHCUOU5GGE" hidden="1">Addn #REF!</definedName>
    <definedName name="BExU2J03V3XKK7J5ZX79DJ0LWT66" hidden="1">Addn #REF!</definedName>
    <definedName name="BExU2KY5O8EK97N17EDEE7A1FHP9" hidden="1">Addn #REF!</definedName>
    <definedName name="BExU31L47ZK7KE115K9FAOPVEQGD" hidden="1">#REF!</definedName>
    <definedName name="BExU3OT6VDS1Z4SCQYLJ3LJM2PR0" hidden="1">Addn #REF!</definedName>
    <definedName name="BExU3UYBXUBGYEE98K4TRVKL7FUB" hidden="1">SEU Func #REF!</definedName>
    <definedName name="BExU43CFUF0V3VK8GVI1Y949580S" hidden="1">#REF!</definedName>
    <definedName name="BExU56LU0ARL1LXF13CWGDIA0IN2" hidden="1">SEU Func #REF!</definedName>
    <definedName name="BExU5D78KSITYXG7VXZWPLK5G4N1" hidden="1">SEU Func Comm by #REF!</definedName>
    <definedName name="BExU6ENRRF42I7NS6GD7E2BA0239" hidden="1">SEU Driver by Func #REF!</definedName>
    <definedName name="BExU6V57YFEF7IX53EO6FG5WUSPF" hidden="1">Addn #REF!</definedName>
    <definedName name="BExU77QEPM7B7KZQXMTBVY6WPI9N" hidden="1">Addn #REF!</definedName>
    <definedName name="BExU7DA1VML3K8MECQFN7LISYU1X" hidden="1">[0]!SDGE Func #REF!</definedName>
    <definedName name="BExU7QM3TKX82E55OPIJYI4ORP5C" hidden="1">SEU Driver #REF!</definedName>
    <definedName name="BExU7TM1QUXVHZ7XMK0634JNVF0L" hidden="1">Addn #REF!</definedName>
    <definedName name="BExU8OMN749NYEAOHVZEJ8P8DMPH" hidden="1">SCG Func #REF!</definedName>
    <definedName name="BExU9NP18YOLSAUDJSCMGUB5Z118" hidden="1">Financial &amp; Non-#REF!</definedName>
    <definedName name="BExUAEINE7CLGS8QF9K19THYYNAW" hidden="1">Addn #REF!</definedName>
    <definedName name="BExUAJM318DD50UGPK19FVC5IXPH" hidden="1">SEU Driver by Func #REF!</definedName>
    <definedName name="BExUAK7MK6RBQT5QZEERWMC3TKOK" hidden="1">#REF!</definedName>
    <definedName name="BExUBMQ291WKF53PLYYX5DET9GEY" hidden="1">Addn #REF!</definedName>
    <definedName name="BExUBPKGJ2HZG9P75M6T3ET52BNI" hidden="1">Financial &amp; Non-#REF!</definedName>
    <definedName name="BExUC20BWOTFQRDYY9IQ2FW6VB71" hidden="1">#REF!</definedName>
    <definedName name="BExUCJOV56HL5GHC911I59CMVU3Y" hidden="1">Addn #REF!</definedName>
    <definedName name="BExUCXBQTG7WOKZJK4UA33YGMSAL" hidden="1">Addn #REF!</definedName>
    <definedName name="BExUD77T5KGV1KMCMJKLTUEIUBOT" hidden="1">#REF!</definedName>
    <definedName name="BExUDHENQG3NPBADHSVALH1OMEQS" hidden="1">Addn #REF!</definedName>
    <definedName name="BExVQLKII6YMTL20HLVTBTSXKPRG" hidden="1">SEU Func #REF!</definedName>
    <definedName name="BExVR1GBDWIUZT0CFSN1CU5XTQHZ" hidden="1">SEU Driver #REF!</definedName>
    <definedName name="BExVRN15PJ1BT548WRJVE7PWW77Q" hidden="1">SEU Driver #REF!</definedName>
    <definedName name="BExVS0O0VVK0BLMC0WX8X4S7H30F" hidden="1">#REF!</definedName>
    <definedName name="BExVSQL9TJX91PI5EL0NPQ663IV1" hidden="1">Financial &amp; Non-#REF!</definedName>
    <definedName name="BExVSVJD23KTXSSLOWR4ELAVFUU4" hidden="1">Addn #REF!</definedName>
    <definedName name="BExVSX6LRY95YK28YB787Z62GSU8" hidden="1">SEU Func Comm by #REF!</definedName>
    <definedName name="BExVTUR2AONP0W51JBNV7ULISXSW" hidden="1">SEU Driver by Func #REF!</definedName>
    <definedName name="BExVVO37O040HEMW9DCWKFR2IZ8X" hidden="1">SCG Func #REF!</definedName>
    <definedName name="BExVVUTVHOGT5W5F5S9FSPT85DME" hidden="1">#REF!</definedName>
    <definedName name="BExVVY4MDQYOKD5KO5OE78CX0FQT" hidden="1">Addn #REF!</definedName>
    <definedName name="BExVW8WZZ8D43QOE36ETTY1C4U0N" hidden="1">Functional #REF!</definedName>
    <definedName name="BExVWG3ZF46Q1Y5LMBY96EBCWCTQ" hidden="1">SCG Func #REF!</definedName>
    <definedName name="BExVXXLTLVPMHQ9YGP6F4NAE8XAF" hidden="1">Addn #REF!</definedName>
    <definedName name="BExVY1Y7IYT1CYLYSQVAOOFYYFEE" hidden="1">Functional #REF!</definedName>
    <definedName name="BExVZ2IIM7NJ0FNJL35T3IPB09RQ" hidden="1">SEU Driver #REF!</definedName>
    <definedName name="BExVZ7B4Y2NRBJYTDLC11BS9VK05" hidden="1">#REF!</definedName>
    <definedName name="BExVZESVRS1MAPCRIBHZSABWSDTM" hidden="1">Addn #REF!</definedName>
    <definedName name="BExVZHY5G2GCUTJC5TLMBRNLC43J" hidden="1">Financial &amp; Non-#REF!</definedName>
    <definedName name="BExW008AIXVYFYRH2P1XAEE5ZU3C" hidden="1">#REF!</definedName>
    <definedName name="BExW0A4CKTF6KCT8SOA5JRPCFGFB" hidden="1">#REF!</definedName>
    <definedName name="BExW0NGKMSQRK2LL1UQP8M6X5NSC" hidden="1">Addn #REF!</definedName>
    <definedName name="BExW0Y3IHF05N34WK2LSEDEKZBI2" hidden="1">SEU Func #REF!</definedName>
    <definedName name="BExW24NI3G8UBLYOJI2IFS2TXOQH" hidden="1">SEU Func Comm by #REF!</definedName>
    <definedName name="BExW2J1E62XAYXRG0MHY22YU9G5N" hidden="1">Addn #REF!</definedName>
    <definedName name="BExW2UFE0VTQ4GMXB3NKWB0MLQS2" hidden="1">Addn #REF!</definedName>
    <definedName name="BExW2UFES6ZEQ4GZO08U2R6SACB5" hidden="1">Functional #REF!</definedName>
    <definedName name="BExW3A0GVMR7W0IG3FAG61PO39UY" hidden="1">Addn #REF!</definedName>
    <definedName name="BExW3L3P8RSX64V6RKZLOXJJQFKC" hidden="1">SCG Func #REF!</definedName>
    <definedName name="BExW3L8ZM2FIDYWWS285ZDN4MQL0" hidden="1">Addn #REF!</definedName>
    <definedName name="BExW444QYWE12XOFBRD40G87G4B6" hidden="1">SEU Driver #REF!</definedName>
    <definedName name="BExW44VT52264L8A2P8TC2AMVSKI" hidden="1">Addn #REF!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#REF!</definedName>
    <definedName name="BExW54E9II3BY15VSHF7D3QBL21K" hidden="1">Financial &amp; Non-#REF!</definedName>
    <definedName name="BExW5852TSTSER7SLK4K2SCHR7OI" hidden="1">SEU Driver by Func #REF!</definedName>
    <definedName name="BExW5DU3OT1XDXRYH812SSKSXGYZ" hidden="1">SEU Func #REF!</definedName>
    <definedName name="BExW5JOFZQ8GVHZD0EYGMA89L796" hidden="1">[0]!SDGE Func #REF!</definedName>
    <definedName name="BExW5KA49ULVKQYGWVHCIO5NLJH7" hidden="1">SEU Func #REF!</definedName>
    <definedName name="BExW6CGDVD0IID1G10TDJ1217F1J" hidden="1">SEU Driver #REF!</definedName>
    <definedName name="BExW78IQJ28QVTSPSF5RYF00RH9O" hidden="1">Addn #REF!</definedName>
    <definedName name="BExW7BTDV3ZL43N2KQOYFU5ZWJA3" hidden="1">Addn #REF!</definedName>
    <definedName name="BExW7O93FSQL8845022ZCTYK15YJ" hidden="1">Addn #REF!</definedName>
    <definedName name="BExW7PWHSLWGW4W6OL1OOBKSRXZW" hidden="1">Addn #REF!</definedName>
    <definedName name="BExW7R3NRPHWT1H6S9GFSWLTPPUX" hidden="1">SEU Func #REF!</definedName>
    <definedName name="BExW7SG4VF01KVUX3XETXJ0WWXBB" hidden="1">SEU Func Comm by #REF!</definedName>
    <definedName name="BExW851AJ4QQF2BY08FCPG1W9TC3" hidden="1">Functional #REF!</definedName>
    <definedName name="BExW8MPWKRBZZMXL13XW0M8MVU6A" hidden="1">#REF!</definedName>
    <definedName name="BExXMMY7K9SSUZ9P15Q89ZHBQCF8" hidden="1">SEU Func Comm by #REF!</definedName>
    <definedName name="BExXMXQMM8TNOSCG4JONY8VFM2EE" hidden="1">Addn #REF!</definedName>
    <definedName name="BExXN0QHOOGNVJHEF6QL4ET2POZD" hidden="1">[0]!SDGE Func #REF!</definedName>
    <definedName name="BExXN2J967PTBZGVGUY8NLKS24TR" hidden="1">Addn #REF!</definedName>
    <definedName name="BExXN6QAKZ8C2F980ATAL486VR2V" hidden="1">SEU Driver by Func #REF!</definedName>
    <definedName name="BExXNBIYGBD8KCL4FI2BMF80ENYA" hidden="1">Addn #REF!</definedName>
    <definedName name="BExXODFQWNNQHXCPLVEYEY4VOBS7" hidden="1">#REF!</definedName>
    <definedName name="BExXOGKYWK9ZP3F4MUJAVZN2JRO7" hidden="1">Addn #REF!</definedName>
    <definedName name="BExXOS9R341ND4H1POY8R4EQJ7SO" hidden="1">#REF!</definedName>
    <definedName name="BExXOV4CEVAER3X96DRN4HH4BZHR" hidden="1">Addn #REF!</definedName>
    <definedName name="BExXPFY5OVLL3K2K90TA90XRYLM6" hidden="1">Addn #REF!</definedName>
    <definedName name="BExXPM8Q4BZDPOJ7U58824CNL7J9" hidden="1">Financial &amp; Non-#REF!</definedName>
    <definedName name="BExXPQAGQFSDEYV65RS08JVXQYYP" hidden="1">SEU Func #REF!</definedName>
    <definedName name="BExXPRHMPBRCHUUJLBSARDLRE22E" hidden="1">Functional #REF!</definedName>
    <definedName name="BExXPV2Z6XDCZ280IE8KLAHDFJA1" hidden="1">Addn #REF!</definedName>
    <definedName name="BExXPZ9ZF0LRZ3ZR6Y1DLV8HTHWV" hidden="1">Addn #REF!</definedName>
    <definedName name="BExXRVM147SVXBLKLP710R2MO5MZ" hidden="1">Functional #REF!</definedName>
    <definedName name="BExXS4R2128DFU2LK3Q08XJ48S42" hidden="1">Addn #REF!</definedName>
    <definedName name="BExXS98VZGW8QG56DGEJHU0JCJJZ" hidden="1">SEU Func #REF!</definedName>
    <definedName name="BExXSH1EUOGXZIWDTB34ZHBBPLMB" hidden="1">Financial &amp; Non-#REF!</definedName>
    <definedName name="BExXSHHIMRQF6S8HC1AZXUGDWXY4" hidden="1">Addn #REF!</definedName>
    <definedName name="BExXT7PP94GE3YW5BGV4U6HWCSPX" hidden="1">SEU Driver #REF!</definedName>
    <definedName name="BExXU7IY0NW19P11Z5YQ9BQIJSF3" hidden="1">Financial &amp; Non-#REF!</definedName>
    <definedName name="BExXUAIVBR3PR1QHJCUT03VW15Z3" hidden="1">#REF!</definedName>
    <definedName name="BExXUCX7X7M52508UFQKPKXBD9HV" hidden="1">[0]!SDGE Func #REF!</definedName>
    <definedName name="BExXUDIQYO3NFEXLUKKBXFGL0I0J" hidden="1">SEU Func #REF!</definedName>
    <definedName name="BExXV1SL2OKDY5I58V7R2CZ6UA1P" hidden="1">Addn #REF!</definedName>
    <definedName name="BExXVYBBSBUSE5YCGR0CV4FQE3PC" hidden="1">Financial &amp; Non-#REF!</definedName>
    <definedName name="BExXW5NLB1XHUSNQW6YWXBK0FT19" hidden="1">Addn #REF!</definedName>
    <definedName name="BExXW93RS0IWAZRQ9SOWQXERPYYZ" hidden="1">Functional #REF!</definedName>
    <definedName name="BExXXC28UJZ8MBCQMEGVPHY4ELL2" hidden="1">Addn #REF!</definedName>
    <definedName name="BExXXLSZ3ABSM127FWVROEVGA4AY" hidden="1">#REF!</definedName>
    <definedName name="BExXXZ52JFPBQNR4WBNEGUSKAOTN" hidden="1">SEU Driver by Func #REF!</definedName>
    <definedName name="BExXYEVFU1HGZQVTNU9QVRVA90FT" hidden="1">Addn #REF!</definedName>
    <definedName name="BExXYT9CBE76MDZW4OQUDY1SEKNE" hidden="1">Functional #REF!</definedName>
    <definedName name="BExXYTK4Y0UMB5113GMQ1F9ETUD2" hidden="1">Addn #REF!</definedName>
    <definedName name="BExXZ3QYMWB5DEHAXEQ77MZ7FIZD" hidden="1">[0]!SDGE Func #REF!</definedName>
    <definedName name="BExXZAXW8F8841455G1F7WXT41AX" hidden="1">[0]!SDGE Func #REF!</definedName>
    <definedName name="BExXZNDLULS7L6GBKG9RU9OGHK9B" hidden="1">Addn #REF!</definedName>
    <definedName name="BExXZWO3RC1R45A9M41GS6LPG2YW" hidden="1">Addn #REF!</definedName>
    <definedName name="BExXZZTG1JTLYWJOFNYTGR4LALK3" hidden="1">Addn #REF!</definedName>
    <definedName name="BExY0C3TNRDQV0J5SI0Q7GLE70KV" hidden="1">Addn #REF!</definedName>
    <definedName name="BExY0DG9VW15FF7OROMAE5SYW4D5" hidden="1">Addn #REF!</definedName>
    <definedName name="BExY0ECOZIOI49PB8W7AR8VPFOVW" hidden="1">#REF!</definedName>
    <definedName name="BExY0PL7UNAVZO1W5HALLPRU9V5X" hidden="1">#REF!</definedName>
    <definedName name="BExY28VU0NLLDWJFKP6DNWTZ559K" hidden="1">[0]!SDGE Func #REF!</definedName>
    <definedName name="BExY2BVVO6QDY0L06G3J0MSGEXD8" hidden="1">[0]!SDGE Func #REF!</definedName>
    <definedName name="BExY2EKSYYHFY4AFZ300ZXMLRXQY" hidden="1">Financial &amp; Non-#REF!</definedName>
    <definedName name="BExY2NKIEE5SPBOV26RNCSKNGTME" hidden="1">Addn #REF!</definedName>
    <definedName name="BExY2NKIMXF1J464XZ175PYA8LDM" hidden="1">SEU Func #REF!</definedName>
    <definedName name="BExY36AXKUMLUKD2VOB5XR70DGDI" hidden="1">SEU Func #REF!</definedName>
    <definedName name="BExY3SXH7FESHTF7PBA3OYIXDH41" hidden="1">#REF!</definedName>
    <definedName name="BExY3WZ2QMSYT0BFBVQJIAPCHAQ1" hidden="1">Addn #REF!</definedName>
    <definedName name="BExY3ZO5J0Z7QKACQUINFDZTRS77" hidden="1">Addn #REF!</definedName>
    <definedName name="BExY48TCAQ2A1XRZ3RVHC0U8VYKQ" hidden="1">SEU Func Comm by #REF!</definedName>
    <definedName name="BExY58MMH9D4SBZCD1RWGTYBRDM8" hidden="1">#REF!</definedName>
    <definedName name="BExY5I7UKXBU395LXGBYD7PJ7IH3" hidden="1">SEU Func #REF!</definedName>
    <definedName name="BExY60SU3PW0FE2YOFC1CR5A86CH" hidden="1">SEU Driver #REF!</definedName>
    <definedName name="BExY63SR27VPDZPXZK9KJCGTZ4TC" hidden="1">Addn #REF!</definedName>
    <definedName name="BExY65LH73RB4VC5HW4RHGQ2KU8G" hidden="1">#REF!</definedName>
    <definedName name="BExY65LHY7ALMYBRAOKCXSFRLNEE" hidden="1">Addn #REF!</definedName>
    <definedName name="BExZJQJI3TXMZTVPYBBJ0JI1C5LL" hidden="1">#REF!</definedName>
    <definedName name="BExZKA64CRCRYCU4JL6TH6AWM96S" hidden="1">Addn #REF!</definedName>
    <definedName name="BExZKCPZD3M8NAZFUDJRYJ5OTIVJ" hidden="1">Functional #REF!</definedName>
    <definedName name="BExZKR3TTP07CE2NJKPT664GAJBL" hidden="1">Addn #REF!</definedName>
    <definedName name="BExZL1LBSYTGVKE79Y97OBLA0SV6" hidden="1">SEU Driver #REF!</definedName>
    <definedName name="BExZLBC2PT5BA4MTL92QWIJ2AGNH" hidden="1">SCG Func #REF!</definedName>
    <definedName name="BExZLUD4NEJMBSGQ93R045ELX10G" hidden="1">SEU Driver #REF!</definedName>
    <definedName name="BExZLX7QQ1MWG33LCZU8LVADH6MW" hidden="1">Addn #REF!</definedName>
    <definedName name="BExZM07LCOTZXP3AS4WC2J3NTE7P" hidden="1">SCG Func #REF!</definedName>
    <definedName name="BExZM7JVUMCAARUACRX7Z54WSG33" hidden="1">SEU Driver by Func #REF!</definedName>
    <definedName name="BExZMIN2YY9W3WI8OAVQ37PKQZXZ" hidden="1">SCG Func #REF!</definedName>
    <definedName name="BExZMQKY0YONB7YBTBQZH62T9MSU" hidden="1">[0]!SDGE Func #REF!</definedName>
    <definedName name="BExZMQVWL07SCJOOFZWV45W59W8P" hidden="1">Addn #REF!</definedName>
    <definedName name="BExZMXXD1Y91UP1BZXET9AXX4JII" hidden="1">Addn #REF!</definedName>
    <definedName name="BExZN3X5WR9FLDRBMX48BRRVYSL4" hidden="1">Functional #REF!</definedName>
    <definedName name="BExZNI0B4ZBV0GKJNGZKFKJP5RSC" hidden="1">Addn #REF!</definedName>
    <definedName name="BExZNSN8EOTXU3NPY0CH5POL7VHK" hidden="1">[0]!SDGE Func #REF!</definedName>
    <definedName name="BExZO0FQOS0A6MKLLZK71QNUN7MD" hidden="1">#REF!</definedName>
    <definedName name="BExZO64RDT6SCKXP96BLAVKAG3PC" hidden="1">Financial &amp; Non-#REF!</definedName>
    <definedName name="BExZOHYVOLL7CEQKABKO256H0X5I" hidden="1">SEU Func #REF!</definedName>
    <definedName name="BExZOKYRP68DOEIM61IGQ1DB8P4J" hidden="1">Addn #REF!</definedName>
    <definedName name="BExZP0UN89BUO3PISTBCWGLIZFUK" hidden="1">#REF!</definedName>
    <definedName name="BExZPEC5D2VVMMZUD002LXWG8LR9" hidden="1">#REF!</definedName>
    <definedName name="BExZPJ4S0GP2IXQ7LAPLCWMFWZ3Q" hidden="1">Addn #REF!</definedName>
    <definedName name="BExZPL8B3I1BIDUU7TG45FWCOYDZ" hidden="1">Addn #REF!</definedName>
    <definedName name="BExZPPVI1XTMHMZCVAPNZF9PF7DJ" hidden="1">#REF!</definedName>
    <definedName name="BExZPW0QM46H23LHKN8SUH8HX6MW" hidden="1">SEU Driver #REF!</definedName>
    <definedName name="BExZQ85NBN2EU2ZRQLIZ0PVW0MYW" hidden="1">#REF!</definedName>
    <definedName name="BExZQ8R77M02QC6H0KAB5KDZXXUB" hidden="1">Addn #REF!</definedName>
    <definedName name="BExZQAURJGFEVTH5WDUKCLX5OG4A" hidden="1">SEU Driver by Func #REF!</definedName>
    <definedName name="BExZQBAVLSDITVZABQBUSIONFI27" hidden="1">SEU Func Area by #REF!</definedName>
    <definedName name="BExZQI1P0I178HRXOOPNWFAS2VIA" hidden="1">Addn #REF!</definedName>
    <definedName name="BExZQIHZQHMHTKFP59DZJH4ZZZ8M" hidden="1">Financial &amp; Non-#REF!</definedName>
    <definedName name="BExZQP8NTJXT3ICCJ063MLH8R2DJ" hidden="1">Addn #REF!</definedName>
    <definedName name="BExZQQ50WUMM8VB4VUHAS899QSKM" hidden="1">Functional #REF!</definedName>
    <definedName name="BExZQQLACR36QE2H9QLJIMC6DKUF" hidden="1">Addn #REF!</definedName>
    <definedName name="BExZQTL645FGXAGZN3H0JZRQ7LUR" hidden="1">#REF!</definedName>
    <definedName name="BExZRE478DWX5VCA7IGKSI1B7GXR" hidden="1">#REF!</definedName>
    <definedName name="BExZRHK6WKHBZAZ1OYTJ21PDV8ZA" hidden="1">[0]!SDGE Func #REF!</definedName>
    <definedName name="BExZSK81EL5HVZ4OMYKFQTE2AHH7" hidden="1">SCG Func #REF!</definedName>
    <definedName name="BExZSMBLFJUAETWYUF2BWVQLJY3M" hidden="1">Addn #REF!</definedName>
    <definedName name="BExZTCJLBH274W38QM1V5VGUDMCW" hidden="1">Additional Information #REF!</definedName>
    <definedName name="BExZUMEF5J9HDYPW4B9JV6QZPKSU" hidden="1">#REF!</definedName>
    <definedName name="BExZVLREJY54J4EBQ1LYNA2L5TBI" hidden="1">#REF!</definedName>
    <definedName name="BExZW6QPLD8LO3MT3M2K30BRWMDD" hidden="1">Addn #REF!</definedName>
    <definedName name="BExZWB8JK798ELJ571MPH730R8L2" hidden="1">Addn #REF!</definedName>
    <definedName name="BExZWF4UI7RVJ13R324EGACALMPV" hidden="1">SEU Func #REF!</definedName>
    <definedName name="BExZWMXBV8BPWJ3LCUYF7NKKPVOD" hidden="1">Addn #REF!</definedName>
    <definedName name="BExZXBSVAPBHW1XT1TBS81NYDSMU" hidden="1">SEU Driver by Func #REF!</definedName>
    <definedName name="BExZXC901CXXL8R9X8S9WEQN00CY" hidden="1">[0]!SDGE Func #REF!</definedName>
    <definedName name="BExZXFJNR29TXZ23G7D8IOQKJC6N" hidden="1">#REF!</definedName>
    <definedName name="BExZXW12MHM5C60916XT6CZRSL4I" hidden="1">SEU Func #REF!</definedName>
    <definedName name="BExZY0Z27CDKC1VBMKTHN76QQ5HH" hidden="1">SEU Func #REF!</definedName>
    <definedName name="BExZY2MHNMJG69CJQF6CLG6X4FGQ" hidden="1">Addn #REF!</definedName>
    <definedName name="BExZYTLJPA30ZEL7XLOBQL25QCR9" hidden="1">Addn #REF!</definedName>
    <definedName name="BExZZ06XR7L2B6NK62DRT95GUSPY" hidden="1">Addn #REF!</definedName>
    <definedName name="BExZZ8FJDLK9Y296DUJ16REILSZN" hidden="1">SEU Driver #REF!</definedName>
    <definedName name="BExZZSYK2WCS5ZY430FJ0E56O3BG" hidden="1">SCG Func #REF!</definedName>
    <definedName name="BG_Del" hidden="1">15</definedName>
    <definedName name="BG_Ins" hidden="1">4</definedName>
    <definedName name="BG_Mod" hidden="1">6</definedName>
    <definedName name="CBWorkbookPriority" hidden="1">-21190210</definedName>
    <definedName name="cccc" hidden="1">{"variance_page",#N/A,FALSE,"template"}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EI_Info1" hidden="1">#REF!</definedName>
    <definedName name="CORPTAX_DATAMAPDEFINITIONS_DataMap_1" hidden="1">#REF!</definedName>
    <definedName name="CORPTAX_DATAMAPDEFINITIONS_DataMap_2" hidden="1">#REF!</definedName>
    <definedName name="CreditStats" hidden="1">#REF!</definedName>
    <definedName name="CurrentRangeName" hidden="1">#REF!</definedName>
    <definedName name="d" localSheetId="17" hidden="1">{#N/A,#N/A,TRUE,"SDGE";#N/A,#N/A,TRUE,"GBU";#N/A,#N/A,TRUE,"TBU";#N/A,#N/A,TRUE,"EDBU";#N/A,#N/A,TRUE,"ExclCC"}</definedName>
    <definedName name="d" localSheetId="20" hidden="1">{#N/A,#N/A,TRUE,"SDGE";#N/A,#N/A,TRUE,"GBU";#N/A,#N/A,TRUE,"TBU";#N/A,#N/A,TRUE,"EDBU";#N/A,#N/A,TRUE,"ExclCC"}</definedName>
    <definedName name="d" localSheetId="37" hidden="1">{#N/A,#N/A,TRUE,"SDGE";#N/A,#N/A,TRUE,"GBU";#N/A,#N/A,TRUE,"TBU";#N/A,#N/A,TRUE,"EDBU";#N/A,#N/A,TRUE,"ExclCC"}</definedName>
    <definedName name="d" localSheetId="38" hidden="1">{#N/A,#N/A,TRUE,"SDGE";#N/A,#N/A,TRUE,"GBU";#N/A,#N/A,TRUE,"TBU";#N/A,#N/A,TRUE,"EDBU";#N/A,#N/A,TRUE,"ExclCC"}</definedName>
    <definedName name="d" localSheetId="42" hidden="1">{#N/A,#N/A,TRUE,"SDGE";#N/A,#N/A,TRUE,"GBU";#N/A,#N/A,TRUE,"TBU";#N/A,#N/A,TRUE,"EDBU";#N/A,#N/A,TRUE,"ExclCC"}</definedName>
    <definedName name="d" localSheetId="53" hidden="1">{#N/A,#N/A,TRUE,"SDGE";#N/A,#N/A,TRUE,"GBU";#N/A,#N/A,TRUE,"TBU";#N/A,#N/A,TRUE,"EDBU";#N/A,#N/A,TRUE,"ExclCC"}</definedName>
    <definedName name="d" localSheetId="4" hidden="1">{#N/A,#N/A,TRUE,"SDGE";#N/A,#N/A,TRUE,"GBU";#N/A,#N/A,TRUE,"TBU";#N/A,#N/A,TRUE,"EDBU";#N/A,#N/A,TRUE,"ExclCC"}</definedName>
    <definedName name="d" localSheetId="58" hidden="1">{#N/A,#N/A,TRUE,"SDGE";#N/A,#N/A,TRUE,"GBU";#N/A,#N/A,TRUE,"TBU";#N/A,#N/A,TRUE,"EDBU";#N/A,#N/A,TRUE,"ExclCC"}</definedName>
    <definedName name="d" hidden="1">{#N/A,#N/A,TRUE,"SDGE";#N/A,#N/A,TRUE,"GBU";#N/A,#N/A,TRUE,"TBU";#N/A,#N/A,TRUE,"EDBU";#N/A,#N/A,TRUE,"ExclCC"}</definedName>
    <definedName name="DCHART4" localSheetId="17" hidden="1">#REF!</definedName>
    <definedName name="DCHART4" localSheetId="34" hidden="1">#REF!</definedName>
    <definedName name="DCHART4" localSheetId="53" hidden="1">#REF!</definedName>
    <definedName name="DCHART4" localSheetId="5" hidden="1">#REF!</definedName>
    <definedName name="DCHART4" hidden="1">#REF!</definedName>
    <definedName name="dd" localSheetId="34" hidden="1">#REF!</definedName>
    <definedName name="dd" localSheetId="53" hidden="1">#REF!</definedName>
    <definedName name="dd" localSheetId="5" hidden="1">#REF!</definedName>
    <definedName name="dd" hidden="1">#REF!</definedName>
    <definedName name="ddd" hidden="1">{"SourcesUses",#N/A,TRUE,#N/A;"TransOverview",#N/A,TRUE,"CFMODEL"}</definedName>
    <definedName name="dddd" localSheetId="34" hidden="1">#REF!</definedName>
    <definedName name="dddd" localSheetId="53" hidden="1">#REF!</definedName>
    <definedName name="dddd" localSheetId="5" hidden="1">#REF!</definedName>
    <definedName name="dddd" hidden="1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f" hidden="1">{"2002Frcst","06Month",FALSE,"Frcst Format 2002"}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Z.IndSpec_Left" hidden="1">#REF!</definedName>
    <definedName name="DZ.IndSpec_Right" hidden="1">#REF!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v.Calculation" hidden="1">-4105</definedName>
    <definedName name="ev.Initialized" hidden="1">FALSE</definedName>
    <definedName name="EV__LASTREFTIME__" hidden="1">39504.3191203704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letes" hidden="1">{#N/A,#N/A,FALSE,"Aging Summary";#N/A,#N/A,FALSE,"Ratio Analysis";#N/A,#N/A,FALSE,"Test 120 Day Accts";#N/A,#N/A,FALSE,"Tickmarks"}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ggg" hidden="1">{"SourcesUses",#N/A,TRUE,#N/A;"TransOverview",#N/A,TRUE,"CFMODEL"}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ip" hidden="1">#REF!</definedName>
    <definedName name="hhhh" hidden="1">{"SourcesUses",#N/A,TRUE,#N/A;"TransOverview",#N/A,TRUE,"CFMODEL"}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YearLabel" hidden="1">#REF!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TML_Control" localSheetId="17" hidden="1">{"'Attachment'!$A$1:$L$49"}</definedName>
    <definedName name="HTML_Control1" hidden="1">{"'Attachment'!$A$1:$L$49"}</definedName>
    <definedName name="HTML_Control2" hidden="1">{"'Attachment'!$A$1:$L$49"}</definedName>
    <definedName name="HTML_Control3" hidden="1">{"'Attachment'!$A$1:$L$49"}</definedName>
    <definedName name="HTML_Email" localSheetId="17" hidden="1">"dsullivan@sdge.com"</definedName>
    <definedName name="HTML_Header" localSheetId="17" hidden="1">"SRAC"</definedName>
    <definedName name="HTML_LastUpdate" localSheetId="17" hidden="1">"04/01/2002"</definedName>
    <definedName name="HTML_LineAfter" localSheetId="17" hidden="1">TRUE</definedName>
    <definedName name="HTML_LineBefore" localSheetId="17" hidden="1">TRUE</definedName>
    <definedName name="HTML_Name" localSheetId="17" hidden="1">"Daniel L. Sullivan"</definedName>
    <definedName name="HTML_PathFile" localSheetId="17" hidden="1">"S:\FUELS\DATA\SULLIVAN\DATA\Srac Spreadsheet\FILING\2002\SracHTML\Srac0402.htm"</definedName>
    <definedName name="HTML_Title" localSheetId="17" hidden="1">"April 2002 SRAC Prices"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hidden="1">{#N/A,#N/A,FALSE,"RECAP";#N/A,#N/A,FALSE,"MATBYCLS";#N/A,#N/A,FALSE,"STATUS";#N/A,#N/A,FALSE,"OP-ACT";#N/A,#N/A,FALSE,"W_O"}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1_0" hidden="1">#REF!</definedName>
    <definedName name="IRR_1_1" hidden="1">#REF!</definedName>
    <definedName name="IRR_1_10" hidden="1">#REF!</definedName>
    <definedName name="IRR_1_2" hidden="1">#REF!</definedName>
    <definedName name="IRR_1_3" hidden="1">#REF!</definedName>
    <definedName name="IRR_1_4" hidden="1">#REF!</definedName>
    <definedName name="IRR_1_5" hidden="1">#REF!</definedName>
    <definedName name="IRR_1_6" hidden="1">#REF!</definedName>
    <definedName name="IRR_1_7" hidden="1">#REF!</definedName>
    <definedName name="IRR_1_8" hidden="1">#REF!</definedName>
    <definedName name="IRR_1_9" hidden="1">#REF!</definedName>
    <definedName name="IRR_2_0" hidden="1">#REF!</definedName>
    <definedName name="IRR_2_1" hidden="1">#REF!</definedName>
    <definedName name="IRR_2_10" hidden="1">#REF!</definedName>
    <definedName name="IRR_2_2" hidden="1">#REF!</definedName>
    <definedName name="IRR_2_3" hidden="1">#REF!</definedName>
    <definedName name="IRR_2_4" hidden="1">#REF!</definedName>
    <definedName name="IRR_2_5" hidden="1">#REF!</definedName>
    <definedName name="IRR_2_6" hidden="1">#REF!</definedName>
    <definedName name="IRR_2_7" hidden="1">#REF!</definedName>
    <definedName name="IRR_2_8" hidden="1">#REF!</definedName>
    <definedName name="IRR_2_9" hidden="1">#REF!</definedName>
    <definedName name="IRR_3_0" hidden="1">#REF!</definedName>
    <definedName name="IRR_3_1" hidden="1">#REF!</definedName>
    <definedName name="IRR_3_10" hidden="1">#REF!</definedName>
    <definedName name="IRR_3_2" hidden="1">#REF!</definedName>
    <definedName name="IRR_3_3" hidden="1">#REF!</definedName>
    <definedName name="IRR_3_4" hidden="1">#REF!</definedName>
    <definedName name="IRR_3_5" hidden="1">#REF!</definedName>
    <definedName name="IRR_3_6" hidden="1">#REF!</definedName>
    <definedName name="IRR_3_7" hidden="1">#REF!</definedName>
    <definedName name="IRR_3_8" hidden="1">#REF!</definedName>
    <definedName name="IRR_3_9" hidden="1">#REF!</definedName>
    <definedName name="IsColHidden" hidden="1">FALSE</definedName>
    <definedName name="IsLTMColHidden" hidden="1">FALSE</definedName>
    <definedName name="JH" hidden="1">{"total_10yr",#N/A,FALSE,"Data (t8-t4)"}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hidden="1">{"2002Frcst","06Month",FALSE,"Frcst Format 2002"}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 hidden="1">#REF!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LandCost" hidden="1">#REF!</definedName>
    <definedName name="LastRangeName" hidden="1">#REF!</definedName>
    <definedName name="limcount" hidden="1">1</definedName>
    <definedName name="ListOffset" hidden="1">1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__IRR__Dates" hidden="1">#REF!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hidden="1">{#N/A,#N/A,TRUE,"SDGE";#N/A,#N/A,TRUE,"GBU";#N/A,#N/A,TRUE,"TBU";#N/A,#N/A,TRUE,"EDBU";#N/A,#N/A,TRUE,"ExclCC"}</definedName>
    <definedName name="NPV_1_0" hidden="1">#REF!</definedName>
    <definedName name="NPV_1_1" hidden="1">#REF!</definedName>
    <definedName name="NPV_1_10" hidden="1">#REF!</definedName>
    <definedName name="NPV_1_2" hidden="1">#REF!</definedName>
    <definedName name="NPV_1_3" hidden="1">#REF!</definedName>
    <definedName name="NPV_1_4" hidden="1">#REF!</definedName>
    <definedName name="NPV_1_5" hidden="1">#REF!</definedName>
    <definedName name="NPV_1_6" hidden="1">#REF!</definedName>
    <definedName name="NPV_1_7" hidden="1">#REF!</definedName>
    <definedName name="NPV_1_8" hidden="1">#REF!</definedName>
    <definedName name="NPV_1_9" hidden="1">#REF!</definedName>
    <definedName name="NPV_2_0" hidden="1">#REF!</definedName>
    <definedName name="NPV_2_1" hidden="1">#REF!</definedName>
    <definedName name="NPV_2_10" hidden="1">#REF!</definedName>
    <definedName name="NPV_2_2" hidden="1">#REF!</definedName>
    <definedName name="NPV_2_3" hidden="1">#REF!</definedName>
    <definedName name="NPV_2_4" hidden="1">#REF!</definedName>
    <definedName name="NPV_2_5" hidden="1">#REF!</definedName>
    <definedName name="NPV_2_6" hidden="1">#REF!</definedName>
    <definedName name="NPV_2_7" hidden="1">#REF!</definedName>
    <definedName name="NPV_2_8" hidden="1">#REF!</definedName>
    <definedName name="NPV_2_9" hidden="1">#REF!</definedName>
    <definedName name="NPV_3_0" hidden="1">#REF!</definedName>
    <definedName name="NPV_3_1" hidden="1">#REF!</definedName>
    <definedName name="NPV_3_10" hidden="1">#REF!</definedName>
    <definedName name="NPV_3_2" hidden="1">#REF!</definedName>
    <definedName name="NPV_3_3" hidden="1">#REF!</definedName>
    <definedName name="NPV_3_4" hidden="1">#REF!</definedName>
    <definedName name="NPV_3_5" hidden="1">#REF!</definedName>
    <definedName name="NPV_3_6" hidden="1">#REF!</definedName>
    <definedName name="NPV_3_7" hidden="1">#REF!</definedName>
    <definedName name="NPV_3_8" hidden="1">#REF!</definedName>
    <definedName name="NPV_3_9" hidden="1">#REF!</definedName>
    <definedName name="NRange103" hidden="1">#REF!</definedName>
    <definedName name="NRange106" hidden="1">#REF!</definedName>
    <definedName name="NRange137" hidden="1">#REF!</definedName>
    <definedName name="NRange237" hidden="1">#REF!</definedName>
    <definedName name="NRange238" hidden="1">#REF!</definedName>
    <definedName name="NRange239" hidden="1">#REF!</definedName>
    <definedName name="NRange251" hidden="1">#REF!</definedName>
    <definedName name="NRange262" hidden="1">#REF!</definedName>
    <definedName name="NRange267" hidden="1">#REF!</definedName>
    <definedName name="NRange276" hidden="1">#REF!</definedName>
    <definedName name="nrerev" hidden="1">{"total_10yr",#N/A,FALSE,"Data (t8-t4)"}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pt_Error_Checker" hidden="1">#REF!</definedName>
    <definedName name="Opt_Flip_0" hidden="1">#REF!</definedName>
    <definedName name="Optimizer__NPV1" hidden="1">#REF!</definedName>
    <definedName name="Optimizer__Target1" hidden="1">#REF!</definedName>
    <definedName name="otherrev" localSheetId="17" hidden="1">{#N/A,#N/A,TRUE,"SDGE";#N/A,#N/A,TRUE,"GBU";#N/A,#N/A,TRUE,"TBU";#N/A,#N/A,TRUE,"EDBU";#N/A,#N/A,TRUE,"ExclCC"}</definedName>
    <definedName name="otherrev" localSheetId="20" hidden="1">{#N/A,#N/A,TRUE,"SDGE";#N/A,#N/A,TRUE,"GBU";#N/A,#N/A,TRUE,"TBU";#N/A,#N/A,TRUE,"EDBU";#N/A,#N/A,TRUE,"ExclCC"}</definedName>
    <definedName name="otherrev" localSheetId="37" hidden="1">{#N/A,#N/A,TRUE,"SDGE";#N/A,#N/A,TRUE,"GBU";#N/A,#N/A,TRUE,"TBU";#N/A,#N/A,TRUE,"EDBU";#N/A,#N/A,TRUE,"ExclCC"}</definedName>
    <definedName name="otherrev" localSheetId="38" hidden="1">{#N/A,#N/A,TRUE,"SDGE";#N/A,#N/A,TRUE,"GBU";#N/A,#N/A,TRUE,"TBU";#N/A,#N/A,TRUE,"EDBU";#N/A,#N/A,TRUE,"ExclCC"}</definedName>
    <definedName name="otherrev" localSheetId="42" hidden="1">{#N/A,#N/A,TRUE,"SDGE";#N/A,#N/A,TRUE,"GBU";#N/A,#N/A,TRUE,"TBU";#N/A,#N/A,TRUE,"EDBU";#N/A,#N/A,TRUE,"ExclCC"}</definedName>
    <definedName name="otherrev" localSheetId="53" hidden="1">{#N/A,#N/A,TRUE,"SDGE";#N/A,#N/A,TRUE,"GBU";#N/A,#N/A,TRUE,"TBU";#N/A,#N/A,TRUE,"EDBU";#N/A,#N/A,TRUE,"ExclCC"}</definedName>
    <definedName name="otherrev" localSheetId="4" hidden="1">{#N/A,#N/A,TRUE,"SDGE";#N/A,#N/A,TRUE,"GBU";#N/A,#N/A,TRUE,"TBU";#N/A,#N/A,TRUE,"EDBU";#N/A,#N/A,TRUE,"ExclCC"}</definedName>
    <definedName name="otherrev" localSheetId="58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1_Tar1" hidden="1">#REF!</definedName>
    <definedName name="P1_Tar2" hidden="1">#REF!</definedName>
    <definedName name="P1_Trsh1_Tar" hidden="1">#REF!</definedName>
    <definedName name="P1_Trsh2_Tar" hidden="1">#REF!</definedName>
    <definedName name="P1GarPay" hidden="1">#REF!</definedName>
    <definedName name="P2_Tar1" hidden="1">#REF!</definedName>
    <definedName name="P2_Tar2" hidden="1">#REF!</definedName>
    <definedName name="P2_Trsh1_Tar" hidden="1">#REF!</definedName>
    <definedName name="P2_Trsh2_Tar" hidden="1">#REF!</definedName>
    <definedName name="P2GarPay" hidden="1">#REF!</definedName>
    <definedName name="P3_Tar1" hidden="1">#REF!</definedName>
    <definedName name="P3_Tar2" hidden="1">#REF!</definedName>
    <definedName name="P3_Trsh1_Tar" hidden="1">#REF!</definedName>
    <definedName name="P3_Trsh2_Tar" hidden="1">#REF!</definedName>
    <definedName name="P3GarPay" hidden="1">#REF!</definedName>
    <definedName name="Partner__1__Name" hidden="1">#REF!</definedName>
    <definedName name="Partner__2__Name" hidden="1">#REF!</definedName>
    <definedName name="Partner__3__Name" hidden="1">#REF!</definedName>
    <definedName name="Partner1" hidden="1">#REF!</definedName>
    <definedName name="PHILIPS" hidden="1">{#N/A,#N/A,FALSE,"RECAP";#N/A,#N/A,FALSE,"MATBYCLS";#N/A,#N/A,FALSE,"STATUS";#N/A,#N/A,FALSE,"OP-ACT";#N/A,#N/A,FALSE,"W_O"}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rcc22" hidden="1">#REF!</definedName>
    <definedName name="prcc23" hidden="1">#REF!</definedName>
    <definedName name="_xlnm.Print_Area" localSheetId="37">'AG-1'!$A$1:$E$32</definedName>
    <definedName name="_xlnm.Print_Area" localSheetId="50">'AL-1'!$A$1:$E$38</definedName>
    <definedName name="_xlnm.Print_Area" localSheetId="48">'Stmt AK'!$A$1:$H$47</definedName>
    <definedName name="problem" hidden="1">{#N/A,#N/A,FALSE,"trates"}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rt" hidden="1">{"'Attachment'!$A$1:$L$49"}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FALSE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samasra" hidden="1">{#N/A,#N/A,TRUE,"SDGE";#N/A,#N/A,TRUE,"GBU";#N/A,#N/A,TRUE,"TBU";#N/A,#N/A,TRUE,"EDBU";#N/A,#N/A,TRUE,"ExclCC"}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localSheetId="43" hidden="1">"3HLUHWD7UCRUUESL6DDMKVCIX"</definedName>
    <definedName name="SAPBEXwbID" localSheetId="48" hidden="1">"3HLUHWD7UCRUUESL6DDMKVCIX"</definedName>
    <definedName name="SAPBEXwbID" localSheetId="52" hidden="1">"3OI398WBFRH41IFEVHKOMVZ17"</definedName>
    <definedName name="SAPBEXwbID" localSheetId="54" hidden="1">"3OI398WBFRH41IFEVHKOMVZ17"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dafsadf" hidden="1">{#N/A,#N/A,FALSE,"Aging Summary";#N/A,#N/A,FALSE,"Ratio Analysis";#N/A,#N/A,FALSE,"Test 120 Day Accts";#N/A,#N/A,FALSE,"Tickmarks"}</definedName>
    <definedName name="sencount" hidden="1">1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pFor" hidden="1">#REF!</definedName>
    <definedName name="SpFor15" hidden="1">#REF!</definedName>
    <definedName name="SpFor22" hidden="1">#REF!</definedName>
    <definedName name="sss" hidden="1">{"SourcesUses",#N/A,TRUE,#N/A;"TransOverview",#N/A,TRUE,"CFMODEL"}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T1PR2_Capital_Accounts" hidden="1">#REF!</definedName>
    <definedName name="T1PR2_Cash_Flow" hidden="1">#REF!</definedName>
    <definedName name="T1PR2_Minimum_Gain_Chargeback" hidden="1">#REF!</definedName>
    <definedName name="T1PR2_Net_Cash_Flow_After_Tax" hidden="1">#REF!</definedName>
    <definedName name="T1PR2_Taxable_Income_Loss_Actual" hidden="1">#REF!</definedName>
    <definedName name="T1PR2_Total_Payments" hidden="1">#REF!</definedName>
    <definedName name="T1PR2_Total_Tax_Benefits" hidden="1">#REF!</definedName>
    <definedName name="T7ACM2Chk" hidden="1">#REF!</definedName>
    <definedName name="T7ACM2Chk2" hidden="1">#REF!</definedName>
    <definedName name="t7cm2chk" hidden="1">#REF!</definedName>
    <definedName name="T7CM2Chk2" hidden="1">#REF!</definedName>
    <definedName name="T8ACMChk" hidden="1">#REF!</definedName>
    <definedName name="T8ACMChk2" hidden="1">#REF!</definedName>
    <definedName name="T8CMChk" hidden="1">#REF!</definedName>
    <definedName name="T8CMChk2" hidden="1">#REF!</definedName>
    <definedName name="Table1_Check" hidden="1">#REF!</definedName>
    <definedName name="Table1_Store1_Description" hidden="1">#REF!</definedName>
    <definedName name="Target1__IRR" hidden="1">#REF!</definedName>
    <definedName name="Target2__IRR" hidden="1">#REF!</definedName>
    <definedName name="TDM" hidden="1">{#N/A,#N/A,FALSE,"Aging Summary";#N/A,#N/A,FALSE,"Ratio Analysis";#N/A,#N/A,FALSE,"Test 120 Day Accts";#N/A,#N/A,FALSE,"Tickmarks"}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7" hidden="1">{"Control_DataContact",#N/A,FALSE,"Control"}</definedName>
    <definedName name="test" localSheetId="20" hidden="1">{"Control_DataContact",#N/A,FALSE,"Control"}</definedName>
    <definedName name="test" localSheetId="37" hidden="1">{"Control_DataContact",#N/A,FALSE,"Control"}</definedName>
    <definedName name="test" localSheetId="38" hidden="1">{"Control_DataContact",#N/A,FALSE,"Control"}</definedName>
    <definedName name="test" localSheetId="53" hidden="1">{"Control_DataContact",#N/A,FALSE,"Control"}</definedName>
    <definedName name="test" localSheetId="4" hidden="1">{"Control_DataContact",#N/A,FALSE,"Control"}</definedName>
    <definedName name="test" localSheetId="54" hidden="1">{"Control_DataContact",#N/A,FALSE,"Control"}</definedName>
    <definedName name="test" localSheetId="58" hidden="1">{"Control_DataContact",#N/A,FALSE,"Control"}</definedName>
    <definedName name="test" hidden="1">{"Control_DataContact",#N/A,FALSE,"Control"}</definedName>
    <definedName name="test_1" hidden="1">{"Control_DataContact",#N/A,FALSE,"Control"}</definedName>
    <definedName name="test1_1" hidden="1">{"Sch.D_P_1Gas",#N/A,FALSE,"Sch.D";"Sch.D_P_2Elec",#N/A,FALSE,"Sch.D"}</definedName>
    <definedName name="test2006" hidden="1">{"SourcesUses",#N/A,TRUE,#N/A;"TransOverview",#N/A,TRUE,"CFMODEL"}</definedName>
    <definedName name="test3_1" hidden="1">{"Sch.E_PayrollExp",#N/A,TRUE,"Sch.E,F,G,H";"Sch.F_PayrollTaxes",#N/A,TRUE,"Sch.E,F,G,H";"Sch.G_IncentComp",#N/A,TRUE,"Sch.E,F,G,H";"Sch.H_P1_EmplBeneSum",#N/A,TRUE,"Sch.E,F,G,H"}</definedName>
    <definedName name="TextRefCopyRangeCount" hidden="1">39</definedName>
    <definedName name="This_Model_Enabled" hidden="1">#REF!</definedName>
    <definedName name="Top_of_Partner_Inputs_Sheet" hidden="1">#REF!</definedName>
    <definedName name="Top_Section_2" hidden="1">#REF!</definedName>
    <definedName name="Top_Section_3" hidden="1">#REF!</definedName>
    <definedName name="Top_Section_4" hidden="1">#REF!</definedName>
    <definedName name="Top_Section_5" hidden="1">#REF!</definedName>
    <definedName name="Top_Section_6" hidden="1">#REF!</definedName>
    <definedName name="Top_Section_7" hidden="1">#REF!</definedName>
    <definedName name="Top_Section_8" hidden="1">#REF!</definedName>
    <definedName name="TP_Footer_User" hidden="1">"Melvin Williams"</definedName>
    <definedName name="TP_Footer_Version" hidden="1">"v3.00"</definedName>
    <definedName name="TUCU" localSheetId="17" hidden="1">#REF!</definedName>
    <definedName name="TUCU" localSheetId="20" hidden="1">#REF!</definedName>
    <definedName name="TUCU" localSheetId="34" hidden="1">#REF!</definedName>
    <definedName name="TUCU" localSheetId="38" hidden="1">#REF!</definedName>
    <definedName name="TUCU" localSheetId="53" hidden="1">#REF!</definedName>
    <definedName name="TUCU" localSheetId="4" hidden="1">#REF!</definedName>
    <definedName name="TUCU" localSheetId="5" hidden="1">#REF!</definedName>
    <definedName name="TUCU" localSheetId="58" hidden="1">#REF!</definedName>
    <definedName name="TUCU" hidden="1">#REF!</definedName>
    <definedName name="w" hidden="1">{"SourcesUses",#N/A,TRUE,"CFMODEL";"TransOverview",#N/A,TRUE,"CFMODEL"}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ind_Partner_Data" hidden="1">#REF!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{"RPT610",#N/A,FALSE,"Sheet1";"RPT611",#N/A,FALSE,"Sheet1"}</definedName>
    <definedName name="wrn.AllSummarySheets." localSheetId="1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3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hidden="1">{#N/A,#N/A,FALSE,"trates"}</definedName>
    <definedName name="wrn.BS._.Elements.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7" hidden="1">{#N/A,#N/A,TRUE,"SDGE";#N/A,#N/A,TRUE,"GBU";#N/A,#N/A,TRUE,"TBU";#N/A,#N/A,TRUE,"EDBU";#N/A,#N/A,TRUE,"ExclCC"}</definedName>
    <definedName name="wrn.busum." localSheetId="20" hidden="1">{#N/A,#N/A,TRUE,"SDGE";#N/A,#N/A,TRUE,"GBU";#N/A,#N/A,TRUE,"TBU";#N/A,#N/A,TRUE,"EDBU";#N/A,#N/A,TRUE,"ExclCC"}</definedName>
    <definedName name="wrn.busum." localSheetId="37" hidden="1">{#N/A,#N/A,TRUE,"SDGE";#N/A,#N/A,TRUE,"GBU";#N/A,#N/A,TRUE,"TBU";#N/A,#N/A,TRUE,"EDBU";#N/A,#N/A,TRUE,"ExclCC"}</definedName>
    <definedName name="wrn.busum." localSheetId="38" hidden="1">{#N/A,#N/A,TRUE,"SDGE";#N/A,#N/A,TRUE,"GBU";#N/A,#N/A,TRUE,"TBU";#N/A,#N/A,TRUE,"EDBU";#N/A,#N/A,TRUE,"ExclCC"}</definedName>
    <definedName name="wrn.busum." localSheetId="42" hidden="1">{#N/A,#N/A,TRUE,"SDGE";#N/A,#N/A,TRUE,"GBU";#N/A,#N/A,TRUE,"TBU";#N/A,#N/A,TRUE,"EDBU";#N/A,#N/A,TRUE,"ExclCC"}</definedName>
    <definedName name="wrn.busum." localSheetId="53" hidden="1">{#N/A,#N/A,TRUE,"SDGE";#N/A,#N/A,TRUE,"GBU";#N/A,#N/A,TRUE,"TBU";#N/A,#N/A,TRUE,"EDBU";#N/A,#N/A,TRUE,"ExclCC"}</definedName>
    <definedName name="wrn.busum." localSheetId="4" hidden="1">{#N/A,#N/A,TRUE,"SDGE";#N/A,#N/A,TRUE,"GBU";#N/A,#N/A,TRUE,"TBU";#N/A,#N/A,TRUE,"EDBU";#N/A,#N/A,TRUE,"ExclCC"}</definedName>
    <definedName name="wrn.busum." localSheetId="58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7" hidden="1">{"Control_P1",#N/A,FALSE,"Control";"Control_P2",#N/A,FALSE,"Control";"Control_P3",#N/A,FALSE,"Control";"Control_P4",#N/A,FALSE,"Control"}</definedName>
    <definedName name="wrn.ControlSheets." localSheetId="20" hidden="1">{"Control_P1",#N/A,FALSE,"Control";"Control_P2",#N/A,FALSE,"Control";"Control_P3",#N/A,FALSE,"Control";"Control_P4",#N/A,FALSE,"Control"}</definedName>
    <definedName name="wrn.ControlSheets." localSheetId="37" hidden="1">{"Control_P1",#N/A,FALSE,"Control";"Control_P2",#N/A,FALSE,"Control";"Control_P3",#N/A,FALSE,"Control";"Control_P4",#N/A,FALSE,"Control"}</definedName>
    <definedName name="wrn.ControlSheets." localSheetId="38" hidden="1">{"Control_P1",#N/A,FALSE,"Control";"Control_P2",#N/A,FALSE,"Control";"Control_P3",#N/A,FALSE,"Control";"Control_P4",#N/A,FALSE,"Control"}</definedName>
    <definedName name="wrn.ControlSheets." localSheetId="53" hidden="1">{"Control_P1",#N/A,FALSE,"Control";"Control_P2",#N/A,FALSE,"Control";"Control_P3",#N/A,FALSE,"Control";"Control_P4",#N/A,FALSE,"Control"}</definedName>
    <definedName name="wrn.ControlSheets." localSheetId="4" hidden="1">{"Control_P1",#N/A,FALSE,"Control";"Control_P2",#N/A,FALSE,"Control";"Control_P3",#N/A,FALSE,"Control";"Control_P4",#N/A,FALSE,"Control"}</definedName>
    <definedName name="wrn.ControlSheets." localSheetId="54" hidden="1">{"Control_P1",#N/A,FALSE,"Control";"Control_P2",#N/A,FALSE,"Control";"Control_P3",#N/A,FALSE,"Control";"Control_P4",#N/A,FALSE,"Control"}</definedName>
    <definedName name="wrn.ControlSheets." localSheetId="58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hidden="1">{#N/A,#N/A,FALSE,"RECAP";#N/A,#N/A,FALSE,"MATBYCLS";#N/A,#N/A,FALSE,"STATUS";#N/A,#N/A,FALSE,"OP-ACT";#N/A,#N/A,FALSE,"W_O"}</definedName>
    <definedName name="wrn.Data." hidden="1">{#N/A,#N/A,FALSE,"3 Year Plan"}</definedName>
    <definedName name="wrn.Data_Contact." localSheetId="17" hidden="1">{"Control_DataContact",#N/A,FALSE,"Control"}</definedName>
    <definedName name="wrn.Data_Contact." localSheetId="20" hidden="1">{"Control_DataContact",#N/A,FALSE,"Control"}</definedName>
    <definedName name="wrn.Data_Contact." localSheetId="37" hidden="1">{"Control_DataContact",#N/A,FALSE,"Control"}</definedName>
    <definedName name="wrn.Data_Contact." localSheetId="38" hidden="1">{"Control_DataContact",#N/A,FALSE,"Control"}</definedName>
    <definedName name="wrn.Data_Contact." localSheetId="53" hidden="1">{"Control_DataContact",#N/A,FALSE,"Control"}</definedName>
    <definedName name="wrn.Data_Contact." localSheetId="4" hidden="1">{"Control_DataContact",#N/A,FALSE,"Control"}</definedName>
    <definedName name="wrn.Data_Contact." localSheetId="54" hidden="1">{"Control_DataContact",#N/A,FALSE,"Control"}</definedName>
    <definedName name="wrn.Data_Contact." localSheetId="58" hidden="1">{"Control_DataContact",#N/A,FALSE,"Control"}</definedName>
    <definedName name="wrn.Data_Contact." hidden="1">{"Control_DataContact",#N/A,FALSE,"Control"}</definedName>
    <definedName name="wrn.Data_Contact._1" hidden="1">{"Control_DataContact",#N/A,FALSE,"Control"}</definedName>
    <definedName name="wrn.Est_2003." localSheetId="17" hidden="1">{"Est_Pg1",#N/A,FALSE,"Estimate2003";"Est_Pg2",#N/A,FALSE,"Estimate2003";"Est_Pg3",#N/A,FALSE,"Estimate2003";"Escalation,",#N/A,FALSE,"Escalation"}</definedName>
    <definedName name="wrn.Est_2003." localSheetId="20" hidden="1">{"Est_Pg1",#N/A,FALSE,"Estimate2003";"Est_Pg2",#N/A,FALSE,"Estimate2003";"Est_Pg3",#N/A,FALSE,"Estimate2003";"Escalation,",#N/A,FALSE,"Escalation"}</definedName>
    <definedName name="wrn.Est_2003." localSheetId="37" hidden="1">{"Est_Pg1",#N/A,FALSE,"Estimate2003";"Est_Pg2",#N/A,FALSE,"Estimate2003";"Est_Pg3",#N/A,FALSE,"Estimate2003";"Escalation,",#N/A,FALSE,"Escalation"}</definedName>
    <definedName name="wrn.Est_2003." localSheetId="38" hidden="1">{"Est_Pg1",#N/A,FALSE,"Estimate2003";"Est_Pg2",#N/A,FALSE,"Estimate2003";"Est_Pg3",#N/A,FALSE,"Estimate2003";"Escalation,",#N/A,FALSE,"Escalation"}</definedName>
    <definedName name="wrn.Est_2003." localSheetId="53" hidden="1">{"Est_Pg1",#N/A,FALSE,"Estimate2003";"Est_Pg2",#N/A,FALSE,"Estimate2003";"Est_Pg3",#N/A,FALSE,"Estimate2003";"Escalation,",#N/A,FALSE,"Escalation"}</definedName>
    <definedName name="wrn.Est_2003." localSheetId="4" hidden="1">{"Est_Pg1",#N/A,FALSE,"Estimate2003";"Est_Pg2",#N/A,FALSE,"Estimate2003";"Est_Pg3",#N/A,FALSE,"Estimate2003";"Escalation,",#N/A,FALSE,"Escalation"}</definedName>
    <definedName name="wrn.Est_2003." localSheetId="54" hidden="1">{"Est_Pg1",#N/A,FALSE,"Estimate2003";"Est_Pg2",#N/A,FALSE,"Estimate2003";"Est_Pg3",#N/A,FALSE,"Estimate2003";"Escalation,",#N/A,FALSE,"Escalation"}</definedName>
    <definedName name="wrn.Est_2003." localSheetId="58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cst." hidden="1">{"fcst",#N/A,FALSE,"data input"}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TEs." hidden="1">{#N/A,#N/A,FALSE,"94 FTE";#N/A,#N/A,FALSE,"95 FTE";#N/A,#N/A,FALSE,"96 FTE"}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hidden="1">{#N/A,#N/A,FALSE,"A"}</definedName>
    <definedName name="wrn.Inputs." hidden="1">{"[Cost of Service] COS Inputs Sch 1",#N/A,FALSE,"Cost of Service Model"}</definedName>
    <definedName name="wrn.June2002." hidden="1">{"2002Frcst","06Month",FALSE,"Frcst Format 2002"}</definedName>
    <definedName name="wrn.JVREPORT." hidden="1">{#N/A,#N/A,FALSE,"202";#N/A,#N/A,FALSE,"203";#N/A,#N/A,FALSE,"204";#N/A,#N/A,FALSE,"205";#N/A,#N/A,FALSE,"205A"}</definedName>
    <definedName name="wrn.May2002." hidden="1">{"2002Frcst","05Month",FALSE,"Frcst Format 2002"}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hidden="1">{"Equipment",#N/A,FALSE,"A";"Summary",#N/A,FALSE,"B"}</definedName>
    <definedName name="wrn.MyTestReport." localSheetId="17" hidden="1">{"Alberta",#N/A,FALSE,"Pivot Data";#N/A,#N/A,FALSE,"Pivot Data";"HiddenColumns",#N/A,FALSE,"Pivot Data"}</definedName>
    <definedName name="wrn.MyTestReport." localSheetId="20" hidden="1">{"Alberta",#N/A,FALSE,"Pivot Data";#N/A,#N/A,FALSE,"Pivot Data";"HiddenColumns",#N/A,FALSE,"Pivot Data"}</definedName>
    <definedName name="wrn.MyTestReport." localSheetId="37" hidden="1">{"Alberta",#N/A,FALSE,"Pivot Data";#N/A,#N/A,FALSE,"Pivot Data";"HiddenColumns",#N/A,FALSE,"Pivot Data"}</definedName>
    <definedName name="wrn.MyTestReport." localSheetId="38" hidden="1">{"Alberta",#N/A,FALSE,"Pivot Data";#N/A,#N/A,FALSE,"Pivot Data";"HiddenColumns",#N/A,FALSE,"Pivot Data"}</definedName>
    <definedName name="wrn.MyTestReport." localSheetId="53" hidden="1">{"Alberta",#N/A,FALSE,"Pivot Data";#N/A,#N/A,FALSE,"Pivot Data";"HiddenColumns",#N/A,FALSE,"Pivot Data"}</definedName>
    <definedName name="wrn.MyTestReport." localSheetId="4" hidden="1">{"Alberta",#N/A,FALSE,"Pivot Data";#N/A,#N/A,FALSE,"Pivot Data";"HiddenColumns",#N/A,FALSE,"Pivot Data"}</definedName>
    <definedName name="wrn.MyTestReport." localSheetId="54" hidden="1">{"Alberta",#N/A,FALSE,"Pivot Data";#N/A,#N/A,FALSE,"Pivot Data";"HiddenColumns",#N/A,FALSE,"Pivot Data"}</definedName>
    <definedName name="wrn.MyTestReport." localSheetId="58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lan." hidden="1">{"plan",#N/A,FALSE,"data input"}</definedName>
    <definedName name="wrn.PRINT.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hidden="1">{"Var_page",#N/A,FALSE,"template"}</definedName>
    <definedName name="wrn.Print_Variance." hidden="1">{"month_variance",#N/A,FALSE,"template"}</definedName>
    <definedName name="wrn.Print_Variance_Page." hidden="1">{"variance_page",#N/A,FALSE,"template"}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hidden="1">{"RPT1",#N/A,FALSE,"OIC650A"}</definedName>
    <definedName name="wrn.RPT610." hidden="1">{"RPT610",#N/A,FALSE,"Sheet1"}</definedName>
    <definedName name="wrn.Sch.A._.B." localSheetId="17" hidden="1">{"Sch.A_CWC_Summary",#N/A,FALSE,"Sch.A,B";"Sch.B_LLSummary",#N/A,FALSE,"Sch.A,B"}</definedName>
    <definedName name="wrn.Sch.A._.B." localSheetId="20" hidden="1">{"Sch.A_CWC_Summary",#N/A,FALSE,"Sch.A,B";"Sch.B_LLSummary",#N/A,FALSE,"Sch.A,B"}</definedName>
    <definedName name="wrn.Sch.A._.B." localSheetId="37" hidden="1">{"Sch.A_CWC_Summary",#N/A,FALSE,"Sch.A,B";"Sch.B_LLSummary",#N/A,FALSE,"Sch.A,B"}</definedName>
    <definedName name="wrn.Sch.A._.B." localSheetId="38" hidden="1">{"Sch.A_CWC_Summary",#N/A,FALSE,"Sch.A,B";"Sch.B_LLSummary",#N/A,FALSE,"Sch.A,B"}</definedName>
    <definedName name="wrn.Sch.A._.B." localSheetId="53" hidden="1">{"Sch.A_CWC_Summary",#N/A,FALSE,"Sch.A,B";"Sch.B_LLSummary",#N/A,FALSE,"Sch.A,B"}</definedName>
    <definedName name="wrn.Sch.A._.B." localSheetId="4" hidden="1">{"Sch.A_CWC_Summary",#N/A,FALSE,"Sch.A,B";"Sch.B_LLSummary",#N/A,FALSE,"Sch.A,B"}</definedName>
    <definedName name="wrn.Sch.A._.B." localSheetId="54" hidden="1">{"Sch.A_CWC_Summary",#N/A,FALSE,"Sch.A,B";"Sch.B_LLSummary",#N/A,FALSE,"Sch.A,B"}</definedName>
    <definedName name="wrn.Sch.A._.B." localSheetId="58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localSheetId="17" hidden="1">{"Sch.C_Rev_lag",#N/A,FALSE,"Sch.C"}</definedName>
    <definedName name="wrn.Sch.C." localSheetId="20" hidden="1">{"Sch.C_Rev_lag",#N/A,FALSE,"Sch.C"}</definedName>
    <definedName name="wrn.Sch.C." localSheetId="37" hidden="1">{"Sch.C_Rev_lag",#N/A,FALSE,"Sch.C"}</definedName>
    <definedName name="wrn.Sch.C." localSheetId="38" hidden="1">{"Sch.C_Rev_lag",#N/A,FALSE,"Sch.C"}</definedName>
    <definedName name="wrn.Sch.C." localSheetId="53" hidden="1">{"Sch.C_Rev_lag",#N/A,FALSE,"Sch.C"}</definedName>
    <definedName name="wrn.Sch.C." localSheetId="4" hidden="1">{"Sch.C_Rev_lag",#N/A,FALSE,"Sch.C"}</definedName>
    <definedName name="wrn.Sch.C." localSheetId="54" hidden="1">{"Sch.C_Rev_lag",#N/A,FALSE,"Sch.C"}</definedName>
    <definedName name="wrn.Sch.C." localSheetId="58" hidden="1">{"Sch.C_Rev_lag",#N/A,FALSE,"Sch.C"}</definedName>
    <definedName name="wrn.Sch.C." hidden="1">{"Sch.C_Rev_lag",#N/A,FALSE,"Sch.C"}</definedName>
    <definedName name="wrn.Sch.C._1" hidden="1">{"Sch.C_Rev_lag",#N/A,FALSE,"Sch.C"}</definedName>
    <definedName name="wrn.Sch.D." localSheetId="17" hidden="1">{"Sch.D1_GasPurch",#N/A,FALSE,"Sch.D";"Sch.D2_ElecPurch",#N/A,FALSE,"Sch.D"}</definedName>
    <definedName name="wrn.Sch.D." localSheetId="20" hidden="1">{"Sch.D1_GasPurch",#N/A,FALSE,"Sch.D";"Sch.D2_ElecPurch",#N/A,FALSE,"Sch.D"}</definedName>
    <definedName name="wrn.Sch.D." localSheetId="37" hidden="1">{"Sch.D1_GasPurch",#N/A,FALSE,"Sch.D";"Sch.D2_ElecPurch",#N/A,FALSE,"Sch.D"}</definedName>
    <definedName name="wrn.Sch.D." localSheetId="38" hidden="1">{"Sch.D1_GasPurch",#N/A,FALSE,"Sch.D";"Sch.D2_ElecPurch",#N/A,FALSE,"Sch.D"}</definedName>
    <definedName name="wrn.Sch.D." localSheetId="53" hidden="1">{"Sch.D1_GasPurch",#N/A,FALSE,"Sch.D";"Sch.D2_ElecPurch",#N/A,FALSE,"Sch.D"}</definedName>
    <definedName name="wrn.Sch.D." localSheetId="4" hidden="1">{"Sch.D1_GasPurch",#N/A,FALSE,"Sch.D";"Sch.D2_ElecPurch",#N/A,FALSE,"Sch.D"}</definedName>
    <definedName name="wrn.Sch.D." localSheetId="54" hidden="1">{"Sch.D1_GasPurch",#N/A,FALSE,"Sch.D";"Sch.D2_ElecPurch",#N/A,FALSE,"Sch.D"}</definedName>
    <definedName name="wrn.Sch.D." localSheetId="58" hidden="1">{"Sch.D1_GasPurch",#N/A,FALSE,"Sch.D";"Sch.D2_ElecPurch",#N/A,FALSE,"Sch.D"}</definedName>
    <definedName name="wrn.Sch.D.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localSheetId="17" hidden="1">{"Sch.E_PayrollExp",#N/A,TRUE,"Sch.E,F";"Sch.F_FICA",#N/A,TRUE,"Sch.E,F"}</definedName>
    <definedName name="wrn.Sch.E._.F." localSheetId="20" hidden="1">{"Sch.E_PayrollExp",#N/A,TRUE,"Sch.E,F";"Sch.F_FICA",#N/A,TRUE,"Sch.E,F"}</definedName>
    <definedName name="wrn.Sch.E._.F." localSheetId="37" hidden="1">{"Sch.E_PayrollExp",#N/A,TRUE,"Sch.E,F";"Sch.F_FICA",#N/A,TRUE,"Sch.E,F"}</definedName>
    <definedName name="wrn.Sch.E._.F." localSheetId="38" hidden="1">{"Sch.E_PayrollExp",#N/A,TRUE,"Sch.E,F";"Sch.F_FICA",#N/A,TRUE,"Sch.E,F"}</definedName>
    <definedName name="wrn.Sch.E._.F." localSheetId="53" hidden="1">{"Sch.E_PayrollExp",#N/A,TRUE,"Sch.E,F";"Sch.F_FICA",#N/A,TRUE,"Sch.E,F"}</definedName>
    <definedName name="wrn.Sch.E._.F." localSheetId="4" hidden="1">{"Sch.E_PayrollExp",#N/A,TRUE,"Sch.E,F";"Sch.F_FICA",#N/A,TRUE,"Sch.E,F"}</definedName>
    <definedName name="wrn.Sch.E._.F." localSheetId="54" hidden="1">{"Sch.E_PayrollExp",#N/A,TRUE,"Sch.E,F";"Sch.F_FICA",#N/A,TRUE,"Sch.E,F"}</definedName>
    <definedName name="wrn.Sch.E._.F." localSheetId="58" hidden="1">{"Sch.E_PayrollExp",#N/A,TRUE,"Sch.E,F";"Sch.F_FICA",#N/A,TRUE,"Sch.E,F"}</definedName>
    <definedName name="wrn.Sch.E._.F." hidden="1">{"Sch.E_PayrollExp",#N/A,TRUE,"Sch.E,F";"Sch.F_FICA",#N/A,TRUE,"Sch.E,F"}</definedName>
    <definedName name="wrn.Sch.E._.F._1" hidden="1">{"Sch.E_PayrollExp",#N/A,TRUE,"Sch.E,F";"Sch.F_FICA",#N/A,TRUE,"Sch.E,F"}</definedName>
    <definedName name="wrn.Sch.G." localSheetId="17" hidden="1">{"Sch.G_ICP",#N/A,FALSE,"Sch.G"}</definedName>
    <definedName name="wrn.Sch.G." localSheetId="20" hidden="1">{"Sch.G_ICP",#N/A,FALSE,"Sch.G"}</definedName>
    <definedName name="wrn.Sch.G." localSheetId="37" hidden="1">{"Sch.G_ICP",#N/A,FALSE,"Sch.G"}</definedName>
    <definedName name="wrn.Sch.G." localSheetId="38" hidden="1">{"Sch.G_ICP",#N/A,FALSE,"Sch.G"}</definedName>
    <definedName name="wrn.Sch.G." localSheetId="53" hidden="1">{"Sch.G_ICP",#N/A,FALSE,"Sch.G"}</definedName>
    <definedName name="wrn.Sch.G." localSheetId="4" hidden="1">{"Sch.G_ICP",#N/A,FALSE,"Sch.G"}</definedName>
    <definedName name="wrn.Sch.G." localSheetId="54" hidden="1">{"Sch.G_ICP",#N/A,FALSE,"Sch.G"}</definedName>
    <definedName name="wrn.Sch.G." localSheetId="58" hidden="1">{"Sch.G_ICP",#N/A,FALSE,"Sch.G"}</definedName>
    <definedName name="wrn.Sch.G." hidden="1">{"Sch.G_ICP",#N/A,FALSE,"Sch.G"}</definedName>
    <definedName name="wrn.Sch.G._1" hidden="1">{"Sch.G_ICP",#N/A,FALSE,"Sch.G"}</definedName>
    <definedName name="wrn.Sch.H.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7" hidden="1">{"Sch.I_Goods&amp;Svcs",#N/A,FALSE,"Sch.I"}</definedName>
    <definedName name="wrn.Sch.I." localSheetId="20" hidden="1">{"Sch.I_Goods&amp;Svcs",#N/A,FALSE,"Sch.I"}</definedName>
    <definedName name="wrn.Sch.I." localSheetId="37" hidden="1">{"Sch.I_Goods&amp;Svcs",#N/A,FALSE,"Sch.I"}</definedName>
    <definedName name="wrn.Sch.I." localSheetId="38" hidden="1">{"Sch.I_Goods&amp;Svcs",#N/A,FALSE,"Sch.I"}</definedName>
    <definedName name="wrn.Sch.I." localSheetId="53" hidden="1">{"Sch.I_Goods&amp;Svcs",#N/A,FALSE,"Sch.I"}</definedName>
    <definedName name="wrn.Sch.I." localSheetId="4" hidden="1">{"Sch.I_Goods&amp;Svcs",#N/A,FALSE,"Sch.I"}</definedName>
    <definedName name="wrn.Sch.I." localSheetId="54" hidden="1">{"Sch.I_Goods&amp;Svcs",#N/A,FALSE,"Sch.I"}</definedName>
    <definedName name="wrn.Sch.I." localSheetId="58" hidden="1">{"Sch.I_Goods&amp;Svcs",#N/A,FALSE,"Sch.I"}</definedName>
    <definedName name="wrn.Sch.I." hidden="1">{"Sch.I_Goods&amp;Svcs",#N/A,FALSE,"Sch.I"}</definedName>
    <definedName name="wrn.Sch.I._1" hidden="1">{"Sch.I_Goods&amp;Svcs",#N/A,FALSE,"Sch.I"}</definedName>
    <definedName name="wrn.Sch.J." localSheetId="17" hidden="1">{"Sch.J_CorpChgs",#N/A,FALSE,"Sch.J"}</definedName>
    <definedName name="wrn.Sch.J." localSheetId="20" hidden="1">{"Sch.J_CorpChgs",#N/A,FALSE,"Sch.J"}</definedName>
    <definedName name="wrn.Sch.J." localSheetId="37" hidden="1">{"Sch.J_CorpChgs",#N/A,FALSE,"Sch.J"}</definedName>
    <definedName name="wrn.Sch.J." localSheetId="38" hidden="1">{"Sch.J_CorpChgs",#N/A,FALSE,"Sch.J"}</definedName>
    <definedName name="wrn.Sch.J." localSheetId="53" hidden="1">{"Sch.J_CorpChgs",#N/A,FALSE,"Sch.J"}</definedName>
    <definedName name="wrn.Sch.J." localSheetId="4" hidden="1">{"Sch.J_CorpChgs",#N/A,FALSE,"Sch.J"}</definedName>
    <definedName name="wrn.Sch.J." localSheetId="54" hidden="1">{"Sch.J_CorpChgs",#N/A,FALSE,"Sch.J"}</definedName>
    <definedName name="wrn.Sch.J." localSheetId="58" hidden="1">{"Sch.J_CorpChgs",#N/A,FALSE,"Sch.J"}</definedName>
    <definedName name="wrn.Sch.J." hidden="1">{"Sch.J_CorpChgs",#N/A,FALSE,"Sch.J"}</definedName>
    <definedName name="wrn.Sch.J._1" hidden="1">{"Sch.J_CorpChgs",#N/A,FALSE,"Sch.J"}</definedName>
    <definedName name="wrn.Sch.K." localSheetId="17" hidden="1">{"Sch.K_P1_PropLease",#N/A,FALSE,"Sch.K";"Sch.K_P2_PropLease",#N/A,FALSE,"Sch.K"}</definedName>
    <definedName name="wrn.Sch.K." localSheetId="20" hidden="1">{"Sch.K_P1_PropLease",#N/A,FALSE,"Sch.K";"Sch.K_P2_PropLease",#N/A,FALSE,"Sch.K"}</definedName>
    <definedName name="wrn.Sch.K." localSheetId="37" hidden="1">{"Sch.K_P1_PropLease",#N/A,FALSE,"Sch.K";"Sch.K_P2_PropLease",#N/A,FALSE,"Sch.K"}</definedName>
    <definedName name="wrn.Sch.K." localSheetId="38" hidden="1">{"Sch.K_P1_PropLease",#N/A,FALSE,"Sch.K";"Sch.K_P2_PropLease",#N/A,FALSE,"Sch.K"}</definedName>
    <definedName name="wrn.Sch.K." localSheetId="53" hidden="1">{"Sch.K_P1_PropLease",#N/A,FALSE,"Sch.K";"Sch.K_P2_PropLease",#N/A,FALSE,"Sch.K"}</definedName>
    <definedName name="wrn.Sch.K." localSheetId="4" hidden="1">{"Sch.K_P1_PropLease",#N/A,FALSE,"Sch.K";"Sch.K_P2_PropLease",#N/A,FALSE,"Sch.K"}</definedName>
    <definedName name="wrn.Sch.K." localSheetId="54" hidden="1">{"Sch.K_P1_PropLease",#N/A,FALSE,"Sch.K";"Sch.K_P2_PropLease",#N/A,FALSE,"Sch.K"}</definedName>
    <definedName name="wrn.Sch.K." localSheetId="58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localSheetId="17" hidden="1">{"Sch.L_MaterialIssue",#N/A,FALSE,"Sch.L"}</definedName>
    <definedName name="wrn.Sch.L." localSheetId="20" hidden="1">{"Sch.L_MaterialIssue",#N/A,FALSE,"Sch.L"}</definedName>
    <definedName name="wrn.Sch.L." localSheetId="37" hidden="1">{"Sch.L_MaterialIssue",#N/A,FALSE,"Sch.L"}</definedName>
    <definedName name="wrn.Sch.L." localSheetId="38" hidden="1">{"Sch.L_MaterialIssue",#N/A,FALSE,"Sch.L"}</definedName>
    <definedName name="wrn.Sch.L." localSheetId="53" hidden="1">{"Sch.L_MaterialIssue",#N/A,FALSE,"Sch.L"}</definedName>
    <definedName name="wrn.Sch.L." localSheetId="4" hidden="1">{"Sch.L_MaterialIssue",#N/A,FALSE,"Sch.L"}</definedName>
    <definedName name="wrn.Sch.L." localSheetId="54" hidden="1">{"Sch.L_MaterialIssue",#N/A,FALSE,"Sch.L"}</definedName>
    <definedName name="wrn.Sch.L." localSheetId="58" hidden="1">{"Sch.L_MaterialIssue",#N/A,FALSE,"Sch.L"}</definedName>
    <definedName name="wrn.Sch.L." hidden="1">{"Sch.L_MaterialIssue",#N/A,FALSE,"Sch.L"}</definedName>
    <definedName name="wrn.Sch.L._1" hidden="1">{"Sch.L_MaterialIssue",#N/A,FALSE,"Sch.L"}</definedName>
    <definedName name="wrn.Sch.M." localSheetId="17" hidden="1">{"Sch.M_Prop&amp;FFTaxes",#N/A,FALSE,"Sch.M"}</definedName>
    <definedName name="wrn.Sch.M." localSheetId="20" hidden="1">{"Sch.M_Prop&amp;FFTaxes",#N/A,FALSE,"Sch.M"}</definedName>
    <definedName name="wrn.Sch.M." localSheetId="37" hidden="1">{"Sch.M_Prop&amp;FFTaxes",#N/A,FALSE,"Sch.M"}</definedName>
    <definedName name="wrn.Sch.M." localSheetId="38" hidden="1">{"Sch.M_Prop&amp;FFTaxes",#N/A,FALSE,"Sch.M"}</definedName>
    <definedName name="wrn.Sch.M." localSheetId="53" hidden="1">{"Sch.M_Prop&amp;FFTaxes",#N/A,FALSE,"Sch.M"}</definedName>
    <definedName name="wrn.Sch.M." localSheetId="4" hidden="1">{"Sch.M_Prop&amp;FFTaxes",#N/A,FALSE,"Sch.M"}</definedName>
    <definedName name="wrn.Sch.M." localSheetId="54" hidden="1">{"Sch.M_Prop&amp;FFTaxes",#N/A,FALSE,"Sch.M"}</definedName>
    <definedName name="wrn.Sch.M." localSheetId="58" hidden="1">{"Sch.M_Prop&amp;FFTaxes",#N/A,FALSE,"Sch.M"}</definedName>
    <definedName name="wrn.Sch.M." hidden="1">{"Sch.M_Prop&amp;FFTaxes",#N/A,FALSE,"Sch.M"}</definedName>
    <definedName name="wrn.Sch.M._1" hidden="1">{"Sch.M_Prop&amp;FFTaxes",#N/A,FALSE,"Sch.M"}</definedName>
    <definedName name="wrn.Sch.N." localSheetId="17" hidden="1">{"Sch.N_IncTaxes",#N/A,FALSE,"Sch. N, O"}</definedName>
    <definedName name="wrn.Sch.N." localSheetId="20" hidden="1">{"Sch.N_IncTaxes",#N/A,FALSE,"Sch. N, O"}</definedName>
    <definedName name="wrn.Sch.N." localSheetId="37" hidden="1">{"Sch.N_IncTaxes",#N/A,FALSE,"Sch. N, O"}</definedName>
    <definedName name="wrn.Sch.N." localSheetId="38" hidden="1">{"Sch.N_IncTaxes",#N/A,FALSE,"Sch. N, O"}</definedName>
    <definedName name="wrn.Sch.N." localSheetId="53" hidden="1">{"Sch.N_IncTaxes",#N/A,FALSE,"Sch. N, O"}</definedName>
    <definedName name="wrn.Sch.N." localSheetId="4" hidden="1">{"Sch.N_IncTaxes",#N/A,FALSE,"Sch. N, O"}</definedName>
    <definedName name="wrn.Sch.N." localSheetId="54" hidden="1">{"Sch.N_IncTaxes",#N/A,FALSE,"Sch. N, O"}</definedName>
    <definedName name="wrn.Sch.N." localSheetId="58" hidden="1">{"Sch.N_IncTaxes",#N/A,FALSE,"Sch. N, O"}</definedName>
    <definedName name="wrn.Sch.N." hidden="1">{"Sch.N_IncTaxes",#N/A,FALSE,"Sch. N, O"}</definedName>
    <definedName name="wrn.Sch.N._1" hidden="1">{"Sch.N_IncTaxes",#N/A,FALSE,"Sch. N, O"}</definedName>
    <definedName name="wrn.Sch.O." localSheetId="17" hidden="1">{"Sch.O1_FedITDeferred",#N/A,FALSE,"Sch. N, O";"Sch_O2_Depreciation",#N/A,FALSE,"Sch. N, O";"Sch_O3_AmortInsurance",#N/A,FALSE,"Sch. N, O"}</definedName>
    <definedName name="wrn.Sch.O." localSheetId="20" hidden="1">{"Sch.O1_FedITDeferred",#N/A,FALSE,"Sch. N, O";"Sch_O2_Depreciation",#N/A,FALSE,"Sch. N, O";"Sch_O3_AmortInsurance",#N/A,FALSE,"Sch. N, O"}</definedName>
    <definedName name="wrn.Sch.O." localSheetId="37" hidden="1">{"Sch.O1_FedITDeferred",#N/A,FALSE,"Sch. N, O";"Sch_O2_Depreciation",#N/A,FALSE,"Sch. N, O";"Sch_O3_AmortInsurance",#N/A,FALSE,"Sch. N, O"}</definedName>
    <definedName name="wrn.Sch.O." localSheetId="38" hidden="1">{"Sch.O1_FedITDeferred",#N/A,FALSE,"Sch. N, O";"Sch_O2_Depreciation",#N/A,FALSE,"Sch. N, O";"Sch_O3_AmortInsurance",#N/A,FALSE,"Sch. N, O"}</definedName>
    <definedName name="wrn.Sch.O." localSheetId="53" hidden="1">{"Sch.O1_FedITDeferred",#N/A,FALSE,"Sch. N, O";"Sch_O2_Depreciation",#N/A,FALSE,"Sch. N, O";"Sch_O3_AmortInsurance",#N/A,FALSE,"Sch. N, O"}</definedName>
    <definedName name="wrn.Sch.O." localSheetId="4" hidden="1">{"Sch.O1_FedITDeferred",#N/A,FALSE,"Sch. N, O";"Sch_O2_Depreciation",#N/A,FALSE,"Sch. N, O";"Sch_O3_AmortInsurance",#N/A,FALSE,"Sch. N, O"}</definedName>
    <definedName name="wrn.Sch.O." localSheetId="54" hidden="1">{"Sch.O1_FedITDeferred",#N/A,FALSE,"Sch. N, O";"Sch_O2_Depreciation",#N/A,FALSE,"Sch. N, O";"Sch_O3_AmortInsurance",#N/A,FALSE,"Sch. N, O"}</definedName>
    <definedName name="wrn.Sch.O." localSheetId="58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localSheetId="17" hidden="1">{"Sch.P_BS_Bal",#N/A,FALSE,"WP-BS Elem"}</definedName>
    <definedName name="wrn.Sch.P." localSheetId="20" hidden="1">{"Sch.P_BS_Bal",#N/A,FALSE,"WP-BS Elem"}</definedName>
    <definedName name="wrn.Sch.P." localSheetId="37" hidden="1">{"Sch.P_BS_Bal",#N/A,FALSE,"WP-BS Elem"}</definedName>
    <definedName name="wrn.Sch.P." localSheetId="38" hidden="1">{"Sch.P_BS_Bal",#N/A,FALSE,"WP-BS Elem"}</definedName>
    <definedName name="wrn.Sch.P." localSheetId="53" hidden="1">{"Sch.P_BS_Bal",#N/A,FALSE,"WP-BS Elem"}</definedName>
    <definedName name="wrn.Sch.P." localSheetId="4" hidden="1">{"Sch.P_BS_Bal",#N/A,FALSE,"WP-BS Elem"}</definedName>
    <definedName name="wrn.Sch.P." localSheetId="54" hidden="1">{"Sch.P_BS_Bal",#N/A,FALSE,"WP-BS Elem"}</definedName>
    <definedName name="wrn.Sch.P." localSheetId="58" hidden="1">{"Sch.P_BS_Bal",#N/A,FALSE,"WP-BS Elem"}</definedName>
    <definedName name="wrn.Sch.P." hidden="1">{"Sch.P_BS_Bal",#N/A,FALSE,"WP-BS Elem"}</definedName>
    <definedName name="wrn.Sch.P._.Accts." localSheetId="17" hidden="1">{"Sch.P_BS_Accts",#N/A,FALSE,"WP-BS Elem"}</definedName>
    <definedName name="wrn.Sch.P._.Accts." localSheetId="20" hidden="1">{"Sch.P_BS_Accts",#N/A,FALSE,"WP-BS Elem"}</definedName>
    <definedName name="wrn.Sch.P._.Accts." localSheetId="37" hidden="1">{"Sch.P_BS_Accts",#N/A,FALSE,"WP-BS Elem"}</definedName>
    <definedName name="wrn.Sch.P._.Accts." localSheetId="38" hidden="1">{"Sch.P_BS_Accts",#N/A,FALSE,"WP-BS Elem"}</definedName>
    <definedName name="wrn.Sch.P._.Accts." localSheetId="53" hidden="1">{"Sch.P_BS_Accts",#N/A,FALSE,"WP-BS Elem"}</definedName>
    <definedName name="wrn.Sch.P._.Accts." localSheetId="4" hidden="1">{"Sch.P_BS_Accts",#N/A,FALSE,"WP-BS Elem"}</definedName>
    <definedName name="wrn.Sch.P._.Accts." localSheetId="54" hidden="1">{"Sch.P_BS_Accts",#N/A,FALSE,"WP-BS Elem"}</definedName>
    <definedName name="wrn.Sch.P._.Accts." localSheetId="58" hidden="1">{"Sch.P_BS_Accts",#N/A,FALSE,"WP-BS Elem"}</definedName>
    <definedName name="wrn.Sch.P._.Accts." hidden="1">{"Sch.P_BS_Accts",#N/A,FALSE,"WP-BS Elem"}</definedName>
    <definedName name="wrn.Sch.P._.Accts._1" hidden="1">{"Sch.P_BS_Accts",#N/A,FALSE,"WP-BS Elem"}</definedName>
    <definedName name="wrn.Sch.P._1" hidden="1">{"Sch.P_BS_Bal",#N/A,FALSE,"WP-BS Elem"}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610." hidden="1">{"TEST610",#N/A,FALSE,"Sheet1"}</definedName>
    <definedName name="wrn.TEST611." hidden="1">{"TEST611",#N/A,FALSE,"Sheet1"}</definedName>
    <definedName name="wrn.total._.10._.yr." hidden="1">{"total_10yr",#N/A,FALSE,"Data (t8-t4)"}</definedName>
    <definedName name="wrn.total._.98." hidden="1">{"total_98",#N/A,FALSE,"Data (t8-t4)"}</definedName>
    <definedName name="wrn.XX." hidden="1">{#N/A,#N/A,FALSE,"337"}</definedName>
    <definedName name="WTDEVCOSTS" hidden="1">#REF!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es" hidden="1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RangeCount" hidden="1">3</definedName>
    <definedName name="xxx" localSheetId="17" hidden="1">#REF!</definedName>
    <definedName name="xxx" localSheetId="20" hidden="1">#REF!</definedName>
    <definedName name="xxx" localSheetId="34" hidden="1">#REF!</definedName>
    <definedName name="xxx" localSheetId="38" hidden="1">#REF!</definedName>
    <definedName name="xxx" localSheetId="53" hidden="1">#REF!</definedName>
    <definedName name="xxx" localSheetId="4" hidden="1">#REF!</definedName>
    <definedName name="xxx" localSheetId="5" hidden="1">#REF!</definedName>
    <definedName name="xxx" localSheetId="58" hidden="1">#REF!</definedName>
    <definedName name="xxx" hidden="1">#REF!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Z_598CECA0_5C60_11D3_B382_005004054BC5_.wvu.Rows" hidden="1">#REF!,#REF!,#REF!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0" l="1"/>
  <c r="E14" i="42"/>
  <c r="E12" i="42"/>
  <c r="H35" i="42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A35" i="42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E38" i="42"/>
  <c r="E35" i="42"/>
  <c r="C25" i="112"/>
  <c r="C19" i="165" l="1"/>
  <c r="C21" i="112" l="1"/>
  <c r="G22" i="157" l="1"/>
  <c r="G20" i="157"/>
  <c r="E33" i="40" l="1"/>
  <c r="E50" i="42"/>
  <c r="E55" i="41"/>
  <c r="E41" i="40" l="1"/>
  <c r="E40" i="40"/>
  <c r="E39" i="40"/>
  <c r="E38" i="40"/>
  <c r="E36" i="40"/>
  <c r="E35" i="40"/>
  <c r="E34" i="40"/>
  <c r="E32" i="40"/>
  <c r="E24" i="42"/>
  <c r="E22" i="42"/>
  <c r="E21" i="42"/>
  <c r="E18" i="42"/>
  <c r="E17" i="42"/>
  <c r="E13" i="42"/>
  <c r="E47" i="42" l="1"/>
  <c r="E19" i="42" s="1"/>
  <c r="E40" i="42"/>
  <c r="E16" i="42" s="1"/>
  <c r="E14" i="27"/>
  <c r="E13" i="27"/>
  <c r="D14" i="26"/>
  <c r="D14" i="25"/>
  <c r="H14" i="23"/>
  <c r="F26" i="168"/>
  <c r="H26" i="23"/>
  <c r="H31" i="23"/>
  <c r="D16" i="26"/>
  <c r="E53" i="42" l="1"/>
  <c r="D16" i="25"/>
  <c r="E64" i="41" l="1"/>
  <c r="E65" i="41"/>
  <c r="E63" i="41"/>
  <c r="E54" i="41" l="1"/>
  <c r="G36" i="82" l="1"/>
  <c r="D54" i="84" l="1"/>
  <c r="D55" i="84" s="1"/>
  <c r="D56" i="84" s="1"/>
  <c r="D57" i="84" s="1"/>
  <c r="D58" i="84" s="1"/>
  <c r="D59" i="84" s="1"/>
  <c r="D60" i="84" s="1"/>
  <c r="D61" i="84" s="1"/>
  <c r="D62" i="84" s="1"/>
  <c r="D63" i="84" s="1"/>
  <c r="A54" i="84"/>
  <c r="A55" i="84"/>
  <c r="A56" i="84"/>
  <c r="A57" i="84"/>
  <c r="A58" i="84"/>
  <c r="A59" i="84"/>
  <c r="A60" i="84"/>
  <c r="A61" i="84"/>
  <c r="A62" i="84" s="1"/>
  <c r="A63" i="84" s="1"/>
  <c r="E26" i="40" l="1"/>
  <c r="K45" i="165" l="1"/>
  <c r="K40" i="165"/>
  <c r="K30" i="165"/>
  <c r="J30" i="167" l="1"/>
  <c r="G25" i="40" l="1"/>
  <c r="G24" i="40"/>
  <c r="G23" i="40"/>
  <c r="G22" i="40"/>
  <c r="G21" i="40"/>
  <c r="G20" i="40"/>
  <c r="G19" i="40"/>
  <c r="E25" i="40"/>
  <c r="E24" i="40"/>
  <c r="E23" i="40"/>
  <c r="E20" i="40"/>
  <c r="E19" i="40"/>
  <c r="A74" i="41"/>
  <c r="H74" i="41"/>
  <c r="E38" i="41"/>
  <c r="E37" i="41"/>
  <c r="E36" i="41"/>
  <c r="E21" i="41"/>
  <c r="E20" i="41"/>
  <c r="E11" i="41"/>
  <c r="E62" i="41"/>
  <c r="E24" i="41" s="1"/>
  <c r="E22" i="40" l="1"/>
  <c r="E67" i="41"/>
  <c r="B52" i="169" l="1"/>
  <c r="C46" i="169"/>
  <c r="G19" i="156" s="1"/>
  <c r="B46" i="169"/>
  <c r="B44" i="169"/>
  <c r="B42" i="169"/>
  <c r="C38" i="169"/>
  <c r="B38" i="169"/>
  <c r="B36" i="169"/>
  <c r="D34" i="169"/>
  <c r="C34" i="169"/>
  <c r="B34" i="169"/>
  <c r="D32" i="169"/>
  <c r="C32" i="169"/>
  <c r="C44" i="169"/>
  <c r="C42" i="169"/>
  <c r="F19" i="156" s="1"/>
  <c r="C17" i="169"/>
  <c r="C23" i="169" s="1"/>
  <c r="C27" i="169" s="1"/>
  <c r="A13" i="169"/>
  <c r="D36" i="169" s="1"/>
  <c r="A12" i="169"/>
  <c r="E11" i="169"/>
  <c r="E12" i="169" s="1"/>
  <c r="E13" i="169" s="1"/>
  <c r="E14" i="169" s="1"/>
  <c r="E15" i="169" s="1"/>
  <c r="E16" i="169" s="1"/>
  <c r="E17" i="169" s="1"/>
  <c r="E18" i="169" s="1"/>
  <c r="E19" i="169" s="1"/>
  <c r="E20" i="169" s="1"/>
  <c r="E21" i="169" s="1"/>
  <c r="E22" i="169" s="1"/>
  <c r="E23" i="169" s="1"/>
  <c r="E24" i="169" s="1"/>
  <c r="E25" i="169" s="1"/>
  <c r="E26" i="169" s="1"/>
  <c r="E27" i="169" s="1"/>
  <c r="E28" i="169" s="1"/>
  <c r="E33" i="169" s="1"/>
  <c r="E34" i="169" s="1"/>
  <c r="E35" i="169" s="1"/>
  <c r="E36" i="169" s="1"/>
  <c r="E37" i="169" s="1"/>
  <c r="E38" i="169" s="1"/>
  <c r="E39" i="169" s="1"/>
  <c r="E40" i="169" s="1"/>
  <c r="E41" i="169" s="1"/>
  <c r="E42" i="169" s="1"/>
  <c r="E43" i="169" s="1"/>
  <c r="E44" i="169" s="1"/>
  <c r="E45" i="169" s="1"/>
  <c r="E46" i="169" s="1"/>
  <c r="E47" i="169" s="1"/>
  <c r="E48" i="169" s="1"/>
  <c r="E49" i="169" s="1"/>
  <c r="E50" i="169" s="1"/>
  <c r="E51" i="169" s="1"/>
  <c r="E52" i="169" s="1"/>
  <c r="E53" i="169" s="1"/>
  <c r="C36" i="169" l="1"/>
  <c r="C40" i="169" s="1"/>
  <c r="C48" i="169" s="1"/>
  <c r="A14" i="169"/>
  <c r="A15" i="169" s="1"/>
  <c r="C52" i="169" l="1"/>
  <c r="E19" i="156"/>
  <c r="D38" i="169"/>
  <c r="A16" i="169"/>
  <c r="A17" i="169" s="1"/>
  <c r="D17" i="169"/>
  <c r="A18" i="169" l="1"/>
  <c r="A19" i="169" s="1"/>
  <c r="D42" i="169" l="1"/>
  <c r="A20" i="169"/>
  <c r="A21" i="169" s="1"/>
  <c r="D23" i="169"/>
  <c r="A22" i="169" l="1"/>
  <c r="A23" i="169" s="1"/>
  <c r="D44" i="169"/>
  <c r="A24" i="169" l="1"/>
  <c r="A25" i="169" s="1"/>
  <c r="D46" i="169" l="1"/>
  <c r="A26" i="169"/>
  <c r="A27" i="169" s="1"/>
  <c r="A28" i="169" s="1"/>
  <c r="A33" i="169" s="1"/>
  <c r="A34" i="169" s="1"/>
  <c r="D27" i="169"/>
  <c r="A35" i="169" l="1"/>
  <c r="A36" i="169" s="1"/>
  <c r="A37" i="169" s="1"/>
  <c r="A38" i="169" s="1"/>
  <c r="A39" i="169" s="1"/>
  <c r="A40" i="169" s="1"/>
  <c r="A41" i="169" l="1"/>
  <c r="A42" i="169" s="1"/>
  <c r="A43" i="169" s="1"/>
  <c r="A44" i="169" s="1"/>
  <c r="A45" i="169" s="1"/>
  <c r="A46" i="169" s="1"/>
  <c r="A47" i="169" s="1"/>
  <c r="A48" i="169" s="1"/>
  <c r="D40" i="169"/>
  <c r="A49" i="169" l="1"/>
  <c r="A50" i="169" s="1"/>
  <c r="A51" i="169" s="1"/>
  <c r="A52" i="169" s="1"/>
  <c r="A53" i="169" s="1"/>
  <c r="D52" i="169"/>
  <c r="D48" i="169"/>
  <c r="B5" i="156" l="1"/>
  <c r="G43" i="40" l="1"/>
  <c r="H43" i="40"/>
  <c r="A43" i="40"/>
  <c r="A44" i="40"/>
  <c r="F28" i="42" l="1"/>
  <c r="F13" i="42"/>
  <c r="F15" i="42"/>
  <c r="F20" i="42"/>
  <c r="F23" i="42"/>
  <c r="F22" i="42" l="1"/>
  <c r="F25" i="41"/>
  <c r="F13" i="41"/>
  <c r="F14" i="41"/>
  <c r="F16" i="41"/>
  <c r="F17" i="41"/>
  <c r="F18" i="41"/>
  <c r="F22" i="41"/>
  <c r="F12" i="41"/>
  <c r="F11" i="41" l="1"/>
  <c r="D15" i="27" l="1"/>
  <c r="B6" i="24"/>
  <c r="B5" i="10" l="1"/>
  <c r="D15" i="14" l="1"/>
  <c r="F24" i="42" l="1"/>
  <c r="F21" i="42"/>
  <c r="F19" i="42"/>
  <c r="F17" i="42"/>
  <c r="F16" i="42"/>
  <c r="F14" i="42"/>
  <c r="F12" i="42"/>
  <c r="F11" i="42"/>
  <c r="F18" i="42" l="1"/>
  <c r="D26" i="42" l="1"/>
  <c r="D57" i="150" l="1"/>
  <c r="F10" i="150"/>
  <c r="A14" i="150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5" i="150" s="1"/>
  <c r="A26" i="150" s="1"/>
  <c r="A27" i="150" s="1"/>
  <c r="A28" i="150" s="1"/>
  <c r="A29" i="150" s="1"/>
  <c r="A30" i="150" s="1"/>
  <c r="A31" i="150" s="1"/>
  <c r="A32" i="150" s="1"/>
  <c r="A33" i="150" s="1"/>
  <c r="A34" i="150" s="1"/>
  <c r="A35" i="150" s="1"/>
  <c r="A36" i="150" s="1"/>
  <c r="A37" i="150" s="1"/>
  <c r="A38" i="150" s="1"/>
  <c r="A39" i="150" s="1"/>
  <c r="A40" i="150" s="1"/>
  <c r="A41" i="150" s="1"/>
  <c r="A42" i="150" s="1"/>
  <c r="A43" i="150" s="1"/>
  <c r="A44" i="150" s="1"/>
  <c r="A45" i="150" s="1"/>
  <c r="A46" i="150" s="1"/>
  <c r="A47" i="150" s="1"/>
  <c r="A48" i="150" s="1"/>
  <c r="A49" i="150" s="1"/>
  <c r="A50" i="150" s="1"/>
  <c r="A51" i="150" s="1"/>
  <c r="A52" i="150" s="1"/>
  <c r="A53" i="150" s="1"/>
  <c r="A54" i="150" s="1"/>
  <c r="A55" i="150" s="1"/>
  <c r="A56" i="150" s="1"/>
  <c r="A57" i="150" s="1"/>
  <c r="A58" i="150" s="1"/>
  <c r="A59" i="150" s="1"/>
  <c r="A60" i="150" s="1"/>
  <c r="A12" i="150"/>
  <c r="A13" i="150" s="1"/>
  <c r="A11" i="150"/>
  <c r="B5" i="167" l="1"/>
  <c r="B5" i="165"/>
  <c r="G30" i="156" l="1"/>
  <c r="F30" i="156"/>
  <c r="E30" i="156"/>
  <c r="G29" i="156"/>
  <c r="F29" i="156"/>
  <c r="E29" i="156"/>
  <c r="G28" i="156"/>
  <c r="F28" i="156"/>
  <c r="E28" i="156"/>
  <c r="G27" i="156"/>
  <c r="F27" i="156"/>
  <c r="E27" i="156"/>
  <c r="G26" i="156"/>
  <c r="F26" i="156"/>
  <c r="E26" i="156"/>
  <c r="G25" i="156"/>
  <c r="F25" i="156"/>
  <c r="E25" i="156"/>
  <c r="G24" i="156"/>
  <c r="F24" i="156"/>
  <c r="E24" i="156"/>
  <c r="G23" i="156"/>
  <c r="F23" i="156"/>
  <c r="E23" i="156"/>
  <c r="G22" i="156"/>
  <c r="F22" i="156"/>
  <c r="E22" i="156"/>
  <c r="G21" i="156"/>
  <c r="F21" i="156"/>
  <c r="E21" i="156"/>
  <c r="G20" i="156"/>
  <c r="F20" i="156"/>
  <c r="E20" i="156"/>
  <c r="I45" i="165" l="1"/>
  <c r="G42" i="165"/>
  <c r="E42" i="165"/>
  <c r="C42" i="165"/>
  <c r="I41" i="165"/>
  <c r="I40" i="165"/>
  <c r="I42" i="165" s="1"/>
  <c r="G37" i="165"/>
  <c r="E37" i="165"/>
  <c r="C37" i="165"/>
  <c r="I36" i="165"/>
  <c r="I35" i="165"/>
  <c r="I37" i="165" s="1"/>
  <c r="G32" i="165"/>
  <c r="E32" i="165"/>
  <c r="C32" i="165"/>
  <c r="I31" i="165"/>
  <c r="I30" i="165"/>
  <c r="G26" i="165"/>
  <c r="E26" i="165"/>
  <c r="C26" i="165"/>
  <c r="I25" i="165"/>
  <c r="I24" i="165"/>
  <c r="I26" i="165" s="1"/>
  <c r="G21" i="165"/>
  <c r="E21" i="165"/>
  <c r="C21" i="165"/>
  <c r="I20" i="165"/>
  <c r="I19" i="165"/>
  <c r="G16" i="165"/>
  <c r="E16" i="165"/>
  <c r="C16" i="165"/>
  <c r="I15" i="165"/>
  <c r="I14" i="165"/>
  <c r="I13" i="165"/>
  <c r="A13" i="165"/>
  <c r="A14" i="165" s="1"/>
  <c r="A15" i="165" s="1"/>
  <c r="A16" i="165" s="1"/>
  <c r="A17" i="165" s="1"/>
  <c r="A18" i="165" s="1"/>
  <c r="A19" i="165" s="1"/>
  <c r="L12" i="165"/>
  <c r="L13" i="165" s="1"/>
  <c r="L14" i="165" s="1"/>
  <c r="L15" i="165" s="1"/>
  <c r="L16" i="165" s="1"/>
  <c r="L17" i="165" s="1"/>
  <c r="L18" i="165" s="1"/>
  <c r="L19" i="165" s="1"/>
  <c r="L20" i="165" s="1"/>
  <c r="L21" i="165" s="1"/>
  <c r="L22" i="165" s="1"/>
  <c r="L23" i="165" s="1"/>
  <c r="L24" i="165" s="1"/>
  <c r="L25" i="165" s="1"/>
  <c r="L26" i="165" s="1"/>
  <c r="L27" i="165" s="1"/>
  <c r="L28" i="165" s="1"/>
  <c r="L29" i="165" s="1"/>
  <c r="L30" i="165" s="1"/>
  <c r="L31" i="165" s="1"/>
  <c r="L32" i="165" s="1"/>
  <c r="L33" i="165" s="1"/>
  <c r="L34" i="165" s="1"/>
  <c r="L35" i="165" s="1"/>
  <c r="L36" i="165" s="1"/>
  <c r="L37" i="165" s="1"/>
  <c r="L38" i="165" s="1"/>
  <c r="L39" i="165" s="1"/>
  <c r="L40" i="165" s="1"/>
  <c r="L41" i="165" s="1"/>
  <c r="L42" i="165" s="1"/>
  <c r="L43" i="165" s="1"/>
  <c r="L44" i="165" s="1"/>
  <c r="L45" i="165" s="1"/>
  <c r="J34" i="152"/>
  <c r="J36" i="152" s="1"/>
  <c r="I34" i="152"/>
  <c r="I36" i="152" s="1"/>
  <c r="H34" i="152"/>
  <c r="H36" i="152" s="1"/>
  <c r="G34" i="152"/>
  <c r="G36" i="152" s="1"/>
  <c r="F34" i="152"/>
  <c r="E34" i="152"/>
  <c r="D34" i="152"/>
  <c r="D36" i="152" s="1"/>
  <c r="K32" i="152"/>
  <c r="K31" i="152"/>
  <c r="K30" i="152"/>
  <c r="K29" i="152"/>
  <c r="K28" i="152"/>
  <c r="K27" i="152"/>
  <c r="K26" i="152"/>
  <c r="K25" i="152"/>
  <c r="K24" i="152"/>
  <c r="J22" i="152"/>
  <c r="I22" i="152"/>
  <c r="H22" i="152"/>
  <c r="G22" i="152"/>
  <c r="F22" i="152"/>
  <c r="E22" i="152"/>
  <c r="D22" i="152"/>
  <c r="K20" i="152"/>
  <c r="K19" i="152"/>
  <c r="A19" i="152"/>
  <c r="A20" i="152" s="1"/>
  <c r="K18" i="152"/>
  <c r="A18" i="152"/>
  <c r="M17" i="152"/>
  <c r="M18" i="152" s="1"/>
  <c r="M19" i="152" s="1"/>
  <c r="M20" i="152" s="1"/>
  <c r="M21" i="152" s="1"/>
  <c r="M22" i="152" s="1"/>
  <c r="M23" i="152" s="1"/>
  <c r="M24" i="152" s="1"/>
  <c r="M25" i="152" s="1"/>
  <c r="M26" i="152" s="1"/>
  <c r="M27" i="152" s="1"/>
  <c r="M28" i="152" s="1"/>
  <c r="M29" i="152" s="1"/>
  <c r="M30" i="152" s="1"/>
  <c r="M31" i="152" s="1"/>
  <c r="M32" i="152" s="1"/>
  <c r="M33" i="152" s="1"/>
  <c r="M34" i="152" s="1"/>
  <c r="M35" i="152" s="1"/>
  <c r="M36" i="152" s="1"/>
  <c r="K17" i="152"/>
  <c r="A17" i="152"/>
  <c r="M16" i="152"/>
  <c r="K16" i="152"/>
  <c r="B6" i="152"/>
  <c r="J33" i="10"/>
  <c r="I33" i="10"/>
  <c r="H33" i="10"/>
  <c r="G33" i="10"/>
  <c r="F33" i="10"/>
  <c r="E33" i="10"/>
  <c r="D33" i="10"/>
  <c r="K31" i="10"/>
  <c r="K30" i="10"/>
  <c r="K29" i="10"/>
  <c r="K28" i="10"/>
  <c r="K27" i="10"/>
  <c r="K26" i="10"/>
  <c r="K25" i="10"/>
  <c r="K24" i="10"/>
  <c r="K23" i="10"/>
  <c r="J21" i="10"/>
  <c r="I21" i="10"/>
  <c r="I35" i="10" s="1"/>
  <c r="H21" i="10"/>
  <c r="G21" i="10"/>
  <c r="F21" i="10"/>
  <c r="F35" i="10" s="1"/>
  <c r="E21" i="10"/>
  <c r="E35" i="10" s="1"/>
  <c r="D21" i="10"/>
  <c r="K19" i="10"/>
  <c r="K18" i="10"/>
  <c r="M17" i="10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K17" i="10"/>
  <c r="M16" i="10"/>
  <c r="K16" i="10"/>
  <c r="A16" i="10"/>
  <c r="A17" i="10" s="1"/>
  <c r="A18" i="10" s="1"/>
  <c r="A19" i="10" s="1"/>
  <c r="M15" i="10"/>
  <c r="K15" i="10"/>
  <c r="I21" i="165" l="1"/>
  <c r="I32" i="165"/>
  <c r="E36" i="152"/>
  <c r="I16" i="165"/>
  <c r="K34" i="152"/>
  <c r="K22" i="152"/>
  <c r="K36" i="152" s="1"/>
  <c r="D35" i="10"/>
  <c r="J35" i="10"/>
  <c r="H35" i="10"/>
  <c r="G35" i="10"/>
  <c r="K33" i="10"/>
  <c r="K21" i="10"/>
  <c r="K35" i="10" s="1"/>
  <c r="F36" i="152"/>
  <c r="A20" i="165"/>
  <c r="A21" i="165" s="1"/>
  <c r="A22" i="165" s="1"/>
  <c r="A23" i="165" s="1"/>
  <c r="A24" i="165" s="1"/>
  <c r="K16" i="165"/>
  <c r="A21" i="152"/>
  <c r="A22" i="152" s="1"/>
  <c r="L22" i="152"/>
  <c r="L21" i="10"/>
  <c r="A20" i="10"/>
  <c r="A21" i="10" s="1"/>
  <c r="A25" i="165" l="1"/>
  <c r="A26" i="165" s="1"/>
  <c r="A27" i="165" s="1"/>
  <c r="A28" i="165" s="1"/>
  <c r="A29" i="165" s="1"/>
  <c r="A30" i="165" s="1"/>
  <c r="K21" i="165"/>
  <c r="A23" i="152"/>
  <c r="A24" i="152" s="1"/>
  <c r="A22" i="10"/>
  <c r="A23" i="10" s="1"/>
  <c r="A31" i="165" l="1"/>
  <c r="A32" i="165" s="1"/>
  <c r="A33" i="165" s="1"/>
  <c r="A34" i="165" s="1"/>
  <c r="A35" i="165" s="1"/>
  <c r="K26" i="165"/>
  <c r="A25" i="152"/>
  <c r="A26" i="152" s="1"/>
  <c r="A27" i="152" s="1"/>
  <c r="A28" i="152" s="1"/>
  <c r="A29" i="152" s="1"/>
  <c r="A30" i="152" s="1"/>
  <c r="A31" i="152" s="1"/>
  <c r="A32" i="152" s="1"/>
  <c r="A33" i="152" s="1"/>
  <c r="A34" i="152" s="1"/>
  <c r="A24" i="10"/>
  <c r="A25" i="10" s="1"/>
  <c r="A26" i="10" s="1"/>
  <c r="A27" i="10" s="1"/>
  <c r="A28" i="10" s="1"/>
  <c r="A29" i="10" s="1"/>
  <c r="A30" i="10" s="1"/>
  <c r="A31" i="10" s="1"/>
  <c r="A32" i="10" s="1"/>
  <c r="A33" i="10" s="1"/>
  <c r="A36" i="165" l="1"/>
  <c r="A37" i="165" s="1"/>
  <c r="A38" i="165" s="1"/>
  <c r="A39" i="165" s="1"/>
  <c r="A40" i="165" s="1"/>
  <c r="K32" i="165"/>
  <c r="A35" i="152"/>
  <c r="A36" i="152" s="1"/>
  <c r="L36" i="152"/>
  <c r="L34" i="152"/>
  <c r="A34" i="10"/>
  <c r="A35" i="10" s="1"/>
  <c r="L35" i="10"/>
  <c r="L33" i="10"/>
  <c r="A41" i="165" l="1"/>
  <c r="A42" i="165" s="1"/>
  <c r="A43" i="165" s="1"/>
  <c r="A44" i="165" s="1"/>
  <c r="A45" i="165" s="1"/>
  <c r="K37" i="165"/>
  <c r="K42" i="165" l="1"/>
  <c r="D17" i="157" l="1"/>
  <c r="F17" i="157" s="1"/>
  <c r="B5" i="168" l="1"/>
  <c r="B26" i="168"/>
  <c r="B15" i="168"/>
  <c r="B14" i="168"/>
  <c r="E28" i="168"/>
  <c r="E31" i="168" s="1"/>
  <c r="F34" i="9" s="1"/>
  <c r="C28" i="168"/>
  <c r="C31" i="168" s="1"/>
  <c r="A15" i="168"/>
  <c r="A16" i="168" s="1"/>
  <c r="A17" i="168" s="1"/>
  <c r="A18" i="168" s="1"/>
  <c r="A19" i="168" s="1"/>
  <c r="A20" i="168" s="1"/>
  <c r="A21" i="168" s="1"/>
  <c r="A22" i="168" s="1"/>
  <c r="A23" i="168" s="1"/>
  <c r="A24" i="168" s="1"/>
  <c r="A25" i="168" s="1"/>
  <c r="A26" i="168" s="1"/>
  <c r="G14" i="168"/>
  <c r="G15" i="168" s="1"/>
  <c r="G16" i="168" s="1"/>
  <c r="G17" i="168" s="1"/>
  <c r="G18" i="168" s="1"/>
  <c r="G19" i="168" s="1"/>
  <c r="G20" i="168" s="1"/>
  <c r="G21" i="168" s="1"/>
  <c r="G22" i="168" s="1"/>
  <c r="G23" i="168" s="1"/>
  <c r="G24" i="168" s="1"/>
  <c r="G25" i="168" s="1"/>
  <c r="G26" i="168" s="1"/>
  <c r="G27" i="168" s="1"/>
  <c r="G28" i="168" s="1"/>
  <c r="G29" i="168" s="1"/>
  <c r="G30" i="168" s="1"/>
  <c r="G31" i="168" s="1"/>
  <c r="G32" i="168" s="1"/>
  <c r="D31" i="168" l="1"/>
  <c r="F28" i="168"/>
  <c r="F31" i="168"/>
  <c r="D28" i="168"/>
  <c r="A27" i="168"/>
  <c r="A28" i="168" s="1"/>
  <c r="A29" i="168" s="1"/>
  <c r="A30" i="168" s="1"/>
  <c r="A31" i="168" s="1"/>
  <c r="A32" i="168" s="1"/>
  <c r="G21" i="66" l="1"/>
  <c r="B5" i="154" l="1"/>
  <c r="E38" i="114" l="1"/>
  <c r="C26" i="113"/>
  <c r="C58" i="84" l="1"/>
  <c r="E52" i="150" l="1"/>
  <c r="F12" i="150"/>
  <c r="F13" i="150"/>
  <c r="F14" i="150"/>
  <c r="F15" i="150"/>
  <c r="F16" i="150"/>
  <c r="F17" i="150"/>
  <c r="F18" i="150"/>
  <c r="F19" i="150"/>
  <c r="F20" i="150"/>
  <c r="F21" i="150"/>
  <c r="F22" i="150"/>
  <c r="F23" i="150"/>
  <c r="F24" i="150"/>
  <c r="F25" i="150"/>
  <c r="F26" i="150"/>
  <c r="F27" i="150"/>
  <c r="F28" i="150"/>
  <c r="F29" i="150"/>
  <c r="F30" i="150"/>
  <c r="F31" i="150"/>
  <c r="F32" i="150"/>
  <c r="F33" i="150"/>
  <c r="F34" i="150"/>
  <c r="F35" i="150"/>
  <c r="F36" i="150"/>
  <c r="F37" i="150"/>
  <c r="F38" i="150"/>
  <c r="F39" i="150"/>
  <c r="F40" i="150"/>
  <c r="F41" i="150"/>
  <c r="F42" i="150"/>
  <c r="F43" i="150"/>
  <c r="F44" i="150"/>
  <c r="F45" i="150"/>
  <c r="F46" i="150"/>
  <c r="F47" i="150"/>
  <c r="F48" i="150"/>
  <c r="F49" i="150"/>
  <c r="F50" i="150"/>
  <c r="F51" i="150"/>
  <c r="F52" i="150"/>
  <c r="F53" i="150"/>
  <c r="F54" i="150"/>
  <c r="F55" i="150"/>
  <c r="F56" i="150"/>
  <c r="F57" i="150"/>
  <c r="F58" i="150"/>
  <c r="F59" i="150"/>
  <c r="F60" i="150"/>
  <c r="E24" i="150" l="1"/>
  <c r="E24" i="69" l="1"/>
  <c r="C56" i="42"/>
  <c r="B5" i="84" l="1"/>
  <c r="G87" i="82" l="1"/>
  <c r="B5" i="112" l="1"/>
  <c r="K15" i="11" l="1"/>
  <c r="K16" i="11"/>
  <c r="K17" i="11"/>
  <c r="K18" i="11"/>
  <c r="K19" i="11"/>
  <c r="D21" i="11"/>
  <c r="E21" i="11"/>
  <c r="F21" i="11"/>
  <c r="G21" i="11"/>
  <c r="H21" i="11"/>
  <c r="I21" i="11"/>
  <c r="J21" i="11"/>
  <c r="K23" i="11"/>
  <c r="K24" i="11"/>
  <c r="K25" i="11"/>
  <c r="K26" i="11"/>
  <c r="K27" i="11"/>
  <c r="K28" i="11"/>
  <c r="K29" i="11"/>
  <c r="K21" i="11" l="1"/>
  <c r="B5" i="161" l="1"/>
  <c r="J40" i="167" l="1"/>
  <c r="B2" i="158" l="1"/>
  <c r="B2" i="157" l="1"/>
  <c r="B2" i="154"/>
  <c r="B2" i="156"/>
  <c r="B2" i="114"/>
  <c r="B2" i="113"/>
  <c r="B38" i="113" s="1"/>
  <c r="B2" i="111"/>
  <c r="B3" i="158" l="1"/>
  <c r="G31" i="46" l="1"/>
  <c r="C42" i="154" l="1"/>
  <c r="C44" i="154"/>
  <c r="B52" i="146" l="1"/>
  <c r="B51" i="146"/>
  <c r="G27" i="46"/>
  <c r="G25" i="46" l="1"/>
  <c r="G23" i="46"/>
  <c r="G21" i="46"/>
  <c r="G93" i="113"/>
  <c r="G15" i="46"/>
  <c r="E15" i="46"/>
  <c r="E23" i="41" l="1"/>
  <c r="F23" i="41" s="1"/>
  <c r="B71" i="40" l="1"/>
  <c r="B27" i="163" l="1"/>
  <c r="B16" i="163"/>
  <c r="B15" i="163"/>
  <c r="B5" i="163"/>
  <c r="B5" i="9" l="1"/>
  <c r="G146" i="82" l="1"/>
  <c r="G143" i="82"/>
  <c r="G134" i="82"/>
  <c r="G144" i="82"/>
  <c r="J126" i="82"/>
  <c r="J127" i="82" s="1"/>
  <c r="J128" i="82" s="1"/>
  <c r="J129" i="82" s="1"/>
  <c r="J130" i="82" s="1"/>
  <c r="J131" i="82" s="1"/>
  <c r="J132" i="82" s="1"/>
  <c r="J133" i="82" s="1"/>
  <c r="J134" i="82" s="1"/>
  <c r="J135" i="82" s="1"/>
  <c r="J136" i="82" s="1"/>
  <c r="J137" i="82" s="1"/>
  <c r="J138" i="82" s="1"/>
  <c r="J139" i="82" s="1"/>
  <c r="J140" i="82" s="1"/>
  <c r="J141" i="82" s="1"/>
  <c r="J142" i="82" s="1"/>
  <c r="J143" i="82" s="1"/>
  <c r="J144" i="82" s="1"/>
  <c r="J145" i="82" s="1"/>
  <c r="J146" i="82" s="1"/>
  <c r="J147" i="82" s="1"/>
  <c r="J148" i="82" s="1"/>
  <c r="J149" i="82" s="1"/>
  <c r="J150" i="82" s="1"/>
  <c r="J151" i="82" s="1"/>
  <c r="J152" i="82" s="1"/>
  <c r="J153" i="82" s="1"/>
  <c r="J154" i="82" s="1"/>
  <c r="J155" i="82" s="1"/>
  <c r="B146" i="82"/>
  <c r="B145" i="82"/>
  <c r="B143" i="82"/>
  <c r="B142" i="82"/>
  <c r="B134" i="82"/>
  <c r="B131" i="82"/>
  <c r="B130" i="82"/>
  <c r="A126" i="82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H10" i="162"/>
  <c r="H11" i="162" s="1"/>
  <c r="H12" i="162" s="1"/>
  <c r="H13" i="162" s="1"/>
  <c r="H14" i="162" s="1"/>
  <c r="H15" i="162" s="1"/>
  <c r="H16" i="162" s="1"/>
  <c r="A11" i="162"/>
  <c r="A12" i="162" s="1"/>
  <c r="A13" i="162" s="1"/>
  <c r="A14" i="162" s="1"/>
  <c r="A15" i="162" s="1"/>
  <c r="A16" i="162" s="1"/>
  <c r="I142" i="82" l="1"/>
  <c r="I143" i="82"/>
  <c r="I151" i="82"/>
  <c r="I144" i="82"/>
  <c r="I145" i="82"/>
  <c r="I155" i="82"/>
  <c r="E84" i="146" l="1"/>
  <c r="F80" i="146"/>
  <c r="F81" i="146"/>
  <c r="F82" i="146"/>
  <c r="F83" i="146"/>
  <c r="F84" i="146"/>
  <c r="F60" i="146"/>
  <c r="F61" i="146"/>
  <c r="F62" i="146"/>
  <c r="F63" i="146"/>
  <c r="F64" i="146"/>
  <c r="F65" i="146"/>
  <c r="F66" i="146"/>
  <c r="F67" i="146"/>
  <c r="F68" i="146"/>
  <c r="F69" i="146"/>
  <c r="F70" i="146"/>
  <c r="F71" i="146"/>
  <c r="F72" i="146"/>
  <c r="F73" i="146"/>
  <c r="F74" i="146"/>
  <c r="F75" i="146"/>
  <c r="F76" i="146"/>
  <c r="F77" i="146"/>
  <c r="F78" i="146"/>
  <c r="F79" i="146"/>
  <c r="J45" i="167"/>
  <c r="I45" i="167"/>
  <c r="G21" i="34" s="1"/>
  <c r="G42" i="167"/>
  <c r="E42" i="167"/>
  <c r="C42" i="167"/>
  <c r="I41" i="167"/>
  <c r="I40" i="167"/>
  <c r="G37" i="167"/>
  <c r="E37" i="167"/>
  <c r="C37" i="167"/>
  <c r="I36" i="167"/>
  <c r="I35" i="167"/>
  <c r="G32" i="167"/>
  <c r="E32" i="167"/>
  <c r="C32" i="167"/>
  <c r="I31" i="167"/>
  <c r="I30" i="167"/>
  <c r="G26" i="167"/>
  <c r="E26" i="167"/>
  <c r="C26" i="167"/>
  <c r="I25" i="167"/>
  <c r="I24" i="167"/>
  <c r="G21" i="167"/>
  <c r="E21" i="167"/>
  <c r="C21" i="167"/>
  <c r="I20" i="167"/>
  <c r="I19" i="167"/>
  <c r="G16" i="167"/>
  <c r="E16" i="167"/>
  <c r="C16" i="167"/>
  <c r="I15" i="167"/>
  <c r="I14" i="167"/>
  <c r="I13" i="167"/>
  <c r="A13" i="167"/>
  <c r="K12" i="167"/>
  <c r="K13" i="167" s="1"/>
  <c r="K14" i="167" s="1"/>
  <c r="K15" i="167" s="1"/>
  <c r="K16" i="167" s="1"/>
  <c r="K17" i="167" s="1"/>
  <c r="K18" i="167" s="1"/>
  <c r="K19" i="167" s="1"/>
  <c r="K20" i="167" s="1"/>
  <c r="K21" i="167" s="1"/>
  <c r="K22" i="167" s="1"/>
  <c r="K23" i="167" s="1"/>
  <c r="K24" i="167" s="1"/>
  <c r="K25" i="167" s="1"/>
  <c r="K26" i="167" s="1"/>
  <c r="K27" i="167" s="1"/>
  <c r="K28" i="167" s="1"/>
  <c r="K29" i="167" s="1"/>
  <c r="K30" i="167" s="1"/>
  <c r="K31" i="167" s="1"/>
  <c r="K32" i="167" s="1"/>
  <c r="K33" i="167" s="1"/>
  <c r="K34" i="167" s="1"/>
  <c r="K35" i="167" s="1"/>
  <c r="K36" i="167" s="1"/>
  <c r="K37" i="167" s="1"/>
  <c r="K38" i="167" s="1"/>
  <c r="K39" i="167" s="1"/>
  <c r="K40" i="167" s="1"/>
  <c r="K41" i="167" s="1"/>
  <c r="K42" i="167" s="1"/>
  <c r="K43" i="167" s="1"/>
  <c r="K44" i="167" s="1"/>
  <c r="K45" i="167" s="1"/>
  <c r="E21" i="34"/>
  <c r="A14" i="167" l="1"/>
  <c r="A15" i="167" s="1"/>
  <c r="A16" i="167" s="1"/>
  <c r="A17" i="167" s="1"/>
  <c r="A18" i="167" s="1"/>
  <c r="A19" i="167" s="1"/>
  <c r="A20" i="167" s="1"/>
  <c r="A21" i="167" s="1"/>
  <c r="A22" i="167" s="1"/>
  <c r="A23" i="167" s="1"/>
  <c r="A24" i="167" s="1"/>
  <c r="A25" i="167" s="1"/>
  <c r="A26" i="167" s="1"/>
  <c r="A27" i="167" s="1"/>
  <c r="A28" i="167" s="1"/>
  <c r="A29" i="167" s="1"/>
  <c r="A30" i="167" s="1"/>
  <c r="J16" i="167"/>
  <c r="I32" i="167"/>
  <c r="I37" i="167"/>
  <c r="I42" i="167"/>
  <c r="C84" i="146"/>
  <c r="I26" i="167"/>
  <c r="G15" i="34" s="1"/>
  <c r="I21" i="167"/>
  <c r="I16" i="167"/>
  <c r="G13" i="34" l="1"/>
  <c r="A31" i="167"/>
  <c r="A32" i="167" s="1"/>
  <c r="A33" i="167" s="1"/>
  <c r="A34" i="167" s="1"/>
  <c r="A35" i="167" s="1"/>
  <c r="J32" i="167"/>
  <c r="G11" i="34"/>
  <c r="J21" i="167"/>
  <c r="E11" i="34"/>
  <c r="E15" i="34"/>
  <c r="E13" i="34"/>
  <c r="A36" i="167" l="1"/>
  <c r="A37" i="167" s="1"/>
  <c r="A38" i="167" s="1"/>
  <c r="A39" i="167" s="1"/>
  <c r="A40" i="167" s="1"/>
  <c r="J37" i="167"/>
  <c r="J26" i="167"/>
  <c r="A41" i="167" l="1"/>
  <c r="A42" i="167" s="1"/>
  <c r="A43" i="167" s="1"/>
  <c r="A44" i="167" s="1"/>
  <c r="A45" i="167" s="1"/>
  <c r="J42" i="167" l="1"/>
  <c r="K11" i="34"/>
  <c r="K13" i="34" l="1"/>
  <c r="I23" i="34"/>
  <c r="C46" i="146" s="1"/>
  <c r="I19" i="34"/>
  <c r="C41" i="146" s="1"/>
  <c r="E29" i="163"/>
  <c r="E32" i="163" s="1"/>
  <c r="I23" i="2" s="1"/>
  <c r="C29" i="163"/>
  <c r="C32" i="163" s="1"/>
  <c r="A16" i="163"/>
  <c r="A17" i="163" s="1"/>
  <c r="A18" i="163" s="1"/>
  <c r="A19" i="163" s="1"/>
  <c r="A20" i="163" s="1"/>
  <c r="A21" i="163" s="1"/>
  <c r="A22" i="163" s="1"/>
  <c r="A23" i="163" s="1"/>
  <c r="A24" i="163" s="1"/>
  <c r="A25" i="163" s="1"/>
  <c r="A26" i="163" s="1"/>
  <c r="A27" i="163" s="1"/>
  <c r="G15" i="163"/>
  <c r="G16" i="163" s="1"/>
  <c r="G17" i="163" s="1"/>
  <c r="G18" i="163" s="1"/>
  <c r="G19" i="163" s="1"/>
  <c r="G20" i="163" s="1"/>
  <c r="G21" i="163" s="1"/>
  <c r="G22" i="163" s="1"/>
  <c r="G23" i="163" s="1"/>
  <c r="G24" i="163" s="1"/>
  <c r="G25" i="163" s="1"/>
  <c r="G26" i="163" s="1"/>
  <c r="G27" i="163" s="1"/>
  <c r="G28" i="163" s="1"/>
  <c r="G29" i="163" s="1"/>
  <c r="G30" i="163" s="1"/>
  <c r="G31" i="163" s="1"/>
  <c r="G32" i="163" s="1"/>
  <c r="G33" i="163" s="1"/>
  <c r="K15" i="34" l="1"/>
  <c r="D32" i="163"/>
  <c r="F29" i="163"/>
  <c r="F32" i="163"/>
  <c r="D29" i="163"/>
  <c r="A28" i="163"/>
  <c r="A29" i="163" s="1"/>
  <c r="A30" i="163" s="1"/>
  <c r="A31" i="163" s="1"/>
  <c r="A32" i="163" s="1"/>
  <c r="A33" i="163" l="1"/>
  <c r="K23" i="2"/>
  <c r="K21" i="34"/>
  <c r="D34" i="154" l="1"/>
  <c r="C46" i="112" l="1"/>
  <c r="D34" i="112" l="1"/>
  <c r="E19" i="146" l="1"/>
  <c r="C34" i="146"/>
  <c r="C20" i="146"/>
  <c r="E33" i="161"/>
  <c r="C33" i="161"/>
  <c r="G32" i="161"/>
  <c r="G31" i="161"/>
  <c r="G30" i="161"/>
  <c r="G29" i="161"/>
  <c r="G28" i="161"/>
  <c r="E25" i="161"/>
  <c r="C25" i="161"/>
  <c r="G24" i="161"/>
  <c r="G23" i="161"/>
  <c r="G22" i="161"/>
  <c r="G21" i="161"/>
  <c r="E18" i="161"/>
  <c r="C18" i="161"/>
  <c r="G17" i="161"/>
  <c r="G16" i="161"/>
  <c r="G15" i="161"/>
  <c r="G14" i="161"/>
  <c r="G13" i="161"/>
  <c r="A13" i="161"/>
  <c r="A14" i="161" s="1"/>
  <c r="A15" i="161" s="1"/>
  <c r="A16" i="161" s="1"/>
  <c r="A17" i="161" s="1"/>
  <c r="I12" i="161"/>
  <c r="I13" i="161" s="1"/>
  <c r="I14" i="161" s="1"/>
  <c r="I15" i="161" s="1"/>
  <c r="I16" i="161" s="1"/>
  <c r="I17" i="161" s="1"/>
  <c r="I18" i="161" s="1"/>
  <c r="I19" i="161" s="1"/>
  <c r="I20" i="161" s="1"/>
  <c r="I21" i="161" s="1"/>
  <c r="I22" i="161" s="1"/>
  <c r="I23" i="161" s="1"/>
  <c r="I24" i="161" s="1"/>
  <c r="I25" i="161" s="1"/>
  <c r="I26" i="161" s="1"/>
  <c r="I27" i="161" s="1"/>
  <c r="I28" i="161" s="1"/>
  <c r="I29" i="161" s="1"/>
  <c r="I30" i="161" s="1"/>
  <c r="I31" i="161" s="1"/>
  <c r="I32" i="161" s="1"/>
  <c r="I33" i="161" s="1"/>
  <c r="G33" i="161" l="1"/>
  <c r="E16" i="75" s="1"/>
  <c r="G18" i="161"/>
  <c r="E14" i="75" s="1"/>
  <c r="G25" i="161"/>
  <c r="E15" i="75" s="1"/>
  <c r="E20" i="146"/>
  <c r="E34" i="146"/>
  <c r="H18" i="161"/>
  <c r="A18" i="161"/>
  <c r="A19" i="161" l="1"/>
  <c r="A20" i="161" s="1"/>
  <c r="A21" i="161" s="1"/>
  <c r="G14" i="75"/>
  <c r="A22" i="161"/>
  <c r="A23" i="161" s="1"/>
  <c r="A24" i="161" s="1"/>
  <c r="A25" i="161" s="1"/>
  <c r="A26" i="161" l="1"/>
  <c r="A27" i="161" s="1"/>
  <c r="A28" i="161" s="1"/>
  <c r="G15" i="75"/>
  <c r="H25" i="161"/>
  <c r="A29" i="161"/>
  <c r="A30" i="161" s="1"/>
  <c r="A31" i="161" s="1"/>
  <c r="A32" i="161" s="1"/>
  <c r="A33" i="161" s="1"/>
  <c r="G16" i="75" s="1"/>
  <c r="H33" i="161" l="1"/>
  <c r="D12" i="159" l="1"/>
  <c r="G19" i="75"/>
  <c r="E19" i="41"/>
  <c r="F19" i="41" s="1"/>
  <c r="F20" i="41" l="1"/>
  <c r="F21" i="41"/>
  <c r="D21" i="154"/>
  <c r="D19" i="154"/>
  <c r="D15" i="154" l="1"/>
  <c r="D13" i="154"/>
  <c r="D11" i="154"/>
  <c r="C17" i="154"/>
  <c r="C23" i="154" s="1"/>
  <c r="C46" i="154" l="1"/>
  <c r="C38" i="154"/>
  <c r="C36" i="154"/>
  <c r="C34" i="154"/>
  <c r="B52" i="154"/>
  <c r="B46" i="154"/>
  <c r="B44" i="154"/>
  <c r="B42" i="154"/>
  <c r="B38" i="154"/>
  <c r="B36" i="154"/>
  <c r="B34" i="154"/>
  <c r="D32" i="154"/>
  <c r="C32" i="154"/>
  <c r="C27" i="154"/>
  <c r="C40" i="154" l="1"/>
  <c r="B5" i="159"/>
  <c r="A13" i="159"/>
  <c r="A14" i="159" s="1"/>
  <c r="A15" i="159" s="1"/>
  <c r="A16" i="159" s="1"/>
  <c r="A17" i="159" s="1"/>
  <c r="G12" i="159"/>
  <c r="G13" i="159" s="1"/>
  <c r="G14" i="159" s="1"/>
  <c r="G15" i="159" s="1"/>
  <c r="G16" i="159" s="1"/>
  <c r="G17" i="159" s="1"/>
  <c r="C16" i="159"/>
  <c r="C48" i="154" l="1"/>
  <c r="F16" i="159"/>
  <c r="C52" i="154" l="1"/>
  <c r="E13" i="135"/>
  <c r="E11" i="135"/>
  <c r="B46" i="112" l="1"/>
  <c r="D32" i="112"/>
  <c r="C32" i="112"/>
  <c r="B42" i="113" l="1"/>
  <c r="B40" i="113"/>
  <c r="C17" i="158" l="1"/>
  <c r="D17" i="158"/>
  <c r="E28" i="157"/>
  <c r="E27" i="157"/>
  <c r="E26" i="157"/>
  <c r="E25" i="157"/>
  <c r="E24" i="157"/>
  <c r="E23" i="157"/>
  <c r="E22" i="157"/>
  <c r="E21" i="157"/>
  <c r="E20" i="157"/>
  <c r="E19" i="157"/>
  <c r="E18" i="157"/>
  <c r="E17" i="157"/>
  <c r="G17" i="157" s="1"/>
  <c r="H17" i="157" s="1"/>
  <c r="F18" i="157" s="1"/>
  <c r="B4" i="157"/>
  <c r="B4" i="158" s="1"/>
  <c r="B3" i="157"/>
  <c r="G18" i="157" l="1"/>
  <c r="H18" i="157" s="1"/>
  <c r="B3" i="156"/>
  <c r="F19" i="157" l="1"/>
  <c r="G19" i="157"/>
  <c r="H19" i="157" s="1"/>
  <c r="B5" i="158"/>
  <c r="B5" i="157"/>
  <c r="C17" i="157" s="1"/>
  <c r="C20" i="157" s="1"/>
  <c r="D28" i="158"/>
  <c r="D24" i="158"/>
  <c r="D20" i="158"/>
  <c r="D25" i="158"/>
  <c r="C25" i="158"/>
  <c r="I12" i="158"/>
  <c r="H12" i="158"/>
  <c r="G12" i="158"/>
  <c r="F12" i="158"/>
  <c r="E12" i="158"/>
  <c r="A12" i="158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D21" i="112" s="1"/>
  <c r="J11" i="158"/>
  <c r="J12" i="158" s="1"/>
  <c r="J13" i="158" s="1"/>
  <c r="J14" i="158" s="1"/>
  <c r="J15" i="158" s="1"/>
  <c r="J16" i="158" s="1"/>
  <c r="J17" i="158" s="1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H12" i="157"/>
  <c r="G12" i="157"/>
  <c r="F12" i="157"/>
  <c r="E12" i="157"/>
  <c r="A12" i="157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A26" i="157" s="1"/>
  <c r="A27" i="157" s="1"/>
  <c r="A28" i="157" s="1"/>
  <c r="A29" i="157" s="1"/>
  <c r="B38" i="158" s="1"/>
  <c r="I11" i="157"/>
  <c r="I12" i="157" s="1"/>
  <c r="I13" i="157" s="1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I28" i="157" s="1"/>
  <c r="I29" i="157" s="1"/>
  <c r="M12" i="156"/>
  <c r="L12" i="156"/>
  <c r="K12" i="156"/>
  <c r="I12" i="156"/>
  <c r="H12" i="156"/>
  <c r="A11" i="156"/>
  <c r="A12" i="156" s="1"/>
  <c r="A13" i="156" s="1"/>
  <c r="A14" i="156" s="1"/>
  <c r="A15" i="156" s="1"/>
  <c r="A16" i="156" s="1"/>
  <c r="A17" i="156" s="1"/>
  <c r="A18" i="156" s="1"/>
  <c r="A19" i="156" s="1"/>
  <c r="A20" i="156" s="1"/>
  <c r="A21" i="156" s="1"/>
  <c r="A22" i="156" s="1"/>
  <c r="A23" i="156" s="1"/>
  <c r="A24" i="156" s="1"/>
  <c r="A25" i="156" s="1"/>
  <c r="A26" i="156" s="1"/>
  <c r="A27" i="156" s="1"/>
  <c r="A28" i="156" s="1"/>
  <c r="A29" i="156" s="1"/>
  <c r="A30" i="156" s="1"/>
  <c r="D19" i="112" s="1"/>
  <c r="N11" i="156"/>
  <c r="N12" i="156" s="1"/>
  <c r="N13" i="156" s="1"/>
  <c r="N14" i="156" s="1"/>
  <c r="N15" i="156" s="1"/>
  <c r="N16" i="156" s="1"/>
  <c r="N17" i="156" s="1"/>
  <c r="N18" i="156" s="1"/>
  <c r="N19" i="156" s="1"/>
  <c r="N20" i="156" s="1"/>
  <c r="N21" i="156" s="1"/>
  <c r="N22" i="156" s="1"/>
  <c r="N23" i="156" s="1"/>
  <c r="N24" i="156" s="1"/>
  <c r="N25" i="156" s="1"/>
  <c r="N26" i="156" s="1"/>
  <c r="N27" i="156" s="1"/>
  <c r="N28" i="156" s="1"/>
  <c r="N29" i="156" s="1"/>
  <c r="N30" i="156" s="1"/>
  <c r="N31" i="156" s="1"/>
  <c r="C19" i="156"/>
  <c r="F20" i="157" l="1"/>
  <c r="A31" i="156"/>
  <c r="F12" i="156" s="1"/>
  <c r="C19" i="158"/>
  <c r="C23" i="158"/>
  <c r="C27" i="158"/>
  <c r="C18" i="158"/>
  <c r="C20" i="158"/>
  <c r="C22" i="158"/>
  <c r="C24" i="158"/>
  <c r="C26" i="158"/>
  <c r="C28" i="158"/>
  <c r="D19" i="158"/>
  <c r="C21" i="158"/>
  <c r="D23" i="158"/>
  <c r="D27" i="158"/>
  <c r="C18" i="157"/>
  <c r="C22" i="157"/>
  <c r="C24" i="157"/>
  <c r="C26" i="157"/>
  <c r="C28" i="157"/>
  <c r="C19" i="157"/>
  <c r="C21" i="157"/>
  <c r="C23" i="157"/>
  <c r="C25" i="157"/>
  <c r="C27" i="157"/>
  <c r="D18" i="158"/>
  <c r="D22" i="158"/>
  <c r="D26" i="158"/>
  <c r="D21" i="158"/>
  <c r="C27" i="156"/>
  <c r="C26" i="156"/>
  <c r="C23" i="156"/>
  <c r="C25" i="156"/>
  <c r="C24" i="156"/>
  <c r="C29" i="156"/>
  <c r="C28" i="156"/>
  <c r="C21" i="156"/>
  <c r="C20" i="156"/>
  <c r="C30" i="156"/>
  <c r="C22" i="156"/>
  <c r="H20" i="157" l="1"/>
  <c r="F21" i="157" l="1"/>
  <c r="G21" i="157"/>
  <c r="H21" i="157" l="1"/>
  <c r="F22" i="157" l="1"/>
  <c r="H22" i="157" l="1"/>
  <c r="F23" i="157" l="1"/>
  <c r="G23" i="157" s="1"/>
  <c r="H23" i="157" l="1"/>
  <c r="F24" i="157" s="1"/>
  <c r="G24" i="157" s="1"/>
  <c r="H24" i="157" s="1"/>
  <c r="F25" i="157" l="1"/>
  <c r="G25" i="157"/>
  <c r="H25" i="157" l="1"/>
  <c r="F26" i="157" l="1"/>
  <c r="G26" i="157"/>
  <c r="H26" i="157" l="1"/>
  <c r="F27" i="157" s="1"/>
  <c r="G27" i="157" l="1"/>
  <c r="H27" i="157"/>
  <c r="F28" i="157" l="1"/>
  <c r="G28" i="157" s="1"/>
  <c r="G29" i="157" s="1"/>
  <c r="H29" i="158" s="1"/>
  <c r="H28" i="157" l="1"/>
  <c r="E17" i="158" s="1"/>
  <c r="F28" i="158" l="1"/>
  <c r="F23" i="158"/>
  <c r="F18" i="158"/>
  <c r="F17" i="158"/>
  <c r="H17" i="158"/>
  <c r="F21" i="158"/>
  <c r="F20" i="158"/>
  <c r="F27" i="158"/>
  <c r="F26" i="158"/>
  <c r="F19" i="158"/>
  <c r="F22" i="158"/>
  <c r="F25" i="158"/>
  <c r="F24" i="158"/>
  <c r="G17" i="158" l="1"/>
  <c r="I17" i="158" s="1"/>
  <c r="E18" i="158" s="1"/>
  <c r="H18" i="158" s="1"/>
  <c r="G18" i="158" s="1"/>
  <c r="I18" i="158" s="1"/>
  <c r="E19" i="158" s="1"/>
  <c r="H19" i="158" s="1"/>
  <c r="G19" i="158" l="1"/>
  <c r="I19" i="158" s="1"/>
  <c r="E20" i="158" s="1"/>
  <c r="H20" i="158" l="1"/>
  <c r="G20" i="158" l="1"/>
  <c r="I20" i="158" s="1"/>
  <c r="E21" i="158" s="1"/>
  <c r="H21" i="158" l="1"/>
  <c r="G21" i="158" s="1"/>
  <c r="I21" i="158" s="1"/>
  <c r="E22" i="158" s="1"/>
  <c r="H22" i="158" l="1"/>
  <c r="G22" i="158" s="1"/>
  <c r="I22" i="158" s="1"/>
  <c r="E23" i="158" s="1"/>
  <c r="H23" i="158" l="1"/>
  <c r="G23" i="158" s="1"/>
  <c r="I23" i="158" s="1"/>
  <c r="E24" i="158" s="1"/>
  <c r="H24" i="158" l="1"/>
  <c r="G24" i="158" s="1"/>
  <c r="I24" i="158" s="1"/>
  <c r="E25" i="158" s="1"/>
  <c r="H25" i="158" l="1"/>
  <c r="G25" i="158" s="1"/>
  <c r="I25" i="158" s="1"/>
  <c r="E26" i="158" s="1"/>
  <c r="H26" i="158" l="1"/>
  <c r="G26" i="158" s="1"/>
  <c r="I26" i="158" s="1"/>
  <c r="E27" i="158" s="1"/>
  <c r="H27" i="158" l="1"/>
  <c r="G27" i="158" s="1"/>
  <c r="I27" i="158" s="1"/>
  <c r="E28" i="158" s="1"/>
  <c r="H28" i="158" l="1"/>
  <c r="H30" i="158" s="1"/>
  <c r="G28" i="158" l="1"/>
  <c r="I28" i="158" s="1"/>
  <c r="C44" i="112" l="1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A12" i="154" l="1"/>
  <c r="A13" i="154" s="1"/>
  <c r="D36" i="154" s="1"/>
  <c r="E11" i="154"/>
  <c r="E12" i="154" s="1"/>
  <c r="E13" i="154" s="1"/>
  <c r="E14" i="154" s="1"/>
  <c r="E15" i="154" s="1"/>
  <c r="E16" i="154" s="1"/>
  <c r="E17" i="154" l="1"/>
  <c r="E18" i="154" s="1"/>
  <c r="E19" i="154" s="1"/>
  <c r="E20" i="154" s="1"/>
  <c r="E21" i="154" s="1"/>
  <c r="E22" i="154" s="1"/>
  <c r="E23" i="154" s="1"/>
  <c r="E24" i="154" s="1"/>
  <c r="E25" i="154" s="1"/>
  <c r="E26" i="154" s="1"/>
  <c r="E27" i="154" s="1"/>
  <c r="E28" i="154" s="1"/>
  <c r="E33" i="154" s="1"/>
  <c r="E34" i="154" s="1"/>
  <c r="E35" i="154" s="1"/>
  <c r="E36" i="154" s="1"/>
  <c r="E37" i="154" s="1"/>
  <c r="E38" i="154" s="1"/>
  <c r="E39" i="154" s="1"/>
  <c r="E40" i="154" s="1"/>
  <c r="E41" i="154" s="1"/>
  <c r="E42" i="154" s="1"/>
  <c r="E43" i="154" s="1"/>
  <c r="E44" i="154" s="1"/>
  <c r="E45" i="154" s="1"/>
  <c r="E46" i="154" s="1"/>
  <c r="E47" i="154" s="1"/>
  <c r="E48" i="154" s="1"/>
  <c r="E49" i="154" s="1"/>
  <c r="E50" i="154" s="1"/>
  <c r="E51" i="154" s="1"/>
  <c r="E52" i="154" s="1"/>
  <c r="E53" i="154" s="1"/>
  <c r="A14" i="154"/>
  <c r="A15" i="154" s="1"/>
  <c r="D38" i="154" s="1"/>
  <c r="D17" i="154" l="1"/>
  <c r="A16" i="154"/>
  <c r="B3" i="85"/>
  <c r="A17" i="154" l="1"/>
  <c r="A18" i="154" l="1"/>
  <c r="A19" i="154" s="1"/>
  <c r="D42" i="154" s="1"/>
  <c r="B2" i="135"/>
  <c r="A20" i="154" l="1"/>
  <c r="A21" i="154" s="1"/>
  <c r="D44" i="154" s="1"/>
  <c r="A22" i="154" l="1"/>
  <c r="A23" i="154" s="1"/>
  <c r="D23" i="154"/>
  <c r="B3" i="114"/>
  <c r="B3" i="113"/>
  <c r="B3" i="111"/>
  <c r="A24" i="154" l="1"/>
  <c r="A25" i="154" s="1"/>
  <c r="B39" i="113"/>
  <c r="D27" i="154" l="1"/>
  <c r="D46" i="154"/>
  <c r="A26" i="154"/>
  <c r="A27" i="154" s="1"/>
  <c r="A28" i="154" s="1"/>
  <c r="A33" i="154" s="1"/>
  <c r="A34" i="154" s="1"/>
  <c r="A35" i="154" l="1"/>
  <c r="A36" i="154" s="1"/>
  <c r="A37" i="154" s="1"/>
  <c r="A38" i="154" s="1"/>
  <c r="A39" i="154" s="1"/>
  <c r="A40" i="154" s="1"/>
  <c r="D54" i="153"/>
  <c r="D53" i="153"/>
  <c r="D52" i="153"/>
  <c r="D51" i="153"/>
  <c r="D50" i="153"/>
  <c r="D49" i="153"/>
  <c r="D48" i="153"/>
  <c r="D47" i="153"/>
  <c r="D46" i="153"/>
  <c r="D45" i="153"/>
  <c r="D44" i="153"/>
  <c r="D43" i="153"/>
  <c r="D42" i="153"/>
  <c r="D41" i="153"/>
  <c r="D40" i="153"/>
  <c r="D39" i="153"/>
  <c r="D38" i="153"/>
  <c r="D37" i="153"/>
  <c r="D36" i="153"/>
  <c r="D35" i="153"/>
  <c r="D34" i="153"/>
  <c r="D33" i="153"/>
  <c r="D32" i="153"/>
  <c r="D31" i="153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D10" i="153"/>
  <c r="D40" i="154" l="1"/>
  <c r="A41" i="154"/>
  <c r="A42" i="154" s="1"/>
  <c r="A43" i="154" s="1"/>
  <c r="A44" i="154" s="1"/>
  <c r="A45" i="154" s="1"/>
  <c r="A46" i="154" s="1"/>
  <c r="A47" i="154" s="1"/>
  <c r="A48" i="154" s="1"/>
  <c r="A49" i="154" s="1"/>
  <c r="A50" i="154" s="1"/>
  <c r="A51" i="154" s="1"/>
  <c r="A52" i="154" s="1"/>
  <c r="A53" i="154" s="1"/>
  <c r="D52" i="154" l="1"/>
  <c r="D48" i="154"/>
  <c r="I11" i="34" l="1"/>
  <c r="E17" i="34"/>
  <c r="E20" i="8" l="1"/>
  <c r="E26" i="150" l="1"/>
  <c r="E25" i="150"/>
  <c r="D9" i="153" l="1"/>
  <c r="C72" i="41" l="1"/>
  <c r="B52" i="112" l="1"/>
  <c r="B4" i="41" l="1"/>
  <c r="B5" i="150"/>
  <c r="B4" i="42"/>
  <c r="E17" i="75" l="1"/>
  <c r="L11" i="34" l="1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23" i="34" s="1"/>
  <c r="A12" i="34"/>
  <c r="A13" i="34" s="1"/>
  <c r="A14" i="34" s="1"/>
  <c r="A15" i="34" s="1"/>
  <c r="B5" i="85"/>
  <c r="B6" i="84"/>
  <c r="A16" i="34" l="1"/>
  <c r="A17" i="34" s="1"/>
  <c r="A18" i="34" s="1"/>
  <c r="A19" i="34" s="1"/>
  <c r="A20" i="34" s="1"/>
  <c r="A21" i="34" s="1"/>
  <c r="A22" i="34" s="1"/>
  <c r="A23" i="34" s="1"/>
  <c r="K17" i="34"/>
  <c r="B5" i="71"/>
  <c r="B5" i="70"/>
  <c r="B4" i="153"/>
  <c r="B4" i="135"/>
  <c r="B3" i="153"/>
  <c r="A14" i="84" l="1"/>
  <c r="E16" i="111" l="1"/>
  <c r="C34" i="114" l="1"/>
  <c r="G13" i="66" l="1"/>
  <c r="E9" i="153" l="1"/>
  <c r="E10" i="153" l="1"/>
  <c r="E11" i="153" s="1"/>
  <c r="E12" i="153" s="1"/>
  <c r="E13" i="153" s="1"/>
  <c r="E14" i="153" s="1"/>
  <c r="E15" i="153" s="1"/>
  <c r="E16" i="153" s="1"/>
  <c r="E17" i="153" s="1"/>
  <c r="E18" i="153" s="1"/>
  <c r="E19" i="153" s="1"/>
  <c r="E20" i="153" s="1"/>
  <c r="E21" i="153" s="1"/>
  <c r="E22" i="153" s="1"/>
  <c r="E23" i="153" s="1"/>
  <c r="E24" i="153" s="1"/>
  <c r="E25" i="153" s="1"/>
  <c r="E26" i="153" s="1"/>
  <c r="E27" i="153" s="1"/>
  <c r="E28" i="153" s="1"/>
  <c r="E29" i="153" s="1"/>
  <c r="E30" i="153" s="1"/>
  <c r="E31" i="153" s="1"/>
  <c r="E32" i="153" s="1"/>
  <c r="E33" i="153" s="1"/>
  <c r="E34" i="153" s="1"/>
  <c r="E35" i="153" s="1"/>
  <c r="E36" i="153" s="1"/>
  <c r="E37" i="153" s="1"/>
  <c r="E38" i="153" s="1"/>
  <c r="E39" i="153" s="1"/>
  <c r="E40" i="153" s="1"/>
  <c r="E41" i="153" s="1"/>
  <c r="E42" i="153" s="1"/>
  <c r="E43" i="153" s="1"/>
  <c r="E44" i="153" s="1"/>
  <c r="E45" i="153" s="1"/>
  <c r="E46" i="153" s="1"/>
  <c r="E47" i="153" s="1"/>
  <c r="E48" i="153" s="1"/>
  <c r="E49" i="153" s="1"/>
  <c r="E50" i="153" s="1"/>
  <c r="E51" i="153" s="1"/>
  <c r="E52" i="153" s="1"/>
  <c r="E53" i="153" s="1"/>
  <c r="E54" i="153" s="1"/>
  <c r="E55" i="153" s="1"/>
  <c r="E56" i="153" s="1"/>
  <c r="E57" i="153" s="1"/>
  <c r="A10" i="153"/>
  <c r="A11" i="153" s="1"/>
  <c r="A12" i="153" s="1"/>
  <c r="A13" i="153" s="1"/>
  <c r="A14" i="153" s="1"/>
  <c r="A15" i="153" s="1"/>
  <c r="A16" i="153" s="1"/>
  <c r="A17" i="153" s="1"/>
  <c r="A18" i="153" s="1"/>
  <c r="A19" i="153" s="1"/>
  <c r="A20" i="153" s="1"/>
  <c r="A21" i="153" s="1"/>
  <c r="A22" i="153" s="1"/>
  <c r="A23" i="153" s="1"/>
  <c r="A24" i="153" s="1"/>
  <c r="A25" i="153" s="1"/>
  <c r="A26" i="153" s="1"/>
  <c r="A27" i="153" s="1"/>
  <c r="A28" i="153" s="1"/>
  <c r="A29" i="153" s="1"/>
  <c r="A30" i="153" s="1"/>
  <c r="A31" i="153" s="1"/>
  <c r="A32" i="153" s="1"/>
  <c r="A33" i="153" s="1"/>
  <c r="A34" i="153" s="1"/>
  <c r="A35" i="153" s="1"/>
  <c r="A36" i="153" s="1"/>
  <c r="A37" i="153" s="1"/>
  <c r="A38" i="153" s="1"/>
  <c r="A39" i="153" s="1"/>
  <c r="A40" i="153" s="1"/>
  <c r="A41" i="153" s="1"/>
  <c r="A42" i="153" s="1"/>
  <c r="A43" i="153" s="1"/>
  <c r="A44" i="153" s="1"/>
  <c r="A45" i="153" s="1"/>
  <c r="A46" i="153" s="1"/>
  <c r="A47" i="153" s="1"/>
  <c r="A48" i="153" s="1"/>
  <c r="A49" i="153" s="1"/>
  <c r="A50" i="153" s="1"/>
  <c r="A51" i="153" s="1"/>
  <c r="A52" i="153" s="1"/>
  <c r="A53" i="153" s="1"/>
  <c r="A54" i="153" s="1"/>
  <c r="A55" i="153" s="1"/>
  <c r="A56" i="153" s="1"/>
  <c r="A57" i="153" s="1"/>
  <c r="G12" i="40" l="1"/>
  <c r="D56" i="153"/>
  <c r="E12" i="40" s="1"/>
  <c r="E15" i="66" l="1"/>
  <c r="E19" i="66" s="1"/>
  <c r="B5" i="111" l="1"/>
  <c r="B5" i="11"/>
  <c r="E68" i="146"/>
  <c r="F11" i="146"/>
  <c r="F12" i="146" s="1"/>
  <c r="F13" i="146" s="1"/>
  <c r="F14" i="146" s="1"/>
  <c r="G83" i="113" s="1"/>
  <c r="A12" i="146"/>
  <c r="A13" i="146" s="1"/>
  <c r="A14" i="146" s="1"/>
  <c r="A15" i="146" s="1"/>
  <c r="E25" i="146"/>
  <c r="E24" i="146"/>
  <c r="B4" i="162" l="1"/>
  <c r="B4" i="146"/>
  <c r="F15" i="146"/>
  <c r="G85" i="113" s="1"/>
  <c r="E16" i="146"/>
  <c r="A16" i="146"/>
  <c r="G47" i="113" s="1"/>
  <c r="B5" i="34"/>
  <c r="B13" i="59"/>
  <c r="B17" i="27"/>
  <c r="B5" i="59"/>
  <c r="A14" i="59"/>
  <c r="A15" i="59" s="1"/>
  <c r="G17" i="46" s="1"/>
  <c r="F13" i="59"/>
  <c r="F14" i="59" s="1"/>
  <c r="F15" i="59" s="1"/>
  <c r="F16" i="59" s="1"/>
  <c r="B13" i="27"/>
  <c r="B5" i="27"/>
  <c r="A14" i="27"/>
  <c r="E15" i="27" s="1"/>
  <c r="F13" i="27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B17" i="14"/>
  <c r="B13" i="14"/>
  <c r="B5" i="14"/>
  <c r="A14" i="14"/>
  <c r="E15" i="14" s="1"/>
  <c r="F13" i="14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16" i="146" l="1"/>
  <c r="F17" i="146" s="1"/>
  <c r="F18" i="146" s="1"/>
  <c r="F19" i="146" s="1"/>
  <c r="F20" i="146" s="1"/>
  <c r="F21" i="146" s="1"/>
  <c r="F22" i="146" s="1"/>
  <c r="F23" i="146" s="1"/>
  <c r="F24" i="146" s="1"/>
  <c r="F25" i="146" s="1"/>
  <c r="F26" i="146" s="1"/>
  <c r="F27" i="146" s="1"/>
  <c r="F28" i="146" s="1"/>
  <c r="F29" i="146" s="1"/>
  <c r="F30" i="146" s="1"/>
  <c r="F31" i="146" s="1"/>
  <c r="F32" i="146" s="1"/>
  <c r="F33" i="146" s="1"/>
  <c r="F34" i="146" s="1"/>
  <c r="F35" i="146" s="1"/>
  <c r="F36" i="146" s="1"/>
  <c r="F37" i="146" s="1"/>
  <c r="F38" i="146" s="1"/>
  <c r="F39" i="146" s="1"/>
  <c r="F40" i="146" s="1"/>
  <c r="F41" i="146" s="1"/>
  <c r="F42" i="146" s="1"/>
  <c r="F43" i="146" s="1"/>
  <c r="F44" i="146" s="1"/>
  <c r="F45" i="146" s="1"/>
  <c r="F46" i="146" s="1"/>
  <c r="F47" i="146" s="1"/>
  <c r="F48" i="146" s="1"/>
  <c r="A15" i="27"/>
  <c r="A16" i="27" s="1"/>
  <c r="A17" i="27" s="1"/>
  <c r="A17" i="146"/>
  <c r="A18" i="146" s="1"/>
  <c r="A19" i="146" s="1"/>
  <c r="A16" i="59"/>
  <c r="D15" i="59"/>
  <c r="E17" i="46" s="1"/>
  <c r="D19" i="27"/>
  <c r="G17" i="22" s="1"/>
  <c r="E17" i="22"/>
  <c r="D19" i="14"/>
  <c r="G29" i="2" s="1"/>
  <c r="A15" i="14"/>
  <c r="A20" i="146" l="1"/>
  <c r="A21" i="146" s="1"/>
  <c r="D22" i="14"/>
  <c r="E29" i="2"/>
  <c r="D22" i="27"/>
  <c r="A18" i="27"/>
  <c r="A19" i="27" s="1"/>
  <c r="E22" i="27" s="1"/>
  <c r="A16" i="14"/>
  <c r="A17" i="14" s="1"/>
  <c r="A22" i="146" l="1"/>
  <c r="A23" i="146" s="1"/>
  <c r="A24" i="146" s="1"/>
  <c r="E21" i="146"/>
  <c r="E19" i="27"/>
  <c r="A20" i="27"/>
  <c r="A21" i="27" s="1"/>
  <c r="A22" i="27" s="1"/>
  <c r="A18" i="14"/>
  <c r="A19" i="14" s="1"/>
  <c r="E19" i="14"/>
  <c r="A23" i="27" l="1"/>
  <c r="K17" i="22"/>
  <c r="A25" i="146"/>
  <c r="A26" i="146" s="1"/>
  <c r="A20" i="14"/>
  <c r="A21" i="14" s="1"/>
  <c r="A22" i="14" s="1"/>
  <c r="E22" i="14"/>
  <c r="E26" i="146" l="1"/>
  <c r="A23" i="14"/>
  <c r="K29" i="2"/>
  <c r="A27" i="146"/>
  <c r="A28" i="146" s="1"/>
  <c r="A29" i="146" s="1"/>
  <c r="A30" i="146" l="1"/>
  <c r="A31" i="146" s="1"/>
  <c r="A32" i="146" s="1"/>
  <c r="E32" i="146" l="1"/>
  <c r="A33" i="146"/>
  <c r="A34" i="146" s="1"/>
  <c r="A35" i="146" s="1"/>
  <c r="A36" i="146" s="1"/>
  <c r="I88" i="82" s="1"/>
  <c r="A37" i="146" l="1"/>
  <c r="A38" i="146" s="1"/>
  <c r="A39" i="146" s="1"/>
  <c r="E36" i="146"/>
  <c r="A40" i="146" l="1"/>
  <c r="A41" i="146" s="1"/>
  <c r="A42" i="146" s="1"/>
  <c r="A43" i="146" s="1"/>
  <c r="A44" i="146" s="1"/>
  <c r="E41" i="146" l="1"/>
  <c r="A45" i="146"/>
  <c r="A46" i="146" s="1"/>
  <c r="A47" i="146" s="1"/>
  <c r="A48" i="146" s="1"/>
  <c r="E75" i="146"/>
  <c r="E46" i="146" l="1"/>
  <c r="B53" i="146"/>
  <c r="B5" i="82"/>
  <c r="B119" i="82" s="1"/>
  <c r="B5" i="75"/>
  <c r="B5" i="69"/>
  <c r="B5" i="66"/>
  <c r="B5" i="46"/>
  <c r="B5" i="45"/>
  <c r="B5" i="40"/>
  <c r="B5" i="38"/>
  <c r="B5" i="22"/>
  <c r="B5" i="2"/>
  <c r="B5" i="114"/>
  <c r="E65" i="146" l="1"/>
  <c r="F11" i="150" l="1"/>
  <c r="E76" i="146" l="1"/>
  <c r="E77" i="146" l="1"/>
  <c r="J12" i="114"/>
  <c r="J13" i="114" s="1"/>
  <c r="J14" i="114" s="1"/>
  <c r="J15" i="114" s="1"/>
  <c r="J16" i="114" s="1"/>
  <c r="J17" i="114" s="1"/>
  <c r="J18" i="114" s="1"/>
  <c r="J19" i="114" s="1"/>
  <c r="J20" i="114" s="1"/>
  <c r="J21" i="114" s="1"/>
  <c r="J22" i="114" s="1"/>
  <c r="J23" i="114" s="1"/>
  <c r="J24" i="114" s="1"/>
  <c r="J25" i="114" s="1"/>
  <c r="J26" i="114" s="1"/>
  <c r="J27" i="114" s="1"/>
  <c r="J28" i="114" s="1"/>
  <c r="J29" i="114" s="1"/>
  <c r="J30" i="114" s="1"/>
  <c r="J31" i="114" s="1"/>
  <c r="J32" i="114" s="1"/>
  <c r="J33" i="114" s="1"/>
  <c r="J34" i="114" s="1"/>
  <c r="J35" i="114" s="1"/>
  <c r="J36" i="114" s="1"/>
  <c r="J37" i="114" s="1"/>
  <c r="J38" i="114" s="1"/>
  <c r="J39" i="114" s="1"/>
  <c r="J40" i="114" s="1"/>
  <c r="J41" i="114" s="1"/>
  <c r="J42" i="114" s="1"/>
  <c r="A13" i="114"/>
  <c r="A14" i="114" s="1"/>
  <c r="E78" i="146" l="1"/>
  <c r="E72" i="146"/>
  <c r="A15" i="114"/>
  <c r="A16" i="114" s="1"/>
  <c r="A17" i="114" s="1"/>
  <c r="A18" i="114" s="1"/>
  <c r="I18" i="114" l="1"/>
  <c r="E12" i="146"/>
  <c r="A19" i="114"/>
  <c r="A20" i="114" s="1"/>
  <c r="A21" i="114" s="1"/>
  <c r="A22" i="114" s="1"/>
  <c r="A23" i="114" s="1"/>
  <c r="A24" i="114" s="1"/>
  <c r="A25" i="114" s="1"/>
  <c r="E13" i="146" l="1"/>
  <c r="A26" i="114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H47" i="113"/>
  <c r="H48" i="113" s="1"/>
  <c r="H49" i="113" s="1"/>
  <c r="H50" i="113" s="1"/>
  <c r="H51" i="113" s="1"/>
  <c r="H52" i="113" s="1"/>
  <c r="H53" i="113" s="1"/>
  <c r="H54" i="113" s="1"/>
  <c r="H55" i="113" s="1"/>
  <c r="H56" i="113" s="1"/>
  <c r="H57" i="113" s="1"/>
  <c r="H58" i="113" s="1"/>
  <c r="H59" i="113" s="1"/>
  <c r="H60" i="113" s="1"/>
  <c r="H61" i="113" s="1"/>
  <c r="H62" i="113" s="1"/>
  <c r="H63" i="113" s="1"/>
  <c r="H64" i="113" s="1"/>
  <c r="H65" i="113" s="1"/>
  <c r="H66" i="113" s="1"/>
  <c r="H67" i="113" s="1"/>
  <c r="H68" i="113" s="1"/>
  <c r="H69" i="113" s="1"/>
  <c r="H70" i="113" s="1"/>
  <c r="H71" i="113" s="1"/>
  <c r="H72" i="113" s="1"/>
  <c r="H73" i="113" s="1"/>
  <c r="H74" i="113" s="1"/>
  <c r="H75" i="113" s="1"/>
  <c r="H76" i="113" s="1"/>
  <c r="H77" i="113" s="1"/>
  <c r="H78" i="113" s="1"/>
  <c r="H79" i="113" s="1"/>
  <c r="H80" i="113" s="1"/>
  <c r="H81" i="113" s="1"/>
  <c r="H82" i="113" s="1"/>
  <c r="H83" i="113" s="1"/>
  <c r="H84" i="113" s="1"/>
  <c r="H85" i="113" s="1"/>
  <c r="H86" i="113" s="1"/>
  <c r="H87" i="113" s="1"/>
  <c r="H88" i="113" s="1"/>
  <c r="H89" i="113" s="1"/>
  <c r="H90" i="113" s="1"/>
  <c r="H91" i="113" s="1"/>
  <c r="H92" i="113" s="1"/>
  <c r="H93" i="113" s="1"/>
  <c r="H94" i="113" s="1"/>
  <c r="H95" i="113" s="1"/>
  <c r="H96" i="113" s="1"/>
  <c r="H97" i="113" s="1"/>
  <c r="A48" i="113"/>
  <c r="A49" i="113" s="1"/>
  <c r="A50" i="113" s="1"/>
  <c r="H11" i="113"/>
  <c r="H12" i="113" s="1"/>
  <c r="H13" i="113" s="1"/>
  <c r="H14" i="113" s="1"/>
  <c r="H15" i="113" s="1"/>
  <c r="H16" i="113" s="1"/>
  <c r="H17" i="113" s="1"/>
  <c r="H18" i="113" s="1"/>
  <c r="H19" i="113" s="1"/>
  <c r="H20" i="113" s="1"/>
  <c r="H21" i="113" s="1"/>
  <c r="H22" i="113" s="1"/>
  <c r="H23" i="113" s="1"/>
  <c r="H24" i="113" s="1"/>
  <c r="H25" i="113" s="1"/>
  <c r="H26" i="113" s="1"/>
  <c r="H27" i="113" s="1"/>
  <c r="H28" i="113" s="1"/>
  <c r="H29" i="113" s="1"/>
  <c r="H30" i="113" s="1"/>
  <c r="H31" i="113" s="1"/>
  <c r="H32" i="113" s="1"/>
  <c r="H33" i="113" s="1"/>
  <c r="H34" i="113" s="1"/>
  <c r="H35" i="113" s="1"/>
  <c r="A12" i="113"/>
  <c r="E12" i="111"/>
  <c r="E14" i="111" s="1"/>
  <c r="E17" i="111" s="1"/>
  <c r="H11" i="111"/>
  <c r="H12" i="111" s="1"/>
  <c r="H13" i="111" s="1"/>
  <c r="H14" i="111" s="1"/>
  <c r="H15" i="111" s="1"/>
  <c r="A12" i="111"/>
  <c r="B42" i="112"/>
  <c r="E9" i="2"/>
  <c r="B38" i="112"/>
  <c r="B36" i="112"/>
  <c r="B34" i="112"/>
  <c r="E11" i="112"/>
  <c r="E12" i="112" s="1"/>
  <c r="A12" i="112"/>
  <c r="A13" i="112" s="1"/>
  <c r="C17" i="85"/>
  <c r="C15" i="85"/>
  <c r="A12" i="85"/>
  <c r="A13" i="85" s="1"/>
  <c r="A14" i="85" s="1"/>
  <c r="A15" i="85" s="1"/>
  <c r="A16" i="85" s="1"/>
  <c r="A17" i="85" s="1"/>
  <c r="A18" i="85" s="1"/>
  <c r="A19" i="85" s="1"/>
  <c r="E11" i="85"/>
  <c r="E12" i="85" s="1"/>
  <c r="E13" i="85" s="1"/>
  <c r="E14" i="85" s="1"/>
  <c r="E15" i="85" s="1"/>
  <c r="E16" i="85" s="1"/>
  <c r="E17" i="85" s="1"/>
  <c r="E18" i="85" s="1"/>
  <c r="E19" i="85" s="1"/>
  <c r="E20" i="85" s="1"/>
  <c r="E21" i="85" s="1"/>
  <c r="E22" i="85" s="1"/>
  <c r="E23" i="85" s="1"/>
  <c r="E24" i="85" s="1"/>
  <c r="E25" i="85" s="1"/>
  <c r="E26" i="85" s="1"/>
  <c r="E27" i="85" s="1"/>
  <c r="E28" i="85" s="1"/>
  <c r="B4" i="84"/>
  <c r="D13" i="84"/>
  <c r="D14" i="84" s="1"/>
  <c r="B74" i="82"/>
  <c r="J81" i="82"/>
  <c r="J82" i="82" s="1"/>
  <c r="J83" i="82" s="1"/>
  <c r="J84" i="82" s="1"/>
  <c r="J85" i="82" s="1"/>
  <c r="J86" i="82" s="1"/>
  <c r="J87" i="82" s="1"/>
  <c r="J88" i="82" s="1"/>
  <c r="J89" i="82" s="1"/>
  <c r="J90" i="82" s="1"/>
  <c r="J91" i="82" s="1"/>
  <c r="J92" i="82" s="1"/>
  <c r="J93" i="82" s="1"/>
  <c r="J94" i="82" s="1"/>
  <c r="J95" i="82" s="1"/>
  <c r="J96" i="82" s="1"/>
  <c r="J97" i="82" s="1"/>
  <c r="J98" i="82" s="1"/>
  <c r="J99" i="82" s="1"/>
  <c r="J100" i="82" s="1"/>
  <c r="J101" i="82" s="1"/>
  <c r="J102" i="82" s="1"/>
  <c r="J103" i="82" s="1"/>
  <c r="J104" i="82" s="1"/>
  <c r="J105" i="82" s="1"/>
  <c r="J106" i="82" s="1"/>
  <c r="J107" i="82" s="1"/>
  <c r="J108" i="82" s="1"/>
  <c r="J109" i="82" s="1"/>
  <c r="J110" i="82" s="1"/>
  <c r="A81" i="82"/>
  <c r="A82" i="82" s="1"/>
  <c r="A83" i="82" s="1"/>
  <c r="A84" i="82" s="1"/>
  <c r="A85" i="82" s="1"/>
  <c r="E49" i="82"/>
  <c r="A12" i="82"/>
  <c r="A13" i="82" s="1"/>
  <c r="A14" i="82" s="1"/>
  <c r="A15" i="82" s="1"/>
  <c r="A16" i="82" s="1"/>
  <c r="A17" i="82" s="1"/>
  <c r="A18" i="82" s="1"/>
  <c r="A19" i="82" s="1"/>
  <c r="A20" i="82" s="1"/>
  <c r="J11" i="82"/>
  <c r="J12" i="82" s="1"/>
  <c r="J13" i="82" s="1"/>
  <c r="J14" i="82" s="1"/>
  <c r="J15" i="82" s="1"/>
  <c r="J16" i="82" s="1"/>
  <c r="J17" i="82" s="1"/>
  <c r="J18" i="82" s="1"/>
  <c r="J19" i="82" s="1"/>
  <c r="J20" i="82" s="1"/>
  <c r="J21" i="82" s="1"/>
  <c r="J22" i="82" s="1"/>
  <c r="J23" i="82" s="1"/>
  <c r="J24" i="82" s="1"/>
  <c r="J25" i="82" s="1"/>
  <c r="J26" i="82" s="1"/>
  <c r="J27" i="82" s="1"/>
  <c r="J28" i="82" s="1"/>
  <c r="J29" i="82" s="1"/>
  <c r="J30" i="82" s="1"/>
  <c r="J31" i="82" s="1"/>
  <c r="J32" i="82" s="1"/>
  <c r="J33" i="82" s="1"/>
  <c r="J34" i="82" s="1"/>
  <c r="J35" i="82" s="1"/>
  <c r="J36" i="82" s="1"/>
  <c r="J37" i="82" s="1"/>
  <c r="J38" i="82" s="1"/>
  <c r="J39" i="82" s="1"/>
  <c r="J40" i="82" s="1"/>
  <c r="J41" i="82" s="1"/>
  <c r="J42" i="82" s="1"/>
  <c r="J43" i="82" s="1"/>
  <c r="J44" i="82" s="1"/>
  <c r="J45" i="82" s="1"/>
  <c r="J46" i="82" s="1"/>
  <c r="J47" i="82" s="1"/>
  <c r="J48" i="82" s="1"/>
  <c r="J49" i="82" s="1"/>
  <c r="J50" i="82" s="1"/>
  <c r="J51" i="82" s="1"/>
  <c r="J52" i="82" s="1"/>
  <c r="J53" i="82" s="1"/>
  <c r="J54" i="82" s="1"/>
  <c r="J55" i="82" s="1"/>
  <c r="J56" i="82" s="1"/>
  <c r="J57" i="82" s="1"/>
  <c r="J58" i="82" s="1"/>
  <c r="J59" i="82" s="1"/>
  <c r="J60" i="82" s="1"/>
  <c r="J61" i="82" s="1"/>
  <c r="J62" i="82" s="1"/>
  <c r="J63" i="82" s="1"/>
  <c r="J64" i="82" s="1"/>
  <c r="J65" i="82" s="1"/>
  <c r="G59" i="40"/>
  <c r="H11" i="40"/>
  <c r="H12" i="40" s="1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A12" i="40"/>
  <c r="G12" i="111" s="1"/>
  <c r="G9" i="2"/>
  <c r="A12" i="2"/>
  <c r="A13" i="2" s="1"/>
  <c r="A14" i="2" s="1"/>
  <c r="A15" i="2" s="1"/>
  <c r="A16" i="2" s="1"/>
  <c r="A17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A12" i="22"/>
  <c r="A13" i="22" s="1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D7" i="135"/>
  <c r="C7" i="135"/>
  <c r="G11" i="135"/>
  <c r="G12" i="135" s="1"/>
  <c r="G13" i="135" s="1"/>
  <c r="G14" i="135" s="1"/>
  <c r="G15" i="135" s="1"/>
  <c r="G16" i="135" s="1"/>
  <c r="H11" i="38"/>
  <c r="G15" i="45"/>
  <c r="G13" i="45"/>
  <c r="H11" i="45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A12" i="45"/>
  <c r="A13" i="45" s="1"/>
  <c r="H29" i="40" l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27" i="40"/>
  <c r="H28" i="40" s="1"/>
  <c r="H44" i="40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H61" i="40" s="1"/>
  <c r="H62" i="40" s="1"/>
  <c r="H63" i="40" s="1"/>
  <c r="H64" i="40" s="1"/>
  <c r="H65" i="40" s="1"/>
  <c r="H66" i="40" s="1"/>
  <c r="H67" i="40" s="1"/>
  <c r="H68" i="40" s="1"/>
  <c r="E14" i="146"/>
  <c r="I36" i="114"/>
  <c r="A37" i="114"/>
  <c r="A38" i="114" s="1"/>
  <c r="A39" i="114" s="1"/>
  <c r="A40" i="114" s="1"/>
  <c r="I38" i="114"/>
  <c r="I34" i="114"/>
  <c r="A13" i="113"/>
  <c r="A14" i="113" s="1"/>
  <c r="A15" i="113" s="1"/>
  <c r="A16" i="113" s="1"/>
  <c r="A17" i="113" s="1"/>
  <c r="A18" i="113" s="1"/>
  <c r="A19" i="113" s="1"/>
  <c r="A20" i="113" s="1"/>
  <c r="A21" i="113" s="1"/>
  <c r="A22" i="113" s="1"/>
  <c r="D36" i="112"/>
  <c r="A14" i="112"/>
  <c r="A15" i="112" s="1"/>
  <c r="A16" i="112" s="1"/>
  <c r="A17" i="112" s="1"/>
  <c r="C19" i="85"/>
  <c r="A20" i="85"/>
  <c r="A21" i="85" s="1"/>
  <c r="A22" i="85" s="1"/>
  <c r="A23" i="85" s="1"/>
  <c r="A11" i="135"/>
  <c r="A18" i="2"/>
  <c r="A19" i="2" s="1"/>
  <c r="G61" i="40"/>
  <c r="A13" i="40"/>
  <c r="A14" i="40" s="1"/>
  <c r="A15" i="40" s="1"/>
  <c r="H16" i="111"/>
  <c r="H17" i="111" s="1"/>
  <c r="H18" i="111" s="1"/>
  <c r="H19" i="111" s="1"/>
  <c r="H20" i="111" s="1"/>
  <c r="H21" i="111" s="1"/>
  <c r="H22" i="111" s="1"/>
  <c r="H23" i="111" s="1"/>
  <c r="H24" i="111" s="1"/>
  <c r="H25" i="111" s="1"/>
  <c r="H26" i="111" s="1"/>
  <c r="H27" i="111" s="1"/>
  <c r="A13" i="111"/>
  <c r="A14" i="111" s="1"/>
  <c r="G9" i="34"/>
  <c r="G9" i="22"/>
  <c r="E9" i="34"/>
  <c r="E9" i="22"/>
  <c r="A14" i="45"/>
  <c r="A15" i="45" s="1"/>
  <c r="B5" i="113"/>
  <c r="A51" i="113"/>
  <c r="A52" i="113" s="1"/>
  <c r="A53" i="113" s="1"/>
  <c r="A54" i="113" s="1"/>
  <c r="A55" i="113" s="1"/>
  <c r="A56" i="113" s="1"/>
  <c r="A57" i="113" s="1"/>
  <c r="A58" i="113" s="1"/>
  <c r="A59" i="113" s="1"/>
  <c r="A60" i="113" s="1"/>
  <c r="G52" i="113"/>
  <c r="D15" i="85"/>
  <c r="I17" i="82"/>
  <c r="G25" i="82"/>
  <c r="G32" i="82"/>
  <c r="G17" i="82"/>
  <c r="I97" i="82"/>
  <c r="A86" i="82"/>
  <c r="A21" i="82"/>
  <c r="A22" i="82" s="1"/>
  <c r="A23" i="82" s="1"/>
  <c r="A24" i="82" s="1"/>
  <c r="A25" i="82" s="1"/>
  <c r="I27" i="82" s="1"/>
  <c r="G39" i="82"/>
  <c r="C48" i="82"/>
  <c r="I29" i="2"/>
  <c r="I17" i="22"/>
  <c r="A14" i="22"/>
  <c r="A15" i="22" s="1"/>
  <c r="H11" i="46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11" i="66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2" i="66" s="1"/>
  <c r="H33" i="66" s="1"/>
  <c r="H34" i="66" s="1"/>
  <c r="H35" i="66" s="1"/>
  <c r="H36" i="66" s="1"/>
  <c r="H37" i="66" s="1"/>
  <c r="H38" i="66" s="1"/>
  <c r="A12" i="66"/>
  <c r="A13" i="66" s="1"/>
  <c r="G15" i="66" s="1"/>
  <c r="E27" i="69"/>
  <c r="A12" i="69"/>
  <c r="A13" i="69" s="1"/>
  <c r="J11" i="69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A11" i="75"/>
  <c r="B25" i="71"/>
  <c r="B14" i="71"/>
  <c r="B13" i="71"/>
  <c r="A16" i="40" l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C63" i="82"/>
  <c r="E15" i="146"/>
  <c r="E79" i="146"/>
  <c r="I40" i="114"/>
  <c r="A41" i="114"/>
  <c r="A42" i="114" s="1"/>
  <c r="D15" i="112" s="1"/>
  <c r="I42" i="114"/>
  <c r="A23" i="113"/>
  <c r="A24" i="113" s="1"/>
  <c r="A25" i="113" s="1"/>
  <c r="A26" i="113" s="1"/>
  <c r="A27" i="113" s="1"/>
  <c r="A28" i="113" s="1"/>
  <c r="A29" i="113" s="1"/>
  <c r="A30" i="113" s="1"/>
  <c r="A31" i="113" s="1"/>
  <c r="A32" i="113" s="1"/>
  <c r="A33" i="113" s="1"/>
  <c r="A34" i="113" s="1"/>
  <c r="A35" i="113" s="1"/>
  <c r="D13" i="112" s="1"/>
  <c r="G24" i="113"/>
  <c r="A18" i="112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D17" i="112"/>
  <c r="D38" i="112"/>
  <c r="A61" i="113"/>
  <c r="A62" i="113" s="1"/>
  <c r="G62" i="113"/>
  <c r="B41" i="113"/>
  <c r="C23" i="85"/>
  <c r="C27" i="85" s="1"/>
  <c r="G21" i="114" s="1"/>
  <c r="C60" i="84"/>
  <c r="C62" i="84" s="1"/>
  <c r="D23" i="85"/>
  <c r="G12" i="113"/>
  <c r="A87" i="82"/>
  <c r="A88" i="82" s="1"/>
  <c r="B24" i="75"/>
  <c r="A24" i="85"/>
  <c r="A25" i="85" s="1"/>
  <c r="A26" i="85" s="1"/>
  <c r="A27" i="85" s="1"/>
  <c r="I21" i="114" s="1"/>
  <c r="E21" i="75"/>
  <c r="G86" i="82" s="1"/>
  <c r="A12" i="135"/>
  <c r="A13" i="135" s="1"/>
  <c r="A14" i="135" s="1"/>
  <c r="A15" i="135" s="1"/>
  <c r="A20" i="2"/>
  <c r="A21" i="2" s="1"/>
  <c r="G62" i="40"/>
  <c r="A15" i="111"/>
  <c r="A16" i="111" s="1"/>
  <c r="A17" i="111" s="1"/>
  <c r="G14" i="111"/>
  <c r="H11" i="75"/>
  <c r="H12" i="75" s="1"/>
  <c r="A14" i="66"/>
  <c r="A15" i="66" s="1"/>
  <c r="A16" i="66" s="1"/>
  <c r="A17" i="66" s="1"/>
  <c r="A18" i="66" s="1"/>
  <c r="A19" i="66" s="1"/>
  <c r="A20" i="66" s="1"/>
  <c r="A21" i="66" s="1"/>
  <c r="A22" i="66" s="1"/>
  <c r="A23" i="66" s="1"/>
  <c r="A16" i="45"/>
  <c r="A17" i="45" s="1"/>
  <c r="A18" i="45" s="1"/>
  <c r="A19" i="45" s="1"/>
  <c r="A20" i="45" s="1"/>
  <c r="A21" i="45" s="1"/>
  <c r="A22" i="45" s="1"/>
  <c r="A23" i="45" s="1"/>
  <c r="G25" i="45" s="1"/>
  <c r="E65" i="40"/>
  <c r="D19" i="85"/>
  <c r="G27" i="82"/>
  <c r="E48" i="82"/>
  <c r="C47" i="82"/>
  <c r="C49" i="82"/>
  <c r="I25" i="82"/>
  <c r="A26" i="82"/>
  <c r="A27" i="82" s="1"/>
  <c r="A16" i="22"/>
  <c r="A17" i="22" s="1"/>
  <c r="A14" i="69"/>
  <c r="A15" i="69" s="1"/>
  <c r="I15" i="69"/>
  <c r="A12" i="75"/>
  <c r="A14" i="7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E13" i="71"/>
  <c r="E14" i="71" s="1"/>
  <c r="E15" i="71" s="1"/>
  <c r="E16" i="71" s="1"/>
  <c r="E17" i="71" s="1"/>
  <c r="E18" i="71" s="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B27" i="70"/>
  <c r="B16" i="70"/>
  <c r="B15" i="70"/>
  <c r="A27" i="40" l="1"/>
  <c r="G27" i="40"/>
  <c r="D27" i="85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D44" i="112"/>
  <c r="D42" i="112"/>
  <c r="D23" i="112"/>
  <c r="G28" i="113"/>
  <c r="G33" i="113"/>
  <c r="G26" i="113"/>
  <c r="E47" i="82"/>
  <c r="A63" i="113"/>
  <c r="A64" i="113" s="1"/>
  <c r="A65" i="113" s="1"/>
  <c r="A66" i="113" s="1"/>
  <c r="A67" i="113" s="1"/>
  <c r="A68" i="113" s="1"/>
  <c r="A69" i="113" s="1"/>
  <c r="A70" i="113" s="1"/>
  <c r="A71" i="113" s="1"/>
  <c r="A72" i="113" s="1"/>
  <c r="A73" i="113" s="1"/>
  <c r="A74" i="113" s="1"/>
  <c r="A75" i="113" s="1"/>
  <c r="A76" i="113" s="1"/>
  <c r="G16" i="113"/>
  <c r="A24" i="66"/>
  <c r="A25" i="66" s="1"/>
  <c r="A26" i="66" s="1"/>
  <c r="A27" i="66" s="1"/>
  <c r="F15" i="135"/>
  <c r="I98" i="82"/>
  <c r="A26" i="71"/>
  <c r="A27" i="71" s="1"/>
  <c r="A28" i="71" s="1"/>
  <c r="A29" i="71" s="1"/>
  <c r="A30" i="71" s="1"/>
  <c r="D27" i="71"/>
  <c r="A28" i="85"/>
  <c r="G17" i="111"/>
  <c r="A16" i="69"/>
  <c r="A17" i="69" s="1"/>
  <c r="A18" i="69" s="1"/>
  <c r="A19" i="69" s="1"/>
  <c r="E29" i="146"/>
  <c r="G71" i="113"/>
  <c r="A13" i="75"/>
  <c r="A14" i="75" s="1"/>
  <c r="H13" i="75"/>
  <c r="H14" i="75" s="1"/>
  <c r="H15" i="75" s="1"/>
  <c r="H16" i="75" s="1"/>
  <c r="A16" i="135"/>
  <c r="E61" i="146"/>
  <c r="A18" i="111"/>
  <c r="A19" i="111" s="1"/>
  <c r="A20" i="111" s="1"/>
  <c r="A21" i="111" s="1"/>
  <c r="A24" i="45"/>
  <c r="A25" i="45" s="1"/>
  <c r="G57" i="113"/>
  <c r="G35" i="113"/>
  <c r="C50" i="82"/>
  <c r="I47" i="82"/>
  <c r="A28" i="82"/>
  <c r="A29" i="82" s="1"/>
  <c r="A30" i="82" s="1"/>
  <c r="I36" i="82" s="1"/>
  <c r="I99" i="82"/>
  <c r="A89" i="82"/>
  <c r="I134" i="82" s="1"/>
  <c r="A18" i="22"/>
  <c r="A19" i="22" s="1"/>
  <c r="K25" i="22" s="1"/>
  <c r="G19" i="66"/>
  <c r="I19" i="69"/>
  <c r="A16" i="70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E15" i="70"/>
  <c r="E16" i="70" s="1"/>
  <c r="E17" i="70" s="1"/>
  <c r="E18" i="70" s="1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B15" i="56"/>
  <c r="B5" i="56"/>
  <c r="A16" i="56"/>
  <c r="E15" i="56"/>
  <c r="E16" i="56" s="1"/>
  <c r="A12" i="42"/>
  <c r="A13" i="42" s="1"/>
  <c r="A14" i="42" s="1"/>
  <c r="A15" i="42" s="1"/>
  <c r="G44" i="40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A12" i="41"/>
  <c r="A13" i="41" s="1"/>
  <c r="A14" i="41" s="1"/>
  <c r="A15" i="41" s="1"/>
  <c r="F45" i="41"/>
  <c r="E21" i="40"/>
  <c r="E18" i="40"/>
  <c r="E17" i="40"/>
  <c r="A28" i="40" l="1"/>
  <c r="A29" i="40" s="1"/>
  <c r="A30" i="40" s="1"/>
  <c r="A31" i="40" s="1"/>
  <c r="A32" i="40" s="1"/>
  <c r="A33" i="40" s="1"/>
  <c r="A34" i="40" s="1"/>
  <c r="I22" i="69"/>
  <c r="G50" i="113"/>
  <c r="K35" i="2"/>
  <c r="G61" i="82"/>
  <c r="G62" i="82"/>
  <c r="G27" i="66"/>
  <c r="A28" i="66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G60" i="113"/>
  <c r="A77" i="113"/>
  <c r="A78" i="113" s="1"/>
  <c r="A79" i="113" s="1"/>
  <c r="A80" i="113" s="1"/>
  <c r="G89" i="113"/>
  <c r="D46" i="112"/>
  <c r="D27" i="112"/>
  <c r="A15" i="75"/>
  <c r="A16" i="75" s="1"/>
  <c r="G17" i="75" s="1"/>
  <c r="G21" i="111"/>
  <c r="A28" i="70"/>
  <c r="A29" i="70" s="1"/>
  <c r="A30" i="70" s="1"/>
  <c r="A31" i="70" s="1"/>
  <c r="A32" i="70" s="1"/>
  <c r="D29" i="70"/>
  <c r="A20" i="69"/>
  <c r="A21" i="69" s="1"/>
  <c r="A22" i="69" s="1"/>
  <c r="A23" i="69" s="1"/>
  <c r="A24" i="69" s="1"/>
  <c r="A25" i="69" s="1"/>
  <c r="E30" i="146"/>
  <c r="G72" i="113"/>
  <c r="A31" i="71"/>
  <c r="I17" i="69"/>
  <c r="A16" i="41"/>
  <c r="A17" i="41" s="1"/>
  <c r="A18" i="41" s="1"/>
  <c r="A19" i="41" s="1"/>
  <c r="A20" i="41" s="1"/>
  <c r="E15" i="41"/>
  <c r="D41" i="41"/>
  <c r="H17" i="75"/>
  <c r="H18" i="75" s="1"/>
  <c r="H19" i="75" s="1"/>
  <c r="H20" i="75" s="1"/>
  <c r="H21" i="75" s="1"/>
  <c r="A22" i="111"/>
  <c r="A23" i="111" s="1"/>
  <c r="G25" i="111" s="1"/>
  <c r="G23" i="111"/>
  <c r="G14" i="113"/>
  <c r="G27" i="45"/>
  <c r="A26" i="45"/>
  <c r="A27" i="45" s="1"/>
  <c r="G19" i="46" s="1"/>
  <c r="A16" i="42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G67" i="113"/>
  <c r="E44" i="40"/>
  <c r="D47" i="82"/>
  <c r="G47" i="82" s="1"/>
  <c r="D49" i="82"/>
  <c r="G49" i="82" s="1"/>
  <c r="D48" i="82"/>
  <c r="G48" i="82" s="1"/>
  <c r="A90" i="82"/>
  <c r="A91" i="82" s="1"/>
  <c r="A31" i="82"/>
  <c r="A20" i="22"/>
  <c r="A21" i="22" s="1"/>
  <c r="E69" i="146" s="1"/>
  <c r="K21" i="22"/>
  <c r="K23" i="22"/>
  <c r="D30" i="42"/>
  <c r="E30" i="40" s="1"/>
  <c r="E43" i="40" s="1"/>
  <c r="I24" i="69" l="1"/>
  <c r="A35" i="40"/>
  <c r="A36" i="40" s="1"/>
  <c r="A37" i="40" s="1"/>
  <c r="A38" i="40" s="1"/>
  <c r="A39" i="40" s="1"/>
  <c r="A40" i="40" s="1"/>
  <c r="A41" i="40" s="1"/>
  <c r="A42" i="40" s="1"/>
  <c r="F15" i="41"/>
  <c r="F24" i="41"/>
  <c r="A17" i="75"/>
  <c r="G65" i="82"/>
  <c r="G130" i="82" s="1"/>
  <c r="G136" i="82" s="1"/>
  <c r="G145" i="82" s="1"/>
  <c r="G60" i="82"/>
  <c r="G63" i="82" s="1"/>
  <c r="G153" i="82" s="1"/>
  <c r="D63" i="82"/>
  <c r="A81" i="113"/>
  <c r="A82" i="113" s="1"/>
  <c r="A83" i="113" s="1"/>
  <c r="G20" i="113"/>
  <c r="I25" i="69"/>
  <c r="A33" i="70"/>
  <c r="I11" i="69"/>
  <c r="A21" i="41"/>
  <c r="A22" i="41" s="1"/>
  <c r="A23" i="41" s="1"/>
  <c r="A24" i="41" s="1"/>
  <c r="G26" i="42"/>
  <c r="F26" i="42"/>
  <c r="F30" i="42" s="1"/>
  <c r="A18" i="75"/>
  <c r="A19" i="75" s="1"/>
  <c r="A20" i="75" s="1"/>
  <c r="A21" i="75" s="1"/>
  <c r="I86" i="82" s="1"/>
  <c r="A24" i="111"/>
  <c r="A25" i="111" s="1"/>
  <c r="A26" i="111" s="1"/>
  <c r="A27" i="111" s="1"/>
  <c r="D11" i="112" s="1"/>
  <c r="G18" i="113"/>
  <c r="G52" i="82"/>
  <c r="G85" i="82" s="1"/>
  <c r="G97" i="82" s="1"/>
  <c r="D50" i="82"/>
  <c r="G50" i="82"/>
  <c r="G108" i="82" s="1"/>
  <c r="I100" i="82"/>
  <c r="A92" i="82"/>
  <c r="A93" i="82" s="1"/>
  <c r="A94" i="82" s="1"/>
  <c r="A95" i="82" s="1"/>
  <c r="A96" i="82" s="1"/>
  <c r="A97" i="82" s="1"/>
  <c r="A98" i="82" s="1"/>
  <c r="A99" i="82" s="1"/>
  <c r="A100" i="82" s="1"/>
  <c r="A101" i="82" s="1"/>
  <c r="I146" i="82" s="1"/>
  <c r="A32" i="82"/>
  <c r="I32" i="82"/>
  <c r="A22" i="22"/>
  <c r="A23" i="22" s="1"/>
  <c r="G23" i="66"/>
  <c r="A26" i="69"/>
  <c r="A27" i="69" s="1"/>
  <c r="I29" i="69" s="1"/>
  <c r="A27" i="42"/>
  <c r="A28" i="42" s="1"/>
  <c r="A29" i="42" s="1"/>
  <c r="A30" i="42" s="1"/>
  <c r="A45" i="40" l="1"/>
  <c r="G45" i="40"/>
  <c r="A84" i="113"/>
  <c r="A85" i="113" s="1"/>
  <c r="A86" i="113" s="1"/>
  <c r="A87" i="113" s="1"/>
  <c r="A88" i="113" s="1"/>
  <c r="A89" i="113" s="1"/>
  <c r="A90" i="113" s="1"/>
  <c r="A91" i="113" s="1"/>
  <c r="A92" i="113" s="1"/>
  <c r="A93" i="113" s="1"/>
  <c r="A94" i="113" s="1"/>
  <c r="A95" i="113" s="1"/>
  <c r="A96" i="113" s="1"/>
  <c r="A97" i="113" s="1"/>
  <c r="G142" i="82"/>
  <c r="G148" i="82" s="1"/>
  <c r="G151" i="82" s="1"/>
  <c r="G155" i="82" s="1"/>
  <c r="G21" i="75"/>
  <c r="G27" i="111"/>
  <c r="E45" i="40"/>
  <c r="E27" i="41"/>
  <c r="A25" i="41"/>
  <c r="A26" i="41" s="1"/>
  <c r="A27" i="41" s="1"/>
  <c r="E26" i="42"/>
  <c r="E30" i="42" s="1"/>
  <c r="A24" i="22"/>
  <c r="A25" i="22" s="1"/>
  <c r="E70" i="146"/>
  <c r="G64" i="40"/>
  <c r="G74" i="113"/>
  <c r="G36" i="66"/>
  <c r="K19" i="22"/>
  <c r="G46" i="40"/>
  <c r="K33" i="2"/>
  <c r="A31" i="42"/>
  <c r="A32" i="42" s="1"/>
  <c r="A33" i="42" s="1"/>
  <c r="A34" i="42" s="1"/>
  <c r="G30" i="40"/>
  <c r="G30" i="42"/>
  <c r="A102" i="82"/>
  <c r="A103" i="82" s="1"/>
  <c r="I106" i="82" s="1"/>
  <c r="I48" i="82"/>
  <c r="A33" i="82"/>
  <c r="A34" i="82" s="1"/>
  <c r="A35" i="82" s="1"/>
  <c r="A28" i="69"/>
  <c r="A29" i="69" s="1"/>
  <c r="H11" i="41"/>
  <c r="H12" i="41" s="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H41" i="41" s="1"/>
  <c r="H42" i="41" s="1"/>
  <c r="H43" i="41" s="1"/>
  <c r="H44" i="41" s="1"/>
  <c r="H45" i="41" s="1"/>
  <c r="H46" i="41" s="1"/>
  <c r="H47" i="41" s="1"/>
  <c r="H48" i="41" s="1"/>
  <c r="H49" i="41" s="1"/>
  <c r="H50" i="41" s="1"/>
  <c r="B26" i="109"/>
  <c r="B15" i="109"/>
  <c r="B14" i="109"/>
  <c r="B6" i="109"/>
  <c r="A15" i="109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E14" i="109"/>
  <c r="E15" i="109" s="1"/>
  <c r="E16" i="109" s="1"/>
  <c r="E17" i="109" s="1"/>
  <c r="E18" i="109" s="1"/>
  <c r="E19" i="109" s="1"/>
  <c r="E20" i="109" s="1"/>
  <c r="E21" i="109" s="1"/>
  <c r="E22" i="109" s="1"/>
  <c r="E23" i="109" s="1"/>
  <c r="E24" i="109" s="1"/>
  <c r="E25" i="109" s="1"/>
  <c r="E26" i="109" s="1"/>
  <c r="E27" i="109" s="1"/>
  <c r="E28" i="109" s="1"/>
  <c r="E29" i="109" s="1"/>
  <c r="E30" i="109" s="1"/>
  <c r="E31" i="109" s="1"/>
  <c r="E32" i="109" s="1"/>
  <c r="G15" i="22"/>
  <c r="E15" i="22"/>
  <c r="B16" i="26"/>
  <c r="B14" i="26"/>
  <c r="B5" i="26"/>
  <c r="A15" i="26"/>
  <c r="A16" i="26" s="1"/>
  <c r="D19" i="26" s="1"/>
  <c r="E14" i="26"/>
  <c r="E15" i="26" s="1"/>
  <c r="E16" i="26" s="1"/>
  <c r="E17" i="26" s="1"/>
  <c r="E18" i="26" s="1"/>
  <c r="E19" i="26" s="1"/>
  <c r="E20" i="26" s="1"/>
  <c r="G13" i="22"/>
  <c r="E13" i="22"/>
  <c r="B16" i="25"/>
  <c r="B14" i="25"/>
  <c r="B5" i="25"/>
  <c r="A15" i="25"/>
  <c r="A16" i="25" s="1"/>
  <c r="D19" i="25" s="1"/>
  <c r="E14" i="25"/>
  <c r="E15" i="25" s="1"/>
  <c r="E16" i="25" s="1"/>
  <c r="E17" i="25" s="1"/>
  <c r="E18" i="25" s="1"/>
  <c r="E19" i="25" s="1"/>
  <c r="E20" i="25" s="1"/>
  <c r="F34" i="24"/>
  <c r="K18" i="24"/>
  <c r="K20" i="24"/>
  <c r="K27" i="24"/>
  <c r="K31" i="24"/>
  <c r="K19" i="24"/>
  <c r="A17" i="24"/>
  <c r="A18" i="24" s="1"/>
  <c r="A19" i="24" s="1"/>
  <c r="A20" i="24" s="1"/>
  <c r="M16" i="24"/>
  <c r="M17" i="24" s="1"/>
  <c r="M18" i="24" s="1"/>
  <c r="M19" i="24" s="1"/>
  <c r="M20" i="24" s="1"/>
  <c r="M21" i="24" s="1"/>
  <c r="M22" i="24" s="1"/>
  <c r="M23" i="24" s="1"/>
  <c r="M24" i="24" s="1"/>
  <c r="M25" i="24" s="1"/>
  <c r="M26" i="24" s="1"/>
  <c r="M27" i="24" s="1"/>
  <c r="M28" i="24" s="1"/>
  <c r="M29" i="24" s="1"/>
  <c r="M30" i="24" s="1"/>
  <c r="M31" i="24" s="1"/>
  <c r="M32" i="24" s="1"/>
  <c r="M33" i="24" s="1"/>
  <c r="M34" i="24" s="1"/>
  <c r="M35" i="24" s="1"/>
  <c r="M36" i="24" s="1"/>
  <c r="B26" i="136"/>
  <c r="B15" i="136"/>
  <c r="A15" i="136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G14" i="136"/>
  <c r="G15" i="136" s="1"/>
  <c r="G16" i="136" s="1"/>
  <c r="G17" i="136" s="1"/>
  <c r="G18" i="136" s="1"/>
  <c r="G19" i="136" s="1"/>
  <c r="G20" i="136" s="1"/>
  <c r="G21" i="136" s="1"/>
  <c r="G22" i="136" s="1"/>
  <c r="G23" i="136" s="1"/>
  <c r="G24" i="136" s="1"/>
  <c r="G25" i="136" s="1"/>
  <c r="G26" i="136" s="1"/>
  <c r="G27" i="136" s="1"/>
  <c r="G28" i="136" s="1"/>
  <c r="G29" i="136" s="1"/>
  <c r="G30" i="136" s="1"/>
  <c r="G31" i="136" s="1"/>
  <c r="G32" i="136" s="1"/>
  <c r="B14" i="136"/>
  <c r="B5" i="136"/>
  <c r="B26" i="23"/>
  <c r="B15" i="23"/>
  <c r="B14" i="23"/>
  <c r="B5" i="23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I14" i="23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G27" i="2"/>
  <c r="E27" i="2"/>
  <c r="B16" i="13"/>
  <c r="B14" i="13"/>
  <c r="B5" i="13"/>
  <c r="A15" i="13"/>
  <c r="A16" i="13" s="1"/>
  <c r="D19" i="13" s="1"/>
  <c r="E14" i="13"/>
  <c r="E15" i="13" s="1"/>
  <c r="E16" i="13" s="1"/>
  <c r="E17" i="13" s="1"/>
  <c r="E18" i="13" s="1"/>
  <c r="E19" i="13" s="1"/>
  <c r="E20" i="13" s="1"/>
  <c r="G25" i="2"/>
  <c r="E25" i="2"/>
  <c r="B16" i="3"/>
  <c r="B14" i="3"/>
  <c r="B5" i="3"/>
  <c r="A15" i="3"/>
  <c r="A16" i="3" s="1"/>
  <c r="D19" i="3" s="1"/>
  <c r="E14" i="3"/>
  <c r="E15" i="3" s="1"/>
  <c r="E16" i="3" s="1"/>
  <c r="E17" i="3" s="1"/>
  <c r="E18" i="3" s="1"/>
  <c r="E19" i="3" s="1"/>
  <c r="E20" i="3" s="1"/>
  <c r="K30" i="11"/>
  <c r="A16" i="11"/>
  <c r="A17" i="11" s="1"/>
  <c r="A18" i="11" s="1"/>
  <c r="A19" i="11" s="1"/>
  <c r="M15" i="1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A46" i="40" l="1"/>
  <c r="A47" i="40" s="1"/>
  <c r="G47" i="40"/>
  <c r="H51" i="41"/>
  <c r="H52" i="41" s="1"/>
  <c r="H53" i="41" s="1"/>
  <c r="H54" i="41" s="1"/>
  <c r="H55" i="41" s="1"/>
  <c r="H56" i="41" s="1"/>
  <c r="H57" i="41" s="1"/>
  <c r="H58" i="41" s="1"/>
  <c r="H59" i="41" s="1"/>
  <c r="H60" i="41" s="1"/>
  <c r="H61" i="41" s="1"/>
  <c r="H62" i="41" s="1"/>
  <c r="H63" i="41" s="1"/>
  <c r="H64" i="41" s="1"/>
  <c r="H65" i="41" s="1"/>
  <c r="H66" i="41" s="1"/>
  <c r="H67" i="41" s="1"/>
  <c r="H68" i="41" s="1"/>
  <c r="G87" i="113"/>
  <c r="G27" i="41"/>
  <c r="K30" i="24"/>
  <c r="K26" i="24"/>
  <c r="A27" i="109"/>
  <c r="A28" i="109" s="1"/>
  <c r="A29" i="109" s="1"/>
  <c r="A30" i="109" s="1"/>
  <c r="A31" i="109" s="1"/>
  <c r="D28" i="109"/>
  <c r="E31" i="146"/>
  <c r="G73" i="113"/>
  <c r="A27" i="136"/>
  <c r="A28" i="136" s="1"/>
  <c r="A29" i="136" s="1"/>
  <c r="A30" i="136" s="1"/>
  <c r="A31" i="136" s="1"/>
  <c r="H34" i="23" s="1"/>
  <c r="D31" i="136"/>
  <c r="F31" i="136"/>
  <c r="D28" i="136"/>
  <c r="F28" i="136"/>
  <c r="I25" i="2"/>
  <c r="A27" i="23"/>
  <c r="A28" i="23" s="1"/>
  <c r="A29" i="23" s="1"/>
  <c r="A30" i="23" s="1"/>
  <c r="A31" i="23" s="1"/>
  <c r="A32" i="23" s="1"/>
  <c r="A33" i="23" s="1"/>
  <c r="A34" i="23" s="1"/>
  <c r="A35" i="23" s="1"/>
  <c r="A36" i="23" s="1"/>
  <c r="K11" i="22" s="1"/>
  <c r="E31" i="23"/>
  <c r="E28" i="23"/>
  <c r="H28" i="23"/>
  <c r="I27" i="2"/>
  <c r="K28" i="24"/>
  <c r="I13" i="22"/>
  <c r="I15" i="22"/>
  <c r="A28" i="41"/>
  <c r="A29" i="41" s="1"/>
  <c r="A30" i="41" s="1"/>
  <c r="A26" i="22"/>
  <c r="A27" i="22" s="1"/>
  <c r="A28" i="22" s="1"/>
  <c r="A29" i="22" s="1"/>
  <c r="E71" i="146"/>
  <c r="K27" i="22"/>
  <c r="K31" i="2"/>
  <c r="G65" i="40"/>
  <c r="K41" i="2"/>
  <c r="G78" i="113"/>
  <c r="G80" i="113"/>
  <c r="A104" i="82"/>
  <c r="A105" i="82" s="1"/>
  <c r="A106" i="82" s="1"/>
  <c r="A36" i="82"/>
  <c r="A37" i="82" s="1"/>
  <c r="A38" i="82" s="1"/>
  <c r="A39" i="82" s="1"/>
  <c r="A40" i="82" s="1"/>
  <c r="A41" i="82" s="1"/>
  <c r="A42" i="82" s="1"/>
  <c r="F30" i="41"/>
  <c r="F31" i="41"/>
  <c r="F35" i="41"/>
  <c r="F37" i="41"/>
  <c r="F32" i="41"/>
  <c r="F36" i="41"/>
  <c r="F39" i="41"/>
  <c r="D27" i="41"/>
  <c r="D43" i="41" s="1"/>
  <c r="D47" i="41" s="1"/>
  <c r="E41" i="41"/>
  <c r="F34" i="41"/>
  <c r="F38" i="41"/>
  <c r="F33" i="41"/>
  <c r="C19" i="26"/>
  <c r="A17" i="26"/>
  <c r="A18" i="26" s="1"/>
  <c r="A19" i="26" s="1"/>
  <c r="C19" i="25"/>
  <c r="A17" i="25"/>
  <c r="A18" i="25" s="1"/>
  <c r="A19" i="25" s="1"/>
  <c r="J34" i="24"/>
  <c r="J22" i="24"/>
  <c r="I34" i="24"/>
  <c r="I22" i="24"/>
  <c r="H34" i="24"/>
  <c r="H22" i="24"/>
  <c r="G34" i="24"/>
  <c r="G22" i="24"/>
  <c r="E34" i="24"/>
  <c r="K32" i="24"/>
  <c r="K17" i="24"/>
  <c r="E22" i="24"/>
  <c r="K29" i="24"/>
  <c r="D34" i="24"/>
  <c r="K25" i="24"/>
  <c r="D22" i="24"/>
  <c r="K16" i="24"/>
  <c r="A21" i="24"/>
  <c r="A22" i="24" s="1"/>
  <c r="L22" i="24"/>
  <c r="F22" i="24"/>
  <c r="F36" i="24" s="1"/>
  <c r="K24" i="24"/>
  <c r="E28" i="136"/>
  <c r="E31" i="136" s="1"/>
  <c r="F34" i="23" s="1"/>
  <c r="C28" i="136"/>
  <c r="C31" i="136" s="1"/>
  <c r="A32" i="136"/>
  <c r="F28" i="23"/>
  <c r="F31" i="23" s="1"/>
  <c r="C28" i="23"/>
  <c r="C31" i="23" s="1"/>
  <c r="C19" i="13"/>
  <c r="A17" i="13"/>
  <c r="A18" i="13" s="1"/>
  <c r="A19" i="13" s="1"/>
  <c r="C19" i="3"/>
  <c r="A17" i="3"/>
  <c r="A18" i="3" s="1"/>
  <c r="A19" i="3" s="1"/>
  <c r="J33" i="11"/>
  <c r="I33" i="11"/>
  <c r="H33" i="11"/>
  <c r="G33" i="11"/>
  <c r="F33" i="11"/>
  <c r="E33" i="11"/>
  <c r="K31" i="11"/>
  <c r="D33" i="11"/>
  <c r="L21" i="11"/>
  <c r="A20" i="11"/>
  <c r="A21" i="11" s="1"/>
  <c r="B26" i="9"/>
  <c r="B15" i="9"/>
  <c r="B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I14" i="9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G19" i="2"/>
  <c r="E19" i="2"/>
  <c r="B17" i="8"/>
  <c r="B15" i="8"/>
  <c r="B5" i="8"/>
  <c r="A16" i="8"/>
  <c r="A17" i="8" s="1"/>
  <c r="G15" i="8"/>
  <c r="G16" i="8" s="1"/>
  <c r="G17" i="8" s="1"/>
  <c r="G18" i="8" s="1"/>
  <c r="G19" i="8" s="1"/>
  <c r="G20" i="8" s="1"/>
  <c r="G21" i="8" s="1"/>
  <c r="B26" i="7"/>
  <c r="B15" i="7"/>
  <c r="B14" i="7"/>
  <c r="B5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B26" i="6"/>
  <c r="B15" i="6"/>
  <c r="B14" i="6"/>
  <c r="B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G14" i="6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B26" i="5"/>
  <c r="B15" i="5"/>
  <c r="B14" i="5"/>
  <c r="B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14" i="5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B26" i="4"/>
  <c r="B15" i="4"/>
  <c r="B14" i="4"/>
  <c r="B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G14" i="4"/>
  <c r="G15" i="4" s="1"/>
  <c r="A48" i="40" l="1"/>
  <c r="A49" i="40" s="1"/>
  <c r="G91" i="113"/>
  <c r="D36" i="24"/>
  <c r="E36" i="24"/>
  <c r="H36" i="23"/>
  <c r="F36" i="23"/>
  <c r="I11" i="22" s="1"/>
  <c r="C68" i="146" s="1"/>
  <c r="H35" i="11"/>
  <c r="J35" i="11"/>
  <c r="I35" i="11"/>
  <c r="D35" i="11"/>
  <c r="G35" i="11"/>
  <c r="E35" i="11"/>
  <c r="A27" i="5"/>
  <c r="A28" i="5" s="1"/>
  <c r="A29" i="5" s="1"/>
  <c r="A30" i="5" s="1"/>
  <c r="A31" i="5" s="1"/>
  <c r="D28" i="5"/>
  <c r="D31" i="5"/>
  <c r="F28" i="5"/>
  <c r="A27" i="7"/>
  <c r="A28" i="7" s="1"/>
  <c r="A29" i="7" s="1"/>
  <c r="A30" i="7" s="1"/>
  <c r="A31" i="7" s="1"/>
  <c r="D28" i="7"/>
  <c r="D31" i="7"/>
  <c r="F28" i="7"/>
  <c r="E64" i="40"/>
  <c r="A27" i="6"/>
  <c r="A28" i="6" s="1"/>
  <c r="A29" i="6" s="1"/>
  <c r="A30" i="6" s="1"/>
  <c r="A31" i="6" s="1"/>
  <c r="D31" i="6"/>
  <c r="D28" i="6"/>
  <c r="F28" i="6"/>
  <c r="F31" i="6"/>
  <c r="D20" i="8"/>
  <c r="F20" i="8"/>
  <c r="G16" i="4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E28" i="5"/>
  <c r="E31" i="5" s="1"/>
  <c r="I13" i="2" s="1"/>
  <c r="A27" i="9"/>
  <c r="A28" i="9" s="1"/>
  <c r="A29" i="9" s="1"/>
  <c r="A30" i="9" s="1"/>
  <c r="A31" i="9" s="1"/>
  <c r="E31" i="9"/>
  <c r="E28" i="9"/>
  <c r="H28" i="9"/>
  <c r="A20" i="3"/>
  <c r="K25" i="2"/>
  <c r="A20" i="26"/>
  <c r="K15" i="22"/>
  <c r="A32" i="109"/>
  <c r="G11" i="38"/>
  <c r="A20" i="13"/>
  <c r="K27" i="2"/>
  <c r="A20" i="25"/>
  <c r="K13" i="22"/>
  <c r="A27" i="4"/>
  <c r="A28" i="4" s="1"/>
  <c r="A29" i="4" s="1"/>
  <c r="A30" i="4" s="1"/>
  <c r="A31" i="4" s="1"/>
  <c r="F28" i="4"/>
  <c r="D31" i="4"/>
  <c r="D28" i="4"/>
  <c r="I19" i="2"/>
  <c r="A31" i="41"/>
  <c r="A32" i="41" s="1"/>
  <c r="A33" i="41" s="1"/>
  <c r="A34" i="41" s="1"/>
  <c r="A35" i="41" s="1"/>
  <c r="A36" i="41" s="1"/>
  <c r="K39" i="2"/>
  <c r="G52" i="40"/>
  <c r="K37" i="2"/>
  <c r="I36" i="24"/>
  <c r="G65" i="113"/>
  <c r="C28" i="5"/>
  <c r="C31" i="5" s="1"/>
  <c r="F27" i="41"/>
  <c r="A43" i="82"/>
  <c r="A44" i="82" s="1"/>
  <c r="A45" i="82" s="1"/>
  <c r="A46" i="82" s="1"/>
  <c r="I49" i="82"/>
  <c r="I39" i="82"/>
  <c r="A107" i="82"/>
  <c r="A108" i="82" s="1"/>
  <c r="G34" i="66"/>
  <c r="F41" i="41"/>
  <c r="E15" i="40"/>
  <c r="E27" i="40" s="1"/>
  <c r="E43" i="41"/>
  <c r="E47" i="41" s="1"/>
  <c r="J36" i="24"/>
  <c r="H36" i="24"/>
  <c r="G36" i="24"/>
  <c r="K22" i="24"/>
  <c r="K34" i="24"/>
  <c r="A23" i="24"/>
  <c r="A24" i="24" s="1"/>
  <c r="F35" i="11"/>
  <c r="K33" i="11"/>
  <c r="A22" i="11"/>
  <c r="A23" i="11" s="1"/>
  <c r="F28" i="9"/>
  <c r="F31" i="9" s="1"/>
  <c r="F36" i="9" s="1"/>
  <c r="I21" i="2" s="1"/>
  <c r="C28" i="9"/>
  <c r="C31" i="9" s="1"/>
  <c r="C20" i="8"/>
  <c r="A18" i="8"/>
  <c r="A19" i="8" s="1"/>
  <c r="A20" i="8" s="1"/>
  <c r="E28" i="7"/>
  <c r="E31" i="7" s="1"/>
  <c r="I17" i="2" s="1"/>
  <c r="C28" i="7"/>
  <c r="C31" i="7" s="1"/>
  <c r="E28" i="6"/>
  <c r="E31" i="6" s="1"/>
  <c r="I15" i="2" s="1"/>
  <c r="C28" i="6"/>
  <c r="C31" i="6" s="1"/>
  <c r="E28" i="4"/>
  <c r="E31" i="4" s="1"/>
  <c r="I11" i="2" s="1"/>
  <c r="C28" i="4"/>
  <c r="C31" i="4" s="1"/>
  <c r="H69" i="41" l="1"/>
  <c r="H70" i="41" s="1"/>
  <c r="H71" i="41" s="1"/>
  <c r="H72" i="41" s="1"/>
  <c r="H73" i="41" s="1"/>
  <c r="G49" i="40"/>
  <c r="A50" i="40"/>
  <c r="A51" i="40" s="1"/>
  <c r="A52" i="40" s="1"/>
  <c r="I23" i="69"/>
  <c r="G55" i="113"/>
  <c r="G97" i="113"/>
  <c r="G95" i="113"/>
  <c r="I31" i="2"/>
  <c r="I35" i="2"/>
  <c r="E52" i="40" s="1"/>
  <c r="E58" i="40" s="1"/>
  <c r="E22" i="69"/>
  <c r="E50" i="113"/>
  <c r="E59" i="40"/>
  <c r="A21" i="8"/>
  <c r="K19" i="2"/>
  <c r="A32" i="6"/>
  <c r="K15" i="2"/>
  <c r="A47" i="82"/>
  <c r="A48" i="82" s="1"/>
  <c r="E62" i="40"/>
  <c r="A32" i="4"/>
  <c r="K11" i="2"/>
  <c r="E61" i="40"/>
  <c r="A109" i="82"/>
  <c r="A110" i="82" s="1"/>
  <c r="I16" i="114" s="1"/>
  <c r="A32" i="7"/>
  <c r="K17" i="2"/>
  <c r="A32" i="5"/>
  <c r="K13" i="2"/>
  <c r="C61" i="146"/>
  <c r="C75" i="146" s="1"/>
  <c r="C12" i="146" s="1"/>
  <c r="A32" i="9"/>
  <c r="A33" i="9" s="1"/>
  <c r="A34" i="9" s="1"/>
  <c r="A37" i="41"/>
  <c r="F43" i="41"/>
  <c r="I110" i="82"/>
  <c r="G38" i="66"/>
  <c r="K36" i="24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K35" i="11"/>
  <c r="A24" i="11"/>
  <c r="A25" i="11" s="1"/>
  <c r="A26" i="11" s="1"/>
  <c r="A27" i="11" s="1"/>
  <c r="A28" i="11" s="1"/>
  <c r="A29" i="11" s="1"/>
  <c r="A30" i="11" s="1"/>
  <c r="A31" i="11" s="1"/>
  <c r="A32" i="11" s="1"/>
  <c r="A33" i="11" s="1"/>
  <c r="F47" i="41" l="1"/>
  <c r="A53" i="40"/>
  <c r="A54" i="40" s="1"/>
  <c r="A55" i="40" s="1"/>
  <c r="A56" i="40" s="1"/>
  <c r="G58" i="40"/>
  <c r="G56" i="40"/>
  <c r="G22" i="113"/>
  <c r="E66" i="40"/>
  <c r="A35" i="9"/>
  <c r="A36" i="9" s="1"/>
  <c r="K21" i="2" s="1"/>
  <c r="G76" i="113"/>
  <c r="G19" i="111"/>
  <c r="L33" i="11"/>
  <c r="H36" i="9"/>
  <c r="A38" i="41"/>
  <c r="E62" i="146"/>
  <c r="A49" i="82"/>
  <c r="A35" i="24"/>
  <c r="A36" i="24" s="1"/>
  <c r="L36" i="24"/>
  <c r="L34" i="24"/>
  <c r="A34" i="11"/>
  <c r="A35" i="11" s="1"/>
  <c r="L35" i="11"/>
  <c r="A57" i="40" l="1"/>
  <c r="A58" i="40" s="1"/>
  <c r="A39" i="41"/>
  <c r="E63" i="146"/>
  <c r="G54" i="40"/>
  <c r="A50" i="82"/>
  <c r="I50" i="82"/>
  <c r="I52" i="82"/>
  <c r="C28" i="109"/>
  <c r="C31" i="109" s="1"/>
  <c r="E11" i="38" s="1"/>
  <c r="C19" i="146" s="1"/>
  <c r="A59" i="40" l="1"/>
  <c r="A60" i="40" s="1"/>
  <c r="A61" i="40" s="1"/>
  <c r="A62" i="40" s="1"/>
  <c r="A63" i="40" s="1"/>
  <c r="A64" i="40" s="1"/>
  <c r="A65" i="40" s="1"/>
  <c r="A66" i="40" s="1"/>
  <c r="A40" i="41"/>
  <c r="A41" i="41" s="1"/>
  <c r="G41" i="41"/>
  <c r="E64" i="146"/>
  <c r="G55" i="40"/>
  <c r="K43" i="2"/>
  <c r="I108" i="82"/>
  <c r="A51" i="82"/>
  <c r="A52" i="82" s="1"/>
  <c r="A53" i="82" s="1"/>
  <c r="A54" i="82" s="1"/>
  <c r="A55" i="82" s="1"/>
  <c r="G66" i="40" l="1"/>
  <c r="A67" i="40"/>
  <c r="A68" i="40" s="1"/>
  <c r="G68" i="40"/>
  <c r="A56" i="82"/>
  <c r="A42" i="41"/>
  <c r="A43" i="41" s="1"/>
  <c r="G43" i="41"/>
  <c r="I13" i="69"/>
  <c r="K45" i="2"/>
  <c r="I85" i="82"/>
  <c r="G25" i="66" l="1"/>
  <c r="G48" i="40"/>
  <c r="A57" i="82"/>
  <c r="A58" i="82" s="1"/>
  <c r="A59" i="82" s="1"/>
  <c r="A60" i="82" s="1"/>
  <c r="A44" i="41"/>
  <c r="A45" i="41" s="1"/>
  <c r="A61" i="82" l="1"/>
  <c r="G47" i="41"/>
  <c r="A46" i="41"/>
  <c r="A47" i="41" s="1"/>
  <c r="A62" i="82" l="1"/>
  <c r="I65" i="82" s="1"/>
  <c r="A48" i="4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G15" i="40"/>
  <c r="A63" i="82" l="1"/>
  <c r="I63" i="82"/>
  <c r="G18" i="40"/>
  <c r="G17" i="40"/>
  <c r="A64" i="82" l="1"/>
  <c r="A65" i="82" s="1"/>
  <c r="I130" i="82" s="1"/>
  <c r="I153" i="82"/>
  <c r="A69" i="41" l="1"/>
  <c r="A70" i="41" s="1"/>
  <c r="A71" i="41" s="1"/>
  <c r="A72" i="41" s="1"/>
  <c r="A73" i="41" s="1"/>
  <c r="C27" i="71" l="1"/>
  <c r="C30" i="71" s="1"/>
  <c r="G17" i="69" s="1"/>
  <c r="B44" i="112" l="1"/>
  <c r="E13" i="112"/>
  <c r="E14" i="112" s="1"/>
  <c r="E15" i="112" s="1"/>
  <c r="E16" i="112" s="1"/>
  <c r="E17" i="112" s="1"/>
  <c r="E18" i="112" s="1"/>
  <c r="E19" i="112" s="1"/>
  <c r="E20" i="112" s="1"/>
  <c r="E21" i="112" s="1"/>
  <c r="E22" i="112" s="1"/>
  <c r="E23" i="112" s="1"/>
  <c r="E24" i="112" s="1"/>
  <c r="E25" i="112" s="1"/>
  <c r="E26" i="112" s="1"/>
  <c r="E27" i="112" s="1"/>
  <c r="E28" i="112" s="1"/>
  <c r="E33" i="112" l="1"/>
  <c r="E34" i="112" s="1"/>
  <c r="E35" i="112" s="1"/>
  <c r="E36" i="112" s="1"/>
  <c r="E37" i="112" s="1"/>
  <c r="E38" i="112" s="1"/>
  <c r="E39" i="112" s="1"/>
  <c r="E40" i="112" s="1"/>
  <c r="E41" i="112" s="1"/>
  <c r="E42" i="112" s="1"/>
  <c r="E43" i="112" s="1"/>
  <c r="E44" i="112" s="1"/>
  <c r="E45" i="112" s="1"/>
  <c r="E46" i="112" s="1"/>
  <c r="E47" i="112" s="1"/>
  <c r="E48" i="112" s="1"/>
  <c r="E49" i="112" s="1"/>
  <c r="E50" i="112" s="1"/>
  <c r="E51" i="112" s="1"/>
  <c r="E52" i="112" s="1"/>
  <c r="E53" i="112" s="1"/>
  <c r="E22" i="150"/>
  <c r="E42" i="150" l="1"/>
  <c r="E38" i="150"/>
  <c r="E54" i="150"/>
  <c r="E53" i="150"/>
  <c r="E51" i="150"/>
  <c r="E50" i="150"/>
  <c r="E49" i="150"/>
  <c r="E48" i="150"/>
  <c r="E47" i="150"/>
  <c r="E46" i="150"/>
  <c r="E45" i="150"/>
  <c r="E44" i="150"/>
  <c r="E43" i="150"/>
  <c r="E39" i="150"/>
  <c r="E23" i="150"/>
  <c r="E57" i="150" l="1"/>
  <c r="E15" i="45" s="1"/>
  <c r="I21" i="34"/>
  <c r="C25" i="146" s="1"/>
  <c r="E59" i="150" l="1"/>
  <c r="E13" i="45" s="1"/>
  <c r="E25" i="45" l="1"/>
  <c r="E27" i="45" s="1"/>
  <c r="E19" i="46" s="1"/>
  <c r="E21" i="46" l="1"/>
  <c r="E23" i="46"/>
  <c r="E25" i="46"/>
  <c r="A33" i="112"/>
  <c r="A34" i="112" s="1"/>
  <c r="E27" i="46" l="1"/>
  <c r="E93" i="113" s="1"/>
  <c r="A35" i="112"/>
  <c r="A36" i="112" s="1"/>
  <c r="A37" i="112" s="1"/>
  <c r="A38" i="112" s="1"/>
  <c r="A39" i="112" s="1"/>
  <c r="A40" i="112" s="1"/>
  <c r="A41" i="112" l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D40" i="112"/>
  <c r="E36" i="66"/>
  <c r="I19" i="22"/>
  <c r="E46" i="40"/>
  <c r="E47" i="40" s="1"/>
  <c r="I33" i="2"/>
  <c r="I37" i="2" s="1"/>
  <c r="D48" i="112" l="1"/>
  <c r="I21" i="22"/>
  <c r="C69" i="146" s="1"/>
  <c r="I23" i="22"/>
  <c r="C70" i="146" s="1"/>
  <c r="I25" i="22"/>
  <c r="C71" i="146" s="1"/>
  <c r="C62" i="146"/>
  <c r="I41" i="2"/>
  <c r="I39" i="2"/>
  <c r="D52" i="112" l="1"/>
  <c r="E54" i="40"/>
  <c r="C63" i="146"/>
  <c r="E55" i="40"/>
  <c r="C64" i="146"/>
  <c r="I27" i="22"/>
  <c r="I43" i="2"/>
  <c r="I45" i="2" l="1"/>
  <c r="G13" i="69" s="1"/>
  <c r="G19" i="69" s="1"/>
  <c r="E56" i="40"/>
  <c r="E68" i="40" s="1"/>
  <c r="E25" i="66" s="1"/>
  <c r="C65" i="146"/>
  <c r="E48" i="40" l="1"/>
  <c r="E49" i="40" s="1"/>
  <c r="E72" i="113"/>
  <c r="C30" i="146"/>
  <c r="E23" i="69" l="1"/>
  <c r="E25" i="69" s="1"/>
  <c r="E29" i="69" s="1"/>
  <c r="E55" i="113"/>
  <c r="E73" i="113" l="1"/>
  <c r="C31" i="146"/>
  <c r="E23" i="66" l="1"/>
  <c r="E27" i="66" s="1"/>
  <c r="E60" i="113" s="1"/>
  <c r="G33" i="114" l="1"/>
  <c r="G31" i="114"/>
  <c r="G29" i="114"/>
  <c r="G27" i="114"/>
  <c r="G25" i="114"/>
  <c r="G36" i="114" l="1"/>
  <c r="G38" i="114" l="1"/>
  <c r="G40" i="114" s="1"/>
  <c r="G17" i="34" l="1"/>
  <c r="I15" i="34"/>
  <c r="I13" i="34" l="1"/>
  <c r="I17" i="34" s="1"/>
  <c r="C24" i="146" l="1"/>
  <c r="E34" i="66" l="1"/>
  <c r="E38" i="66" s="1"/>
  <c r="E65" i="113" s="1"/>
  <c r="C15" i="135"/>
  <c r="D15" i="135"/>
  <c r="E15" i="135" l="1"/>
  <c r="G14" i="114" s="1"/>
  <c r="G98" i="82" l="1"/>
  <c r="D15" i="84" l="1"/>
  <c r="D16" i="84" s="1"/>
  <c r="D17" i="84" s="1"/>
  <c r="D18" i="84" s="1"/>
  <c r="D19" i="84" s="1"/>
  <c r="D20" i="84" s="1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D38" i="84" s="1"/>
  <c r="D39" i="84" s="1"/>
  <c r="D40" i="84" s="1"/>
  <c r="D41" i="84" s="1"/>
  <c r="A15" i="84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l="1"/>
  <c r="A43" i="84" s="1"/>
  <c r="A44" i="84" s="1"/>
  <c r="A45" i="84" s="1"/>
  <c r="A46" i="84" s="1"/>
  <c r="A47" i="84" s="1"/>
  <c r="A48" i="84" s="1"/>
  <c r="A49" i="84" s="1"/>
  <c r="D42" i="84"/>
  <c r="D43" i="84" s="1"/>
  <c r="D44" i="84" s="1"/>
  <c r="D45" i="84" s="1"/>
  <c r="D46" i="84" s="1"/>
  <c r="D47" i="84" s="1"/>
  <c r="D48" i="84" s="1"/>
  <c r="D49" i="84" s="1"/>
  <c r="C21" i="146"/>
  <c r="D50" i="84" l="1"/>
  <c r="D51" i="84" s="1"/>
  <c r="A50" i="84"/>
  <c r="A51" i="84" s="1"/>
  <c r="C29" i="70"/>
  <c r="C32" i="70" s="1"/>
  <c r="C26" i="146"/>
  <c r="A52" i="84" l="1"/>
  <c r="A53" i="84" s="1"/>
  <c r="D52" i="84"/>
  <c r="D53" i="84" s="1"/>
  <c r="G11" i="69"/>
  <c r="G15" i="69" s="1"/>
  <c r="I87" i="82" l="1"/>
  <c r="E71" i="113"/>
  <c r="E74" i="113" s="1"/>
  <c r="C29" i="146"/>
  <c r="C72" i="146"/>
  <c r="C76" i="146"/>
  <c r="C13" i="146" s="1"/>
  <c r="C78" i="146"/>
  <c r="C15" i="146" l="1"/>
  <c r="E85" i="113" s="1"/>
  <c r="C77" i="146"/>
  <c r="C14" i="146" s="1"/>
  <c r="E83" i="113" s="1"/>
  <c r="E87" i="113" l="1"/>
  <c r="C79" i="146"/>
  <c r="C16" i="146" l="1"/>
  <c r="E47" i="113" s="1"/>
  <c r="C32" i="146"/>
  <c r="E67" i="113" l="1"/>
  <c r="E18" i="113" s="1"/>
  <c r="E52" i="113"/>
  <c r="E12" i="113" s="1"/>
  <c r="E62" i="113"/>
  <c r="E16" i="113" s="1"/>
  <c r="C36" i="146"/>
  <c r="G88" i="82" s="1"/>
  <c r="E57" i="113"/>
  <c r="E14" i="113" s="1"/>
  <c r="G99" i="82" l="1"/>
  <c r="G91" i="82"/>
  <c r="G100" i="82" s="1"/>
  <c r="G103" i="82" l="1"/>
  <c r="G106" i="82" s="1"/>
  <c r="G110" i="82" l="1"/>
  <c r="E19" i="111" l="1"/>
  <c r="E21" i="111" s="1"/>
  <c r="E23" i="111" s="1"/>
  <c r="E25" i="111" s="1"/>
  <c r="E27" i="111" s="1"/>
  <c r="G16" i="114"/>
  <c r="G18" i="114" s="1"/>
  <c r="G42" i="114" s="1"/>
  <c r="E76" i="113"/>
  <c r="E78" i="113" l="1"/>
  <c r="E80" i="113" s="1"/>
  <c r="E20" i="113" s="1"/>
  <c r="E89" i="113"/>
  <c r="E91" i="113" s="1"/>
  <c r="E95" i="113" s="1"/>
  <c r="E97" i="113" s="1"/>
  <c r="E22" i="113" l="1"/>
  <c r="E24" i="113" s="1"/>
  <c r="C11" i="112"/>
  <c r="C34" i="112" s="1"/>
  <c r="E26" i="113" l="1"/>
  <c r="E28" i="113" s="1"/>
  <c r="E33" i="113" s="1"/>
  <c r="E35" i="113" s="1"/>
  <c r="C13" i="112" s="1"/>
  <c r="C36" i="112" l="1"/>
  <c r="C15" i="112" l="1"/>
  <c r="C38" i="112" s="1"/>
  <c r="C40" i="112" s="1"/>
  <c r="C17" i="112" l="1"/>
  <c r="D19" i="156"/>
  <c r="D24" i="156" l="1"/>
  <c r="D29" i="156"/>
  <c r="D27" i="156"/>
  <c r="D25" i="156"/>
  <c r="D22" i="156"/>
  <c r="D20" i="156"/>
  <c r="D30" i="156"/>
  <c r="D26" i="156"/>
  <c r="D21" i="156"/>
  <c r="D28" i="156"/>
  <c r="D23" i="156"/>
  <c r="G31" i="156"/>
  <c r="D16" i="159" l="1"/>
  <c r="E16" i="159"/>
  <c r="H19" i="156"/>
  <c r="I19" i="156" s="1"/>
  <c r="K19" i="156" s="1"/>
  <c r="L19" i="156" l="1"/>
  <c r="M19" i="156" s="1"/>
  <c r="H20" i="156" l="1"/>
  <c r="I20" i="156" s="1"/>
  <c r="K20" i="156" l="1"/>
  <c r="L20" i="156" l="1"/>
  <c r="M20" i="156" s="1"/>
  <c r="H22" i="156"/>
  <c r="I22" i="156" s="1"/>
  <c r="H21" i="156"/>
  <c r="I21" i="156" s="1"/>
  <c r="H29" i="156"/>
  <c r="I29" i="156" s="1"/>
  <c r="H25" i="156"/>
  <c r="I25" i="156" s="1"/>
  <c r="H28" i="156"/>
  <c r="I28" i="156" s="1"/>
  <c r="F31" i="156"/>
  <c r="H23" i="156"/>
  <c r="I23" i="156" s="1"/>
  <c r="H26" i="156"/>
  <c r="I26" i="156" s="1"/>
  <c r="D31" i="156"/>
  <c r="H30" i="156"/>
  <c r="I30" i="156" s="1"/>
  <c r="H27" i="156"/>
  <c r="I27" i="156" s="1"/>
  <c r="E31" i="156"/>
  <c r="H24" i="156"/>
  <c r="I24" i="156" s="1"/>
  <c r="I31" i="156" l="1"/>
  <c r="H31" i="156"/>
  <c r="K21" i="156"/>
  <c r="L21" i="156" l="1"/>
  <c r="M21" i="156" s="1"/>
  <c r="K22" i="156" l="1"/>
  <c r="L22" i="156" l="1"/>
  <c r="M22" i="156" l="1"/>
  <c r="K23" i="156" l="1"/>
  <c r="L23" i="156" s="1"/>
  <c r="M23" i="156" l="1"/>
  <c r="K24" i="156" l="1"/>
  <c r="L24" i="156" l="1"/>
  <c r="M24" i="156" s="1"/>
  <c r="K25" i="156" l="1"/>
  <c r="L25" i="156" l="1"/>
  <c r="M25" i="156" s="1"/>
  <c r="K26" i="156" l="1"/>
  <c r="L26" i="156" l="1"/>
  <c r="M26" i="156" s="1"/>
  <c r="K27" i="156" l="1"/>
  <c r="L27" i="156" s="1"/>
  <c r="M27" i="156" l="1"/>
  <c r="K28" i="156" l="1"/>
  <c r="L28" i="156" l="1"/>
  <c r="M28" i="156" s="1"/>
  <c r="K29" i="156" l="1"/>
  <c r="L29" i="156" s="1"/>
  <c r="M29" i="156" l="1"/>
  <c r="K30" i="156" l="1"/>
  <c r="L30" i="156" s="1"/>
  <c r="L31" i="156" s="1"/>
  <c r="M30" i="156" l="1"/>
  <c r="C19" i="112" s="1"/>
  <c r="C23" i="112" l="1"/>
  <c r="C27" i="112" s="1"/>
  <c r="C48" i="112" s="1"/>
  <c r="C52" i="112" s="1"/>
  <c r="C42" i="112"/>
</calcChain>
</file>

<file path=xl/sharedStrings.xml><?xml version="1.0" encoding="utf-8"?>
<sst xmlns="http://schemas.openxmlformats.org/spreadsheetml/2006/main" count="2509" uniqueCount="1056">
  <si>
    <t>SAN DIEGO GAS &amp; ELECTRIC COMPANY</t>
  </si>
  <si>
    <t>CITIZENS' SHARE OF THE SX-PQ UNDERGROUND LINE SEGMENT</t>
  </si>
  <si>
    <t>Summary of Cost Components</t>
  </si>
  <si>
    <t>($1,000)</t>
  </si>
  <si>
    <t>Line</t>
  </si>
  <si>
    <t>No.</t>
  </si>
  <si>
    <t>Description of Annual Costs</t>
  </si>
  <si>
    <t>Amounts</t>
  </si>
  <si>
    <t>Reference</t>
  </si>
  <si>
    <t>Section 1 - Direct Maintenance Expense Cost Component</t>
  </si>
  <si>
    <t>Section 2 - Non-Direct Expense Cost Component</t>
  </si>
  <si>
    <t>Section 3 - Cost Component Containing Other Specific Expenses</t>
  </si>
  <si>
    <t>Total Citizens Annual Prior Year Cost of Service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</si>
  <si>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</si>
  <si>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</si>
  <si>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</si>
  <si>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</si>
  <si>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Cost Adjustment Workpapers</t>
  </si>
  <si>
    <t>Total Annual Costs</t>
  </si>
  <si>
    <t>Description of Monthly Costs</t>
  </si>
  <si>
    <t>Total Citizens Monthly Prior Year Cost of Service</t>
  </si>
  <si>
    <t>Total Monthly Costs</t>
  </si>
  <si>
    <t>Number of Months in Base Period</t>
  </si>
  <si>
    <t>A. Derivation of Direct Maintenance Expense Allocated to Citizens</t>
  </si>
  <si>
    <t xml:space="preserve">Total Direct Maintenance Cost  </t>
  </si>
  <si>
    <t>Citizens' Share of Direct Maintenance</t>
  </si>
  <si>
    <t xml:space="preserve">     Citizens Direct Maintenance</t>
  </si>
  <si>
    <t>One Eighth O&amp;M Rule</t>
  </si>
  <si>
    <t>FERC Method = 1/8 of O&amp;M Expense</t>
  </si>
  <si>
    <t xml:space="preserve">     Citizens Portion of Cash Working Capital</t>
  </si>
  <si>
    <t>Cost of Capital Rate</t>
  </si>
  <si>
    <t>Return and Associated Income Taxes</t>
  </si>
  <si>
    <t xml:space="preserve">     Subtotal of Citizens Direct Maintenance Excluding FF</t>
  </si>
  <si>
    <t>Transmission Related Municipal Franchise Fees Expense</t>
  </si>
  <si>
    <t xml:space="preserve">     Total Direct Maintenance Expense Including FF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</si>
  <si>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</si>
  <si>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</si>
  <si>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</si>
  <si>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</si>
  <si>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</si>
  <si>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</si>
  <si>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</si>
  <si>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</si>
  <si>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</si>
  <si>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</si>
  <si>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</si>
  <si>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</si>
  <si>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</si>
  <si>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</si>
  <si>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</si>
  <si>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</si>
  <si>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</si>
  <si>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</si>
  <si>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</si>
  <si>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</si>
  <si>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</si>
  <si>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</si>
  <si>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</si>
  <si>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</si>
  <si>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</si>
  <si>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</si>
  <si>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</si>
  <si>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Citizens Financed Transmission Projects: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</si>
  <si>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</si>
  <si>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</si>
  <si>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</si>
  <si>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</si>
  <si>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</si>
  <si>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</si>
  <si>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</si>
  <si>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</si>
  <si>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</si>
  <si>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</si>
  <si>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</si>
  <si>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</si>
  <si>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</si>
  <si>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</si>
  <si>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(a)</t>
  </si>
  <si>
    <t>(b)</t>
  </si>
  <si>
    <t>(c) = (a) x (b)</t>
  </si>
  <si>
    <t>Total</t>
  </si>
  <si>
    <t>Removal</t>
  </si>
  <si>
    <t>Costs</t>
  </si>
  <si>
    <t>Rate</t>
  </si>
  <si>
    <t>A. Direct Assignment of Accumulated Deferred Income Taxes (ADIT) to Citizens:</t>
  </si>
  <si>
    <t>Average ADIT Difference With and Without Bonus</t>
  </si>
  <si>
    <t>AF-3; Line 5; Col. Average</t>
  </si>
  <si>
    <r>
      <t xml:space="preserve"> </t>
    </r>
    <r>
      <rPr>
        <b/>
        <sz val="12"/>
        <rFont val="Times New Roman"/>
        <family val="1"/>
      </rPr>
      <t xml:space="preserve">    Total ADIT Revenue Credit</t>
    </r>
  </si>
  <si>
    <t>B. Equity AFUDC Component of Transmission Depreciation Expense</t>
  </si>
  <si>
    <t xml:space="preserve">Annual Equity AFUDC Allocated to Citizens   </t>
  </si>
  <si>
    <t>C. Derivation of Citizens SX-PQ Underground Line Segment Cost of Removal</t>
  </si>
  <si>
    <t>FERC Account</t>
  </si>
  <si>
    <t xml:space="preserve">   357 - Underground Conduit</t>
  </si>
  <si>
    <t>TO5 Transmission Plant Deprec. Rates WP</t>
  </si>
  <si>
    <t xml:space="preserve">   358 - Underground Conductors &amp; Devices</t>
  </si>
  <si>
    <t xml:space="preserve">   359 - Roads &amp; Trails</t>
  </si>
  <si>
    <t xml:space="preserve">   350.1 - Land</t>
  </si>
  <si>
    <t xml:space="preserve">   350.2 - Land Rights</t>
  </si>
  <si>
    <t xml:space="preserve">     Subtotal Annual Cost of Removal</t>
  </si>
  <si>
    <t xml:space="preserve">     Total Annual Cost of Removal</t>
  </si>
  <si>
    <t xml:space="preserve">     Total Other Specific Expenses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</si>
  <si>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</si>
  <si>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</si>
  <si>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</si>
  <si>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</si>
  <si>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</si>
  <si>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</si>
  <si>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</si>
  <si>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</si>
  <si>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</si>
  <si>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</si>
  <si>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</si>
  <si>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</si>
  <si>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</si>
  <si>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</si>
  <si>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</si>
  <si>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</si>
  <si>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</si>
  <si>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</si>
  <si>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</si>
  <si>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</si>
  <si>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</si>
  <si>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</si>
  <si>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</si>
  <si>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</si>
  <si>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</si>
  <si>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</si>
  <si>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</si>
  <si>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</si>
  <si>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</si>
  <si>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</si>
  <si>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</si>
  <si>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</si>
  <si>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</si>
  <si>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</si>
  <si>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</si>
  <si>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</si>
  <si>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</si>
  <si>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</si>
  <si>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</si>
  <si>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</si>
  <si>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</si>
  <si>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</si>
  <si>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</si>
  <si>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</si>
  <si>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</si>
  <si>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</si>
  <si>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</si>
  <si>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</si>
  <si>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</si>
  <si>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</si>
  <si>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</si>
  <si>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</si>
  <si>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Transmission Revenues Data to Reflect Changed Rates</t>
  </si>
  <si>
    <t>Prior Cycle</t>
  </si>
  <si>
    <t>Cumulative Overcollection (-) or</t>
  </si>
  <si>
    <t>True Up</t>
  </si>
  <si>
    <t>Undercollection (+) in Revenue</t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</si>
  <si>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</si>
  <si>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</si>
  <si>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</si>
  <si>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</si>
  <si>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</si>
  <si>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</si>
  <si>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</si>
  <si>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</si>
  <si>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</si>
  <si>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</si>
  <si>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</si>
  <si>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Represents the true-up adjustment from the previous annual cycle filing. SDG&amp;E accrues interest until the amount is fully collected/refunded in rates.</t>
  </si>
  <si>
    <t>The Cumulative Overcollection / Undercollection is: 1) the beginning balance in Column 2 for January; and 2) the previous month balance in Column 6 for all subsequent months.</t>
  </si>
  <si>
    <t>Interest is calculated using an average of beginning and ending balances: 1) January uses the entire balance from Column 4; and 2) subsequent months use the average of the prior month balance in</t>
  </si>
  <si>
    <t>Column 6 and the current month balance from Column 4.</t>
  </si>
  <si>
    <t>Beginning</t>
  </si>
  <si>
    <t>Ending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</si>
  <si>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</si>
  <si>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Balance</t>
  </si>
  <si>
    <t>Amortization</t>
  </si>
  <si>
    <t>Principal</t>
  </si>
  <si>
    <t>June</t>
  </si>
  <si>
    <t>Total Base Period Interest and Current Year Interest</t>
  </si>
  <si>
    <t>Rate is an average of the base period FERC Rates presented in the Section 4a True-Up calculation in Column 8 to derive a more accurate and consistent amortization amount (Column 4).</t>
  </si>
  <si>
    <t>The Beginning Balance  is: 1) the balance in Column 6; Line 18 from the Interest True-Up Base Period for January; and 2) the balance from previous month in Column 7 of this workpaper for all</t>
  </si>
  <si>
    <t>subsequent months.</t>
  </si>
  <si>
    <t>Amortization reduces the beginning balance to zero by the end of December and is derived as follows:</t>
  </si>
  <si>
    <t>Beginning Balance/{[(1+Rate)^12-1]/[Rate*(1+Rate)^12]}.</t>
  </si>
  <si>
    <t xml:space="preserve"> </t>
  </si>
  <si>
    <t>Statement AD</t>
  </si>
  <si>
    <t>Cost of Plant</t>
  </si>
  <si>
    <t>FERC Form 1</t>
  </si>
  <si>
    <t>(c) = [(a)+(b)]/2</t>
  </si>
  <si>
    <t>Page; Line; Col.</t>
  </si>
  <si>
    <t>Average Balance</t>
  </si>
  <si>
    <r>
      <t xml:space="preserve">Transmission Plant </t>
    </r>
    <r>
      <rPr>
        <b/>
        <vertAlign val="superscript"/>
        <sz val="12"/>
        <rFont val="Times New Roman"/>
        <family val="1"/>
      </rPr>
      <t>1, 3</t>
    </r>
  </si>
  <si>
    <r>
      <t xml:space="preserve">Incentive Transmission Plant </t>
    </r>
    <r>
      <rPr>
        <b/>
        <vertAlign val="superscript"/>
        <sz val="12"/>
        <rFont val="Times New Roman"/>
        <family val="1"/>
      </rPr>
      <t>1</t>
    </r>
  </si>
  <si>
    <r>
      <t>Total Electric Miscellaneous Intangible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</si>
  <si>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 xml:space="preserve">Total Common Plant </t>
    </r>
    <r>
      <rPr>
        <b/>
        <vertAlign val="superscript"/>
        <sz val="12"/>
        <rFont val="Times New Roman"/>
        <family val="1"/>
      </rPr>
      <t>2, 4</t>
    </r>
  </si>
  <si>
    <t xml:space="preserve">     Total Plant in Service </t>
  </si>
  <si>
    <t>Transmission Wages and Salaries Allocation Factor</t>
  </si>
  <si>
    <t>Total Transmission Plant &amp; Incentive Transmission Plant</t>
  </si>
  <si>
    <t>Transmission Related Electric Miscellaneous Intangible Plant</t>
  </si>
  <si>
    <t>Transmission Related General Plant</t>
  </si>
  <si>
    <t xml:space="preserve">Transmission Related Common Plant </t>
  </si>
  <si>
    <t xml:space="preserve">     Transmission Related Total Plant in Service </t>
  </si>
  <si>
    <t>The balances for Steam, Nuclear, Hydraulic, Other Production, Transmission, and Incentive Transmission plant are derived based on a 13-month average balance.</t>
  </si>
  <si>
    <t>The balances for Electric Miscellaneous Intangible, Distribution, General and Common plant are derived based on a simple average balance using beginning and ending year balances.</t>
  </si>
  <si>
    <t>The amounts stated above are ratemaking utility plant in service and a result of implementing the “Seven-Element Adjustment Factor” which reflects transfers between core electric functional areas.</t>
  </si>
  <si>
    <t>Not affected by the "Seven-Element Adjustment Factor".</t>
  </si>
  <si>
    <t>Used to allocate all elements of working capital, other than working cash.</t>
  </si>
  <si>
    <t>STATEMENT AD</t>
  </si>
  <si>
    <t>COST OF PLANT</t>
  </si>
  <si>
    <t>STEAM PRODUCTION</t>
  </si>
  <si>
    <t>Steam</t>
  </si>
  <si>
    <t>Production</t>
  </si>
  <si>
    <t>Per Book</t>
  </si>
  <si>
    <r>
      <t>Ratemaking</t>
    </r>
    <r>
      <rPr>
        <b/>
        <vertAlign val="superscript"/>
        <sz val="12"/>
        <rFont val="Times New Roman"/>
        <family val="1"/>
      </rPr>
      <t xml:space="preserve"> 1</t>
    </r>
  </si>
  <si>
    <t>SDG&amp;E Records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</si>
  <si>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</si>
  <si>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</si>
  <si>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</si>
  <si>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</si>
  <si>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</si>
  <si>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</si>
  <si>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</si>
  <si>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</si>
  <si>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</si>
  <si>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Total 13 Months</t>
  </si>
  <si>
    <t>13-Month Average Balance</t>
  </si>
  <si>
    <t>This column represents the monthly ratemaking plant balances for the base &amp; true-up periods. These plant balances reflect the amounts shifted between functions (Transmission to</t>
  </si>
  <si>
    <t>Distribution, Transmission to Generation, Distribution to Transmission, etc.) as required by FERC Order 888: Seven-Element Adjustment Factor.</t>
  </si>
  <si>
    <t>NUCLEAR PRODUCTION</t>
  </si>
  <si>
    <t>Nuclear</t>
  </si>
  <si>
    <t>HYDRAULIC PRODUCTION PLANT</t>
  </si>
  <si>
    <t>Hydraulic</t>
  </si>
  <si>
    <t>OTHER PRODUCTION</t>
  </si>
  <si>
    <t>Other</t>
  </si>
  <si>
    <t>DISTRIBUTION PLANT</t>
  </si>
  <si>
    <t>Distribution</t>
  </si>
  <si>
    <t>Plant</t>
  </si>
  <si>
    <t>Beginning and End Period Average</t>
  </si>
  <si>
    <t>TRANSMISSION PLANT</t>
  </si>
  <si>
    <t>Transmission</t>
  </si>
  <si>
    <r>
      <t xml:space="preserve">Add: Citizens Weighted Average Lease Amount </t>
    </r>
    <r>
      <rPr>
        <b/>
        <vertAlign val="superscript"/>
        <sz val="12"/>
        <rFont val="Times New Roman"/>
        <family val="1"/>
      </rPr>
      <t>2</t>
    </r>
  </si>
  <si>
    <t>Total Transmission Plant Cost Average Balance</t>
  </si>
  <si>
    <t>Represents the lease amount for the term of service that is added to the 13-Month Average Balance for Transmission ratemaking.</t>
  </si>
  <si>
    <r>
      <t xml:space="preserve">Ratemaking </t>
    </r>
    <r>
      <rPr>
        <b/>
        <vertAlign val="superscript"/>
        <sz val="12"/>
        <rFont val="Times New Roman"/>
        <family val="1"/>
      </rPr>
      <t>1</t>
    </r>
  </si>
  <si>
    <t>Represents the monthly Citizens Lease amount for term of service.</t>
  </si>
  <si>
    <t>TRANSMISSION FUNCTIONALIZATION STUDY</t>
  </si>
  <si>
    <t>DERIVATION OF TRANSMISSION RELATED PLANT DOLLARS</t>
  </si>
  <si>
    <t>(1)</t>
  </si>
  <si>
    <t>(2)</t>
  </si>
  <si>
    <t>(3)</t>
  </si>
  <si>
    <t>(4)</t>
  </si>
  <si>
    <t>(5)</t>
  </si>
  <si>
    <t>(6)</t>
  </si>
  <si>
    <t>(7)</t>
  </si>
  <si>
    <t>(8)</t>
  </si>
  <si>
    <t>Generation</t>
  </si>
  <si>
    <t>Account 101</t>
  </si>
  <si>
    <t>Plant Reclass</t>
  </si>
  <si>
    <t>Adjusted Book</t>
  </si>
  <si>
    <t>Account</t>
  </si>
  <si>
    <t>Description</t>
  </si>
  <si>
    <t>as Transmission</t>
  </si>
  <si>
    <t>to Transmission</t>
  </si>
  <si>
    <t>Steam Prod.</t>
  </si>
  <si>
    <t>Other Prod.</t>
  </si>
  <si>
    <t>as Distribution</t>
  </si>
  <si>
    <t>SUM 1:7</t>
  </si>
  <si>
    <t>Production Related to Trans</t>
  </si>
  <si>
    <t>Intangibles</t>
  </si>
  <si>
    <t>Land</t>
  </si>
  <si>
    <t>Land &amp; Land Rights</t>
  </si>
  <si>
    <t>Structures &amp; Improvements</t>
  </si>
  <si>
    <t>TOTAL</t>
  </si>
  <si>
    <t>TRANSMISSION RELATED</t>
  </si>
  <si>
    <t>Station Equipment</t>
  </si>
  <si>
    <t>Towers and Fixtures</t>
  </si>
  <si>
    <t>Poles and Fixtures</t>
  </si>
  <si>
    <t>OH Conductors and Device</t>
  </si>
  <si>
    <t>Underground Conduit</t>
  </si>
  <si>
    <t>UG Conductors &amp; Devices</t>
  </si>
  <si>
    <t>Roads &amp; Trails</t>
  </si>
  <si>
    <t>GRAND TOTAL RECLASS TRANS PLANT</t>
  </si>
  <si>
    <t>These represent plant transfers to comply with FERC Order No. 888 and reflect the adjusted Transmission plant balances.</t>
  </si>
  <si>
    <t>INCENTIVE TRANSMISSION PLANT</t>
  </si>
  <si>
    <t>Incentive</t>
  </si>
  <si>
    <t xml:space="preserve">Transmission </t>
  </si>
  <si>
    <t>Ratemaking</t>
  </si>
  <si>
    <t>ELECTRIC MISCELLANEOUS INTANGIBLE PLANT</t>
  </si>
  <si>
    <t>Adjusted FERC</t>
  </si>
  <si>
    <t>Intangible Plant</t>
  </si>
  <si>
    <t>GENERAL PLANT</t>
  </si>
  <si>
    <t>General Plant</t>
  </si>
  <si>
    <t>COMMON PLANT</t>
  </si>
  <si>
    <t>Total Common Plant Per Book</t>
  </si>
  <si>
    <t>Electric Split of Common Utility Plant</t>
  </si>
  <si>
    <t>Total Common Plant to Electric Per Book</t>
  </si>
  <si>
    <t>Statement AE</t>
  </si>
  <si>
    <t>Accumulated Depreciation and Amortization</t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</si>
  <si>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</si>
  <si>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2, 4</t>
    </r>
  </si>
  <si>
    <t>Transmission Related Electric Misc. Intangible Plant Amortization Reserve</t>
  </si>
  <si>
    <t>Transmission Related General Plant Depreciation Reserve</t>
  </si>
  <si>
    <t>Transmission Related Common Plant Depreciation Reserve</t>
  </si>
  <si>
    <t xml:space="preserve">     Total Transmission Related Depreciation Reserve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</si>
  <si>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</si>
  <si>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t>Shall be Zero</t>
  </si>
  <si>
    <t>The depreciation reserve for Transmission and Incentive Transmission plant is derived based on a 13-month average balance.</t>
  </si>
  <si>
    <t>The depreciation reserve for Electric Miscellaneous Intangible, General and Common plant is derived based on a simple average of beginning and end of year balances.</t>
  </si>
  <si>
    <t>The amounts stated above are ratemaking utility plant in service and a result of implementing the "Seven-Element Adjustment Factor" which reflects transfers between core electric functional areas.</t>
  </si>
  <si>
    <t>STATEMENT AE</t>
  </si>
  <si>
    <t>ACCUMULATED DEPRECIATION AND AMORTIZATION</t>
  </si>
  <si>
    <t>Reserves</t>
  </si>
  <si>
    <t>Add: Citizens Weighted Average Accumulated Depreciation</t>
  </si>
  <si>
    <t>Total Transmission Plant Accumulated Depreciation Average Balance</t>
  </si>
  <si>
    <t>This column represents the monthly ratemaking depreciation reserve balances for the base &amp; true-up periods. These depreciation reserve balances reflect the amounts shifted between</t>
  </si>
  <si>
    <t>functions (Transmission to Distribution, Transmission to Generation, Distribution to Transmission, etc.) as required by FERC Order 888: Seven-Element Adjustment Factor.</t>
  </si>
  <si>
    <t>Represents the monthly accumulated depreciation and amortization on the Citizens Lease amount for term of service.</t>
  </si>
  <si>
    <t xml:space="preserve">DERIVATION OF TRANSMISSION RELATED </t>
  </si>
  <si>
    <t>Account 108</t>
  </si>
  <si>
    <t>Reserves Reclass</t>
  </si>
  <si>
    <t>as Steam Prod.</t>
  </si>
  <si>
    <t>as Other Prod.</t>
  </si>
  <si>
    <t>as Nuclear</t>
  </si>
  <si>
    <t>These represent plant transfers to comply with FERC Order No. 888 and reflect the adjusted plant accumulated depreciation and amortization balances.</t>
  </si>
  <si>
    <t>Intangible Reserve</t>
  </si>
  <si>
    <t>General Reserve</t>
  </si>
  <si>
    <t>Total Common Reserves to Electric Per Book</t>
  </si>
  <si>
    <t>Deferred Credits</t>
  </si>
  <si>
    <t>FERC Account 190</t>
  </si>
  <si>
    <t>FERC Account 282</t>
  </si>
  <si>
    <t>FERC Account 283</t>
  </si>
  <si>
    <r>
      <t xml:space="preserve">     Total Transmission Related ADIT </t>
    </r>
    <r>
      <rPr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</si>
  <si>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</si>
  <si>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</si>
  <si>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</si>
  <si>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Statement AF is utilized in the derivation of Transmission Rate Base for use in Statement AV.</t>
  </si>
  <si>
    <t xml:space="preserve">STATEMENT AF </t>
  </si>
  <si>
    <t>ACCUMULATED DEFERRED INCOME TAXES - ELECTRIC TRANSMISSION</t>
  </si>
  <si>
    <t>(c)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</si>
  <si>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</si>
  <si>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</si>
  <si>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</si>
  <si>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</si>
  <si>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</si>
  <si>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</si>
  <si>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</si>
  <si>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</si>
  <si>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</si>
  <si>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</si>
  <si>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</si>
  <si>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</si>
  <si>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</si>
  <si>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 xml:space="preserve">     Total of Account 282</t>
  </si>
  <si>
    <t>Account 283 (Non-Citizens)</t>
  </si>
  <si>
    <t xml:space="preserve">   Ad Valorem Taxes</t>
  </si>
  <si>
    <t xml:space="preserve">     Total of Account 283</t>
  </si>
  <si>
    <t>Accumulated Deferred Income Tax Comparison With and Without Bonus Depreciation</t>
  </si>
  <si>
    <t>ADIT</t>
  </si>
  <si>
    <t>Average</t>
  </si>
  <si>
    <t>Citizens With Bonus D</t>
  </si>
  <si>
    <t xml:space="preserve"> SDG&amp;E Records</t>
  </si>
  <si>
    <t>Citizens Without Bonus D</t>
  </si>
  <si>
    <r>
      <t xml:space="preserve">Difference With and Without Bonus Deprec. </t>
    </r>
    <r>
      <rPr>
        <b/>
        <vertAlign val="superscript"/>
        <sz val="12"/>
        <rFont val="Times New Roman"/>
        <family val="1"/>
      </rPr>
      <t>1</t>
    </r>
  </si>
  <si>
    <t>Page AF-3 is utilized in Section 3; Part A - Direct Assignment of ADIT to Citizens.</t>
  </si>
  <si>
    <t>Statement AG</t>
  </si>
  <si>
    <t>Specified Plant Account (Other than Plant in Service) and Deferred Debits</t>
  </si>
  <si>
    <r>
      <t xml:space="preserve">Transmission Plant Held for Future Use </t>
    </r>
    <r>
      <rPr>
        <b/>
        <vertAlign val="superscript"/>
        <sz val="12"/>
        <rFont val="Times New Roman"/>
        <family val="1"/>
      </rPr>
      <t>1</t>
    </r>
  </si>
  <si>
    <t>STATEMENT AG</t>
  </si>
  <si>
    <t>SPECIFIED PLANT ACCOUNTS (OTHER THAN PLANT IN SERVICE)</t>
  </si>
  <si>
    <t>AND DEFERRED DEBITS</t>
  </si>
  <si>
    <t>Plant Held for</t>
  </si>
  <si>
    <t>Future Use</t>
  </si>
  <si>
    <t>13-Month Average</t>
  </si>
  <si>
    <t>(c) = (a)+(b)</t>
  </si>
  <si>
    <t>FERC</t>
  </si>
  <si>
    <t>CPUC</t>
  </si>
  <si>
    <t>Total Project</t>
  </si>
  <si>
    <t>Project</t>
  </si>
  <si>
    <t>($)</t>
  </si>
  <si>
    <t>Statement AH</t>
  </si>
  <si>
    <t>Operation and Maintenance Expenses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</si>
  <si>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</si>
  <si>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</si>
  <si>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</si>
  <si>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</si>
  <si>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Adjustments to Per Book Transmission O&amp;M Expense: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</si>
  <si>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</si>
  <si>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</si>
  <si>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</si>
  <si>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</si>
  <si>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</si>
  <si>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</si>
  <si>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</si>
  <si>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</si>
  <si>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</si>
  <si>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</si>
  <si>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</si>
  <si>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</si>
  <si>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</si>
  <si>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</si>
  <si>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</si>
  <si>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</si>
  <si>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</si>
  <si>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</si>
  <si>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</si>
  <si>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</si>
  <si>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</si>
  <si>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</si>
  <si>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</si>
  <si>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  Total Adjusted Non-Direct A&amp;G Expenses Including Property Insurance</t>
  </si>
  <si>
    <t>Less: Property Insurance (Due to different allocation factor)</t>
  </si>
  <si>
    <t>Total Adjusted Non-Direct A&amp;G Expenses Excluding Property Insurance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</si>
  <si>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</si>
  <si>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</si>
  <si>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</si>
  <si>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</si>
  <si>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</si>
  <si>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</si>
  <si>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</si>
  <si>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</si>
  <si>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</si>
  <si>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</si>
  <si>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</si>
  <si>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</si>
  <si>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</si>
  <si>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</si>
  <si>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Natural</t>
  </si>
  <si>
    <t>SALARIES-MANAGEMENT  STRAIGHT-TIME</t>
  </si>
  <si>
    <t>SALARIES-MANAGEMENT  TIME AND ONE HALF</t>
  </si>
  <si>
    <t>SALARIES-CLERICAL AND TECHNICAL  STRAIGH</t>
  </si>
  <si>
    <t>SALARIES-CLERICAL AND TECHNICAL  TIME AN</t>
  </si>
  <si>
    <t>SALARIES-CLERICAL AND TECHNICAL  DOUBLE</t>
  </si>
  <si>
    <t>SALARIES-UNION  STRAIGHT-TIME</t>
  </si>
  <si>
    <t>SALARIES-UNION  TIME AND ONE HALF</t>
  </si>
  <si>
    <t>SALARIES-UNION  DOUBLE TIME</t>
  </si>
  <si>
    <t>SALARIES-DELAYED LUNCH PREMIUM</t>
  </si>
  <si>
    <t>EMP TRAVEL-HOTEL/LODG (ROOM AND TAX ONLY</t>
  </si>
  <si>
    <t>SRV-CONTRACTORS-TIME &amp; EQUIPMENT</t>
  </si>
  <si>
    <t>SRV-TREE TRIMMING</t>
  </si>
  <si>
    <t>SRV-CONSULTING-OTHER</t>
  </si>
  <si>
    <t>SRV-VEHICLE &amp; EQUIP RENTAL W/OPERATOR</t>
  </si>
  <si>
    <t>SRV-CONSTRUCTION-ELECTRIC</t>
  </si>
  <si>
    <t>HELICOPTER UTILIZATION</t>
  </si>
  <si>
    <t>VEHICLE UTILIZATION-LABOR</t>
  </si>
  <si>
    <t>VEHICLE UTILIZATION-NONLABOR</t>
  </si>
  <si>
    <t>Cash Discounts on Purchases</t>
  </si>
  <si>
    <t>Vacation &amp; Sick (Costing sheet)</t>
  </si>
  <si>
    <t>ICP (Costing Sheet)</t>
  </si>
  <si>
    <t>Public Liab.&amp; Property Damage-Lab(CS)</t>
  </si>
  <si>
    <t>Worker's Comp -Labor (Costing sheet)</t>
  </si>
  <si>
    <t>Pension &amp; Benefits - Labor</t>
  </si>
  <si>
    <t>Payroll Taxes (Costing sheet)</t>
  </si>
  <si>
    <t>Public Liab.&amp; Property Damage-NonLab(CS)</t>
  </si>
  <si>
    <t>Worker's Comp -Non Labor (Costing sheet)</t>
  </si>
  <si>
    <t>Pension &amp; Benefit - NonLabor</t>
  </si>
  <si>
    <t>PENSION &amp; BENEFIT - REFUNDABLE - NL</t>
  </si>
  <si>
    <t>VACATION &amp; SICK (CL)</t>
  </si>
  <si>
    <t>ICP (CL)</t>
  </si>
  <si>
    <t>PUBLIAB PROPDAM L(CL)</t>
  </si>
  <si>
    <t>WK COMP-LABOR (CL)</t>
  </si>
  <si>
    <t>PENSION &amp; BENEFIT-NONREF-LBR (CL)</t>
  </si>
  <si>
    <t>PAYROLL TAXES (CL)</t>
  </si>
  <si>
    <t>PUBLIAB PROPDAM NL(CL)</t>
  </si>
  <si>
    <t>WK COMP-NONLABOR (CL)</t>
  </si>
  <si>
    <t>PENSION &amp; BENEFIT-NONREF-NL (CL)</t>
  </si>
  <si>
    <t>PENSION &amp; BENEFIT-REF-NL (CL)</t>
  </si>
  <si>
    <t>Purchasing Labor (Costing sheet)</t>
  </si>
  <si>
    <t>Shop Order Labor (Costing sheet)</t>
  </si>
  <si>
    <t>Small Tools Labor (Costing sheet)</t>
  </si>
  <si>
    <t>Union Contract Labor (CS)</t>
  </si>
  <si>
    <t>Purchasing NonLabor (Costing sheet)</t>
  </si>
  <si>
    <t>Shop Order NonLabor (Costing sheet)</t>
  </si>
  <si>
    <t>Small Tools NonLabor (Costing sheet)</t>
  </si>
  <si>
    <r>
      <t xml:space="preserve">     Total Direct Maintenance Cost </t>
    </r>
    <r>
      <rPr>
        <b/>
        <vertAlign val="superscript"/>
        <sz val="12"/>
        <rFont val="Times New Roman"/>
        <family val="1"/>
      </rPr>
      <t>1, 2</t>
    </r>
  </si>
  <si>
    <t>Reflects direct maintenance expenses incurred on the 11.5-mile SX-PQ Underground Line Segment,</t>
  </si>
  <si>
    <t>which are tracked via a specific work order.</t>
  </si>
  <si>
    <t>Electric Transmission O&amp;M Expenses</t>
  </si>
  <si>
    <t>Excluded</t>
  </si>
  <si>
    <t>Acct</t>
  </si>
  <si>
    <t>Per Books</t>
  </si>
  <si>
    <t>Expenses</t>
  </si>
  <si>
    <t>Adjusted</t>
  </si>
  <si>
    <t>Electric Transmission Operation</t>
  </si>
  <si>
    <t>Operation Supervision and Engineering</t>
  </si>
  <si>
    <t>Load Dispatch - Reliability</t>
  </si>
  <si>
    <t>Load Dispatch - Monitor and Operate Transmission System</t>
  </si>
  <si>
    <t>Load Dispatch - Transmission Service and Scheduling</t>
  </si>
  <si>
    <t xml:space="preserve">Scheduling, System Control and Dispatch Services </t>
  </si>
  <si>
    <t>Reliability, Planning and Standards Development</t>
  </si>
  <si>
    <t>Transmission Service Studies</t>
  </si>
  <si>
    <t>Generation Interconnection Studies</t>
  </si>
  <si>
    <t xml:space="preserve">Reliability, Planning and Standards Development Services 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</si>
  <si>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</si>
  <si>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>Underground Line Expenses</t>
  </si>
  <si>
    <t>Transmission of Electricity by Others</t>
  </si>
  <si>
    <t>Misc. Transmission Expenses</t>
  </si>
  <si>
    <t>Rents</t>
  </si>
  <si>
    <t xml:space="preserve">     Total Electric Transmission Operation </t>
  </si>
  <si>
    <t>Electric Transmission Maintenance</t>
  </si>
  <si>
    <t>Maintenance Supervision and Engineering</t>
  </si>
  <si>
    <t>Maintenance of Structures</t>
  </si>
  <si>
    <t>Maintenance of Computer Hardware</t>
  </si>
  <si>
    <t>Maintenance of Computer Software</t>
  </si>
  <si>
    <t>Maintenance of Communication Equipment</t>
  </si>
  <si>
    <t>Maintenance of Misc. Regional Transmission Plant</t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</si>
  <si>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</si>
  <si>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>Maintenance of Misc. Transmission Plant</t>
  </si>
  <si>
    <t xml:space="preserve">  Total Electric Transmission Maintenance</t>
  </si>
  <si>
    <t>Total Electric Transmission O&amp;M Expenses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</si>
  <si>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</si>
  <si>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</si>
  <si>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</si>
  <si>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</si>
  <si>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</si>
  <si>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</si>
  <si>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</si>
  <si>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</si>
  <si>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</si>
  <si>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</si>
  <si>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</si>
  <si>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</si>
  <si>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</si>
  <si>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</si>
  <si>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</si>
  <si>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</si>
  <si>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Total Excluded Expenses</t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</si>
  <si>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</si>
  <si>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</si>
  <si>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</si>
  <si>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</si>
  <si>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Administrative &amp; General Expenses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</si>
  <si>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</si>
  <si>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</si>
  <si>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</si>
  <si>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</si>
  <si>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</si>
  <si>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</si>
  <si>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</si>
  <si>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</si>
  <si>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</si>
  <si>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</si>
  <si>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</si>
  <si>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</si>
  <si>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</si>
  <si>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</si>
  <si>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</si>
  <si>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</si>
  <si>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</si>
  <si>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</si>
  <si>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</si>
  <si>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</si>
  <si>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</si>
  <si>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</si>
  <si>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Account 7000722, which was created to track Citizens SX-PQ A&amp;G Expense.</t>
  </si>
  <si>
    <t>Statement AI</t>
  </si>
  <si>
    <t>Wages and Salaries</t>
  </si>
  <si>
    <t>Production Wages &amp; Salaries (Includes Steam &amp; Other Power Supply)</t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</si>
  <si>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1</t>
    </r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</si>
  <si>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2</t>
    </r>
  </si>
  <si>
    <t>Distribution Wages &amp; Salaries</t>
  </si>
  <si>
    <t>Customer Accounts Wages &amp; Salaries</t>
  </si>
  <si>
    <t>Customer Services and Informational Wages &amp; Salaries</t>
  </si>
  <si>
    <t>Sales Wages &amp; Salaries</t>
  </si>
  <si>
    <t xml:space="preserve">     Total Operating &amp; Maintenance Wages &amp; Salaries Excl. A&amp;G</t>
  </si>
  <si>
    <t>Excludes FERC Accounts 562, 563, 570, 571, and 572 associated with substation, underground, and overhead wages &amp; salaries not applicable to Citizens.</t>
  </si>
  <si>
    <t>Reflects FERC Accounts 562, 563, 570, 571, and 572 associated with substation, underground, and overhead wages &amp; salaries not applicable to Citizens.</t>
  </si>
  <si>
    <t>Statement AI - Workpapers</t>
  </si>
  <si>
    <t>Transmission Wages &amp; Salaries</t>
  </si>
  <si>
    <t xml:space="preserve">FERC 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</si>
  <si>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</si>
  <si>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r>
      <t xml:space="preserve">Exclusions </t>
    </r>
    <r>
      <rPr>
        <b/>
        <vertAlign val="superscript"/>
        <sz val="12"/>
        <color theme="1"/>
        <rFont val="Times New Roman"/>
        <family val="1"/>
      </rPr>
      <t>2</t>
    </r>
  </si>
  <si>
    <t>560100E</t>
  </si>
  <si>
    <t>OPERATION SUPERVISION</t>
  </si>
  <si>
    <t>560170E</t>
  </si>
  <si>
    <t>OPERATION EXECUTIVE COMPENSATION</t>
  </si>
  <si>
    <t>560200E</t>
  </si>
  <si>
    <t>OPERATION ENGINEERING</t>
  </si>
  <si>
    <t>561100E</t>
  </si>
  <si>
    <t>LOAD DISPATCHING - RELIABILITY</t>
  </si>
  <si>
    <t>561200E</t>
  </si>
  <si>
    <t>LOAD DISPATCHING - MONITOR &amp; OPERATE SYSTEM</t>
  </si>
  <si>
    <t>561300E</t>
  </si>
  <si>
    <t>LOAD DISPATCHING-TRANSMISSION SERVICE &amp; SCHEDULING</t>
  </si>
  <si>
    <t>561400E</t>
  </si>
  <si>
    <t>SCHEDULING SYSTEM CONTROL &amp; DISPATCH SERVICES</t>
  </si>
  <si>
    <t>561500E</t>
  </si>
  <si>
    <t>RELIABILITY, PLANNING &amp; STANDARDS DEVELOPMENT</t>
  </si>
  <si>
    <t>561600E</t>
  </si>
  <si>
    <t>TRANSMISSION SERVICE STUDIES</t>
  </si>
  <si>
    <t>561700E</t>
  </si>
  <si>
    <t>GENERATION INTERCONNECTION STUDIES</t>
  </si>
  <si>
    <t>561800E</t>
  </si>
  <si>
    <t>RELIABILITY, PLANNING &amp; STANDARDS DEVELOPMENT SERVICES</t>
  </si>
  <si>
    <t>562000E</t>
  </si>
  <si>
    <t>STATION EXPENSES</t>
  </si>
  <si>
    <t>562100E</t>
  </si>
  <si>
    <t>STATION OPERATION EXPENSE</t>
  </si>
  <si>
    <t>563000E</t>
  </si>
  <si>
    <t>OVERHEAD LINE EXPENSES</t>
  </si>
  <si>
    <t>563100E</t>
  </si>
  <si>
    <t>OPERATION OVERHEAD LINES</t>
  </si>
  <si>
    <t>563200E</t>
  </si>
  <si>
    <t>ENCROACHMENTS OVERHEAD R/W</t>
  </si>
  <si>
    <t>564000E</t>
  </si>
  <si>
    <t>UNDERGROUND LINE EXPENSES</t>
  </si>
  <si>
    <t>566000E</t>
  </si>
  <si>
    <t>MISCELLANEOUS TRANSMISSION EXPENSES</t>
  </si>
  <si>
    <t>566ABPE</t>
  </si>
  <si>
    <t>MISCELLANEOUS TRANSMISSION ABANDONED PROJECTS</t>
  </si>
  <si>
    <t>567000E</t>
  </si>
  <si>
    <t>RENTS</t>
  </si>
  <si>
    <t>568100E</t>
  </si>
  <si>
    <t>MAINTENANCE SUPERVISION</t>
  </si>
  <si>
    <t>568200E</t>
  </si>
  <si>
    <t>MAINTENANCE ENGINEERING</t>
  </si>
  <si>
    <t>569000E</t>
  </si>
  <si>
    <t>MAINTENANCE OF STRUCTURES</t>
  </si>
  <si>
    <t>569100E</t>
  </si>
  <si>
    <t>MAINTENANCE OF COMPUTER HARDWARE</t>
  </si>
  <si>
    <t>569200E</t>
  </si>
  <si>
    <t>MAINTENANCE OF COMPUTER SOFTWARE</t>
  </si>
  <si>
    <t>569300E</t>
  </si>
  <si>
    <t>MAINTENANCE OF COMPUTER EQUIPMENT</t>
  </si>
  <si>
    <t>569400E</t>
  </si>
  <si>
    <t>MAINTENANCE OF MISC REGIONAL TRANSMISSION PLANT</t>
  </si>
  <si>
    <t>570000E</t>
  </si>
  <si>
    <t>MAINTENANCE OF STATION EQUIPMENT</t>
  </si>
  <si>
    <t>570100E</t>
  </si>
  <si>
    <t>MAINTENANCE OF  STATION EQUIPMENT GENERAL</t>
  </si>
  <si>
    <t>570121E</t>
  </si>
  <si>
    <t>RTU SUPERVISORY EQUIPMENT</t>
  </si>
  <si>
    <t>570122E</t>
  </si>
  <si>
    <t>TELEMETER SYSTEM MAINTENANCE</t>
  </si>
  <si>
    <t>570200E</t>
  </si>
  <si>
    <t>MAINTENANCE STATION EQUIPMENT CLEAN TREAT</t>
  </si>
  <si>
    <t>570600E</t>
  </si>
  <si>
    <t>MAINTENANCE STATION EQUIPMENT</t>
  </si>
  <si>
    <t>570700E</t>
  </si>
  <si>
    <t>SAN ONOFRE SUBSTATION</t>
  </si>
  <si>
    <t>571000E</t>
  </si>
  <si>
    <t>MAINTENANCE OF OVERHEAD LINES</t>
  </si>
  <si>
    <t>571100E</t>
  </si>
  <si>
    <t>MAINTENANCE OF OVERHEAD LINES GENERAL</t>
  </si>
  <si>
    <t>571120E</t>
  </si>
  <si>
    <t>TRAINING IN HOTSTICK MAINTENANCE</t>
  </si>
  <si>
    <t>571200E</t>
  </si>
  <si>
    <t>MAINTENANCE OF OVERHEAD LINES - TREE TRIMMING</t>
  </si>
  <si>
    <t>571310E</t>
  </si>
  <si>
    <t>MAINTENANCE OF OVERHEAD INSULATOR WASHING</t>
  </si>
  <si>
    <t>571700E</t>
  </si>
  <si>
    <t>ACCESS &amp; PATROL ROAD MAINTENANCE</t>
  </si>
  <si>
    <t>571800E</t>
  </si>
  <si>
    <t>CONSTRUCTION RELATED EXPENSES</t>
  </si>
  <si>
    <t>571930E</t>
  </si>
  <si>
    <t>OH PREV MAINT - INSPECTIONS</t>
  </si>
  <si>
    <t>571960E</t>
  </si>
  <si>
    <t>OH PREV MAINT - FOLLOW-UP</t>
  </si>
  <si>
    <t>572000E</t>
  </si>
  <si>
    <t>MAINTENANCE OF UNDERGROUND LINES</t>
  </si>
  <si>
    <t>573000E</t>
  </si>
  <si>
    <t>MAINTENANCE OF MISCELLANEOUS TRANSMISSION</t>
  </si>
  <si>
    <t>Total Transmission Wages &amp; Salaries</t>
  </si>
  <si>
    <t>Total Adjusted Citizens Transmission Wages &amp; Salaries</t>
  </si>
  <si>
    <t>Ties to FERC Form 1; Page 354; Line 21; Col. b.</t>
  </si>
  <si>
    <t>Citizens should exclude expenses associated with substation, overhead, and underground maintenance.</t>
  </si>
  <si>
    <t>Statement AJ</t>
  </si>
  <si>
    <t>Depreciation and Amortization Expense</t>
  </si>
  <si>
    <t>Transmission Plant Depreciation Expense</t>
  </si>
  <si>
    <t>Electric Miscellaneous Intangible Plant Amortization Expense</t>
  </si>
  <si>
    <t xml:space="preserve">Common Plant Depreciation Expense </t>
  </si>
  <si>
    <t>Transmission Related Electric Misc. Intangible Plant Amortization Expense</t>
  </si>
  <si>
    <t>Transmission Related General Plant Depreciation Expense</t>
  </si>
  <si>
    <t>Transmission Related Common Plant Depreciation Expense</t>
  </si>
  <si>
    <t xml:space="preserve">     Total Transmission, General, Common, and Electric Misc. Intangible Exp.</t>
  </si>
  <si>
    <t>Incentive Transmission Plant Depreciation Expense</t>
  </si>
  <si>
    <t>Transmission Plant Abandoned Project Cost Amortization Expense</t>
  </si>
  <si>
    <t>Net of Incentive Transmission Plant Depreciation Expense.</t>
  </si>
  <si>
    <t>STATEMENT AJ</t>
  </si>
  <si>
    <t>DEPRECIATION AND AMORTIZATION EXPENSE</t>
  </si>
  <si>
    <t>General</t>
  </si>
  <si>
    <t>Expense</t>
  </si>
  <si>
    <t>Total Common Expense to Electric Per Book</t>
  </si>
  <si>
    <t>Statement AK</t>
  </si>
  <si>
    <t>Taxes Other Than Income Taxes</t>
  </si>
  <si>
    <r>
      <t xml:space="preserve">Total Property Taxes </t>
    </r>
    <r>
      <rPr>
        <b/>
        <vertAlign val="superscript"/>
        <sz val="12"/>
        <rFont val="Times New Roman"/>
        <family val="1"/>
      </rPr>
      <t>1</t>
    </r>
  </si>
  <si>
    <r>
      <t xml:space="preserve">Less: Other Taxes (Business license taxes) </t>
    </r>
    <r>
      <rPr>
        <b/>
        <vertAlign val="superscript"/>
        <sz val="12"/>
        <rFont val="Times New Roman"/>
        <family val="1"/>
      </rPr>
      <t>2</t>
    </r>
  </si>
  <si>
    <t>Net Property Taxes Excl. Citizens</t>
  </si>
  <si>
    <t>Add: Citizens Allocated Portion of Property Taxes</t>
  </si>
  <si>
    <t>Net Property Taxes Incl. Citizens</t>
  </si>
  <si>
    <r>
      <t xml:space="preserve">Less: SONGS Property Taxes </t>
    </r>
    <r>
      <rPr>
        <b/>
        <vertAlign val="superscript"/>
        <sz val="12"/>
        <rFont val="Times New Roman"/>
        <family val="1"/>
      </rPr>
      <t>3</t>
    </r>
  </si>
  <si>
    <t>Total Property Taxes Expense</t>
  </si>
  <si>
    <t>Transmission Property Insurance and Tax Allocation Factor</t>
  </si>
  <si>
    <t xml:space="preserve">     Transmission Related Property Taxes Expense</t>
  </si>
  <si>
    <r>
      <t xml:space="preserve">Total Payroll Taxes Expense </t>
    </r>
    <r>
      <rPr>
        <b/>
        <vertAlign val="superscript"/>
        <sz val="12"/>
        <rFont val="Times New Roman"/>
        <family val="1"/>
      </rPr>
      <t>4</t>
    </r>
  </si>
  <si>
    <t>Add: Citizens Allocated Portion of Payroll Taxes</t>
  </si>
  <si>
    <t>Total Payroll Taxes Expense Incl. Citizens</t>
  </si>
  <si>
    <t xml:space="preserve">     Transmission Related Payroll Taxes Expense</t>
  </si>
  <si>
    <t>Statement AL</t>
  </si>
  <si>
    <t>Working Capital</t>
  </si>
  <si>
    <t>Working</t>
  </si>
  <si>
    <t>13-Months</t>
  </si>
  <si>
    <t>Cash</t>
  </si>
  <si>
    <t>Transmission Plant Allocation Factor</t>
  </si>
  <si>
    <t xml:space="preserve">     Transmission Related Materials and Supplies 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</si>
  <si>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</si>
  <si>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</si>
  <si>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</si>
  <si>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</si>
  <si>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  Total</t>
  </si>
  <si>
    <t xml:space="preserve">   One Eighth O&amp;M Rule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</si>
  <si>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</si>
  <si>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</si>
  <si>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AL</t>
  </si>
  <si>
    <t>WORKING CAPITAL</t>
  </si>
  <si>
    <t>ACCOUNT 154 PLANT MATERIALS AND OPERATING SUPPLIES</t>
  </si>
  <si>
    <t>ELECTRIC ALLOWABLE PER FERC FORMULA</t>
  </si>
  <si>
    <t>Electric Plant</t>
  </si>
  <si>
    <t>Materials</t>
  </si>
  <si>
    <t>&amp; Supplies</t>
  </si>
  <si>
    <t>ACCOUNT 165 PREPAYMENTS  -  ELECTRIC</t>
  </si>
  <si>
    <t>Prepayments</t>
  </si>
  <si>
    <t>Statement AR</t>
  </si>
  <si>
    <t>Federal Tax Adjustments</t>
  </si>
  <si>
    <t>Transmission Related Amortization of Investment Tax Credits</t>
  </si>
  <si>
    <t>Transmission Related Amortization of Excess Deferred Tax Liabilities</t>
  </si>
  <si>
    <t xml:space="preserve">   FERC Account 190</t>
  </si>
  <si>
    <t xml:space="preserve">   FERC Account 282</t>
  </si>
  <si>
    <t xml:space="preserve">   FERC Account 283</t>
  </si>
  <si>
    <t>Total Transmission Related Amortization of Excess Deferred Tax Liabilities</t>
  </si>
  <si>
    <t>Other Federal Tax Adjustments</t>
  </si>
  <si>
    <r>
      <t xml:space="preserve">     Total Federal Tax Adjustments </t>
    </r>
    <r>
      <rPr>
        <b/>
        <vertAlign val="superscript"/>
        <sz val="12"/>
        <rFont val="Times New Roman"/>
        <family val="1"/>
      </rPr>
      <t>1</t>
    </r>
  </si>
  <si>
    <t>STATEMENT AR</t>
  </si>
  <si>
    <t>(c) = [(a) + (b)]</t>
  </si>
  <si>
    <t>Account 190</t>
  </si>
  <si>
    <t>Account 282</t>
  </si>
  <si>
    <t>Account 283</t>
  </si>
  <si>
    <t>This workpaper does not include the amortization of excess ADIT associated with SX-PQ because the original ADIT balance was measured at the 21% tax rate and thus there is no excess ADIT.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</si>
  <si>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</si>
  <si>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</si>
  <si>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</si>
  <si>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</si>
  <si>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</si>
  <si>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</si>
  <si>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</si>
  <si>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</si>
  <si>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</si>
  <si>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</si>
  <si>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</si>
  <si>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</si>
  <si>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</si>
  <si>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</si>
  <si>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</si>
  <si>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</si>
  <si>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</si>
  <si>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</si>
  <si>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</si>
  <si>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</si>
  <si>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</si>
  <si>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</si>
  <si>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</si>
  <si>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</si>
  <si>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</si>
  <si>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</si>
  <si>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</si>
  <si>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</si>
  <si>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TO5 Offer of Settlement; Section II.A.1.5.1</t>
  </si>
  <si>
    <t>(d) = (b) x (c)</t>
  </si>
  <si>
    <t>Cap. Struct.</t>
  </si>
  <si>
    <t>Cost of</t>
  </si>
  <si>
    <t>Weighted</t>
  </si>
  <si>
    <t>Weighted Cost of Capital:</t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</si>
  <si>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</si>
  <si>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</si>
  <si>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</si>
  <si>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</si>
  <si>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</si>
  <si>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</si>
  <si>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</si>
  <si>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</si>
  <si>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</si>
  <si>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</si>
  <si>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</si>
  <si>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</si>
  <si>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</si>
  <si>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</si>
  <si>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</si>
  <si>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</si>
  <si>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B = Transmission Total Federal Tax Adjustments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</si>
  <si>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</si>
  <si>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</si>
  <si>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</si>
  <si>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</si>
  <si>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</si>
  <si>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</si>
  <si>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</si>
  <si>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</si>
  <si>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</si>
  <si>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</si>
  <si>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</si>
  <si>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</si>
  <si>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</si>
  <si>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</si>
  <si>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</si>
  <si>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</si>
  <si>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</si>
  <si>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</si>
  <si>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</si>
  <si>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</si>
  <si>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$56K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</si>
  <si>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</si>
  <si>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</si>
  <si>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</si>
  <si>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</si>
  <si>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</si>
  <si>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</si>
  <si>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</si>
  <si>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</si>
  <si>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Non-Incentive Equity AFUDC Component of Transmission Depreciation Expense</t>
  </si>
  <si>
    <t xml:space="preserve">Non-Incentive Equity AFUDC </t>
  </si>
  <si>
    <t xml:space="preserve">Component of Transmission </t>
  </si>
  <si>
    <r>
      <t xml:space="preserve">Vintages of Plant </t>
    </r>
    <r>
      <rPr>
        <b/>
        <vertAlign val="superscript"/>
        <sz val="12"/>
        <rFont val="Times New Roman"/>
        <family val="1"/>
      </rPr>
      <t>1</t>
    </r>
  </si>
  <si>
    <t>Depn Exp.</t>
  </si>
  <si>
    <t>Citizens SX-PQ Underground Line Segment Adj. (see w/p AV-2B)</t>
  </si>
  <si>
    <t>AFUDC Equity Depreciation Expense - Net of AFUDC Equity Depreciation Expense on Assets Leased to Citizens SX-PQ</t>
  </si>
  <si>
    <t>Reflects the years that were taken into consideration to develop the table. The table begins</t>
  </si>
  <si>
    <t>in 2001 because all the data needed was not available until 2001 in SAP (SDG&amp;E's general</t>
  </si>
  <si>
    <t>accounting system).</t>
  </si>
  <si>
    <t>Citizens' Calculation of Equity AFUDC Component of Transmission Depreciation Expenses</t>
  </si>
  <si>
    <t>AFUDC embedded in the Lease Payment on the SX-PQ Underground Line Segment</t>
  </si>
  <si>
    <t>AFUDC Equity Percentage as of November 2018</t>
  </si>
  <si>
    <t>Annual Depreciation Rate (30 year Lease)</t>
  </si>
  <si>
    <t>1 / 30 years</t>
  </si>
  <si>
    <t>Annual Book Depreciation on AFUDC Equity</t>
  </si>
  <si>
    <t>Federal and State Combined Tax Rate</t>
  </si>
  <si>
    <t>Tax Cost of Non-Deductibility of AFUDC Equity</t>
  </si>
  <si>
    <t>Gross-up Factor</t>
  </si>
  <si>
    <t>Revenue Requirement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</si>
  <si>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</si>
  <si>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</si>
  <si>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</si>
  <si>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</si>
  <si>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</si>
  <si>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</si>
  <si>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</si>
  <si>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</si>
  <si>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</si>
  <si>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</si>
  <si>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</si>
  <si>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</si>
  <si>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</si>
  <si>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</si>
  <si>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</si>
  <si>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</si>
  <si>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</si>
  <si>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</si>
  <si>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</si>
  <si>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</si>
  <si>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</si>
  <si>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</si>
  <si>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</si>
  <si>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</si>
  <si>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</si>
  <si>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</si>
  <si>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</si>
  <si>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</si>
  <si>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</si>
  <si>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</si>
  <si>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</si>
  <si>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</si>
  <si>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</si>
  <si>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</si>
  <si>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</si>
  <si>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</si>
  <si>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</si>
  <si>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</si>
  <si>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</si>
  <si>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</si>
  <si>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</si>
  <si>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</si>
  <si>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 xml:space="preserve">Miscellaneous Statement </t>
  </si>
  <si>
    <t>Transmission Related Regulatory Debits/Credits</t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</si>
  <si>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</si>
  <si>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</si>
  <si>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TO Number:</t>
  </si>
  <si>
    <t>Cycle Number:</t>
  </si>
  <si>
    <t>Cycle Ending:</t>
  </si>
  <si>
    <r>
      <t xml:space="preserve">Total Base Period Interest </t>
    </r>
    <r>
      <rPr>
        <b/>
        <vertAlign val="superscript"/>
        <sz val="12"/>
        <rFont val="Times New Roman"/>
        <family val="1"/>
      </rPr>
      <t>4</t>
    </r>
  </si>
  <si>
    <r>
      <t xml:space="preserve">AMORTIZATION OF TRANSMISSION RELATED EXCESS DEFERRED TAX LIABILITIES </t>
    </r>
    <r>
      <rPr>
        <b/>
        <vertAlign val="superscript"/>
        <sz val="12"/>
        <rFont val="Times New Roman"/>
        <family val="1"/>
      </rPr>
      <t>1</t>
    </r>
  </si>
  <si>
    <t>560000E</t>
  </si>
  <si>
    <t>OPERATION SUPERVISION &amp; ENGINEERING</t>
  </si>
  <si>
    <t xml:space="preserve">   Other A&amp;G Exclusion Adjustments</t>
  </si>
  <si>
    <t xml:space="preserve">   Other Transmission Non-Direct O&amp;M Exclusion Adjustments </t>
  </si>
  <si>
    <t xml:space="preserve">(c) = (a) - (b) </t>
  </si>
  <si>
    <t>(c) = (a) - (b)</t>
  </si>
  <si>
    <t>Account 282 (Citizens SX-PQ)</t>
  </si>
  <si>
    <t>Monthly True-Up Cost of Service comprises Sections 1 thru 3 Direct Maintenance, Non-Direct Expense, and Other Specific Expenses Cost Components.</t>
  </si>
  <si>
    <t>Direct Maintenance expenses are utilized and allocated in Section 1 of this Filing.</t>
  </si>
  <si>
    <t>As of July 1, 2018, SDG&amp;E is no longer assessed property taxes on SONGS.</t>
  </si>
  <si>
    <t>AFUDC Equity Embedded in the SX-PQ Underground Line Segment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</si>
  <si>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</si>
  <si>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Return on Common Equity:</t>
  </si>
  <si>
    <t>Account 190 (Citizens SX-PQ)</t>
  </si>
  <si>
    <t>Account 283 (Citizens SX-PQ)</t>
  </si>
  <si>
    <t>Section 1; Page 1; Line 17</t>
  </si>
  <si>
    <t>Section 2; Page 1; Line 25</t>
  </si>
  <si>
    <t>Section 3; Page 1; Line 31</t>
  </si>
  <si>
    <t>Section 4; Page TU; Col. 11; Line 21</t>
  </si>
  <si>
    <t>Section 5; Page Interest TU (CY); Col. 6; Line 20</t>
  </si>
  <si>
    <r>
      <t xml:space="preserve">Total Steam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</si>
  <si>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Nuclear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</si>
  <si>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Hydraulic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</si>
  <si>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</si>
  <si>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Distribution Plant </t>
    </r>
    <r>
      <rPr>
        <b/>
        <vertAlign val="superscript"/>
        <sz val="12"/>
        <rFont val="Times New Roman"/>
        <family val="1"/>
      </rPr>
      <t>2, 3, 5</t>
    </r>
  </si>
  <si>
    <r>
      <t xml:space="preserve">Overhead Line Expenses </t>
    </r>
    <r>
      <rPr>
        <b/>
        <vertAlign val="superscript"/>
        <sz val="12"/>
        <rFont val="Times New Roman"/>
        <family val="1"/>
      </rPr>
      <t>1</t>
    </r>
  </si>
  <si>
    <t>Litigation expenses - Litigation Cost Memorandum Account (LCMA)</t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</si>
  <si>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</si>
  <si>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</t>
    </r>
  </si>
  <si>
    <t>Electric Power Research Institute (EPRI) Dues</t>
  </si>
  <si>
    <t xml:space="preserve">Negative of AH-2; Line 41; Col. b </t>
  </si>
  <si>
    <t xml:space="preserve">General Plant Depreciation Expense </t>
  </si>
  <si>
    <r>
      <t>Incentive Transmission Plant Abandoned Project Cost Amortization Expense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</si>
  <si>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</si>
  <si>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Energy Efficiency</t>
  </si>
  <si>
    <t>CPUC reimbursement fees</t>
  </si>
  <si>
    <t>204-207; Footnote Data (a)</t>
  </si>
  <si>
    <t>204-207; Footnote Data (a); BOY and EOY</t>
  </si>
  <si>
    <r>
      <t>Total General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</si>
  <si>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>Transmission Plant Allocation Factor</t>
    </r>
    <r>
      <rPr>
        <b/>
        <vertAlign val="superscript"/>
        <sz val="12"/>
        <rFont val="Times New Roman"/>
        <family val="1"/>
      </rPr>
      <t xml:space="preserve">  5</t>
    </r>
  </si>
  <si>
    <t xml:space="preserve">Form 1; Page 204-207; Footnote Data (a); BOY </t>
  </si>
  <si>
    <t xml:space="preserve">Form 1; Page 204-207; Footnote Data (a); EOY </t>
  </si>
  <si>
    <t>Form 1; Page 204-207; Footnote Data (a)</t>
  </si>
  <si>
    <t xml:space="preserve">The allocated general and common accumulated deferred income taxes are included in the total transmission related accumulated deferred income taxes. See FERC Form 1; Page 274-275; </t>
  </si>
  <si>
    <t xml:space="preserve">Footnote Data (a) and (b). </t>
  </si>
  <si>
    <t xml:space="preserve">The balances for Transmission Plant Held for Future Use are derived based on a 13-month average balance. </t>
  </si>
  <si>
    <t>Form 1; Page 320-323; Line 83</t>
  </si>
  <si>
    <t>Form 1; Page 320-323; Line 85</t>
  </si>
  <si>
    <t>Form 1; Page 320-323; Line 86</t>
  </si>
  <si>
    <t>Form 1; Page 320-323; Line 87</t>
  </si>
  <si>
    <t>Form 1; Page 320-323; Line 88</t>
  </si>
  <si>
    <t>Form 1; Page 320-323; Line 89</t>
  </si>
  <si>
    <t>Form 1; Page 320-323; Line 90</t>
  </si>
  <si>
    <t>Form 1; Page 320-323; Line 91</t>
  </si>
  <si>
    <t>Form 1; Page 320-323; Line 92</t>
  </si>
  <si>
    <t>Form 1; Page 320-323; Line 93</t>
  </si>
  <si>
    <t>Form 1; Page 320-323; Line 94</t>
  </si>
  <si>
    <t>Form 1; Page 320-323; Line 95</t>
  </si>
  <si>
    <t>Form 1; Page 320-323; Line 96</t>
  </si>
  <si>
    <t>Form 1; Page 320-323; Line 97</t>
  </si>
  <si>
    <t>Form 1; Page 320-323; Line 98</t>
  </si>
  <si>
    <t>Form 1; Page 320-323; Line 101</t>
  </si>
  <si>
    <t>Form 1; Page 320-323; Line 102</t>
  </si>
  <si>
    <t>Form 1; Page 320-323; Line 103</t>
  </si>
  <si>
    <t>Form 1; Page 320-323; Line 104</t>
  </si>
  <si>
    <t>Form 1; Page 320-323; Line 105</t>
  </si>
  <si>
    <t>Form 1; Page 320-323; Line 106</t>
  </si>
  <si>
    <t>Form 1; Page 320-323; Line 107</t>
  </si>
  <si>
    <t>Form 1; Page 320-323; Line 108</t>
  </si>
  <si>
    <t>Form 1; Page 320-323; Line 109</t>
  </si>
  <si>
    <t>Form 1; Page 320-323; Line 110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</si>
  <si>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</si>
  <si>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</si>
  <si>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</si>
  <si>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</si>
  <si>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</si>
  <si>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</si>
  <si>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</si>
  <si>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</si>
  <si>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</si>
  <si>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</si>
  <si>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</si>
  <si>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</si>
  <si>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</si>
  <si>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</si>
  <si>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354-355; 20; b</t>
  </si>
  <si>
    <t>354-355; 23; b</t>
  </si>
  <si>
    <t>354-355; 24; b</t>
  </si>
  <si>
    <t>354-355; 25; b</t>
  </si>
  <si>
    <t>354-355; 26; b</t>
  </si>
  <si>
    <t>336-337; 1; f</t>
  </si>
  <si>
    <t>336-337; 10; f</t>
  </si>
  <si>
    <t>336-337; 11; f</t>
  </si>
  <si>
    <t>Form 1; Page 336-337; Line 10; Col. f</t>
  </si>
  <si>
    <t>(Line 1 x Line 2); Form 1; Page 336-337; Line 11; Col. f</t>
  </si>
  <si>
    <t>262-263; 12; l</t>
  </si>
  <si>
    <t>262-263; 2,3,4,8; l</t>
  </si>
  <si>
    <t>Business license taxes are no longer recorded in Total Property Taxes and are separately shown in FERC Form 1; Page 262-263; Line 14; Col. l.</t>
  </si>
  <si>
    <t>266-267; Footnote Data (a)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</si>
  <si>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</si>
  <si>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</si>
  <si>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</si>
  <si>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</si>
  <si>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</si>
  <si>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</si>
  <si>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</si>
  <si>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</si>
  <si>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</si>
  <si>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</si>
  <si>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</si>
  <si>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</si>
  <si>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</si>
  <si>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</si>
  <si>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</si>
  <si>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the applicable data field will be filled.</t>
  </si>
  <si>
    <t xml:space="preserve">None of the above items apply to SDG&amp;E's Appendix XII Cycle 6 filing. However, as one or more of these items apply, subject to FERC approval,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</si>
  <si>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</si>
  <si>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2022 Form 1; Page 356; Accts 303 to 398</t>
  </si>
  <si>
    <t>2022 Form 1; Page 356; Electric</t>
  </si>
  <si>
    <t>There is no balance in FERC Form 1 Page 214 in 2022.</t>
  </si>
  <si>
    <t xml:space="preserve">2022 Form 1; Page 234; Footnote Data (c) </t>
  </si>
  <si>
    <t>2022 Form 1; Page 276-277; Footnote Data (a)</t>
  </si>
  <si>
    <t>2022 Form 1; Page 274-275; Footnote Data (a)</t>
  </si>
  <si>
    <t xml:space="preserve">2022 Form 1; Page 234; Footnote Data (d) </t>
  </si>
  <si>
    <t>2022 Form 1; Page 276-277; Footnote Data (b)</t>
  </si>
  <si>
    <t>2022 Form 1; Page 274-275; Footnote Data (b)</t>
  </si>
  <si>
    <t>Rate Effective Period January 1, 2022 to December 31, 2022</t>
  </si>
  <si>
    <t>Form 1; Page 356; Accts 303 to 398; BOY</t>
  </si>
  <si>
    <t>Form 1; Page 356; Accts 303 to 398; EOY</t>
  </si>
  <si>
    <t>Form 1; Page 356; Electric</t>
  </si>
  <si>
    <t xml:space="preserve">2022 Form 1; Page 274-275; Footnote Data (b) </t>
  </si>
  <si>
    <t>262-263; Footnote Data (b)</t>
  </si>
  <si>
    <t>Payroll tax expense excludes Citizens payroll taxes as shown in FERC Form 1; Page 262-263; Footnote Data (b).</t>
  </si>
  <si>
    <t>262-263; Footnote Data (c)</t>
  </si>
  <si>
    <t>Property tax expense excludes Citizens property taxes as shown in FERC Form 1; Page 262-263; Footnote Data (c).</t>
  </si>
  <si>
    <t>227; Footnote Data (a)</t>
  </si>
  <si>
    <t>110-111; Footnote Data (c)</t>
  </si>
  <si>
    <t>Form 1; Page 227; Footnote Data (a)</t>
  </si>
  <si>
    <t>Form 1; Page 110-111; Footnote Data (c)</t>
  </si>
  <si>
    <r>
      <t xml:space="preserve">Other Exclusion - FERC Audit Adjustments (Finding #7) </t>
    </r>
    <r>
      <rPr>
        <vertAlign val="superscript"/>
        <sz val="12"/>
        <rFont val="Times New Roman"/>
        <family val="1"/>
      </rPr>
      <t>2</t>
    </r>
  </si>
  <si>
    <r>
      <t xml:space="preserve">Other Exclusion - FERC Audit Adjustments (Finding #3) </t>
    </r>
    <r>
      <rPr>
        <vertAlign val="superscript"/>
        <sz val="12"/>
        <rFont val="Times New Roman"/>
        <family val="1"/>
      </rPr>
      <t>3</t>
    </r>
  </si>
  <si>
    <r>
      <t xml:space="preserve">Other Exclusion - FERC Audit Adjustments (Finding #3) -  True-up </t>
    </r>
    <r>
      <rPr>
        <vertAlign val="superscript"/>
        <sz val="12"/>
        <rFont val="Times New Roman"/>
        <family val="1"/>
      </rPr>
      <t>4</t>
    </r>
  </si>
  <si>
    <t xml:space="preserve">Represents FERC Audit adjusting entry on Finding #7 - accounting for donations &amp; lobbying expenses related to prior year A&amp;G costs that were missed and </t>
  </si>
  <si>
    <t xml:space="preserve">credited in 2022 resulting from the 2020 FERC Audit are excluded from TO5 Cycle 6. The impact of FERC audit adjustments and corresponding refunds will be </t>
  </si>
  <si>
    <t>accounted for in a separate FERC Audit refund analysis filed with FERC.</t>
  </si>
  <si>
    <t xml:space="preserve">Represents FERC Audit adjusting entry on Finding #3 - allocation of OH costs to CWIP approved by FERC audit staff was debited to A&amp;G costs in 2022 are </t>
  </si>
  <si>
    <t>excluded from TO5 Cycle 6. The impact of FERC audit adjustments and corresponding refunds will be accounted for in a separate FERC Audit refund analysis</t>
  </si>
  <si>
    <t xml:space="preserve"> filed with FERC.</t>
  </si>
  <si>
    <t xml:space="preserve">Represents reversal of prior exclusions on Finding #3 originally reported in TO5 Cycle 4 at $6,031K and in TO5 Cycle 5 at $9,501K for a total of $15,532K to FE923. </t>
  </si>
  <si>
    <t xml:space="preserve">The actual approved amount as shown in footnote 3 is $14,790K. The impact of FERC audit adjustments and corresponding refunds will be accounted for in a </t>
  </si>
  <si>
    <t>separate FERC Audit refund analysis filed with FERC.</t>
  </si>
  <si>
    <t>Not Applicable to 2022 Base Period</t>
  </si>
  <si>
    <t>Negative of AH-3; Line 37; Col. a</t>
  </si>
  <si>
    <t>√</t>
  </si>
  <si>
    <t>Items in BOLD have changed due to FERC audit adj. in response to SDG&amp;E's audit report dated July 30, 2020 compared to Appendix XII Cycle 5 filing per ER23-110.</t>
  </si>
  <si>
    <t>was booked in 2022.</t>
  </si>
  <si>
    <t xml:space="preserve">The Dec 2021 transmission plant beginning balance above is different from the 2021 FERC Audit Adjustment ending balance because the adjusting entry to correct prior periods for Finding #3 </t>
  </si>
  <si>
    <t>Negative of AH-3; Line 39; Col. a</t>
  </si>
  <si>
    <t>Negative of AH-3; Sum Lines (29, 35); Col. a; and Line 31; Col. b</t>
  </si>
  <si>
    <t>Negative of AH-3; Line 36; Col. a</t>
  </si>
  <si>
    <t>Negative of AH-3; Line 33; Col. a</t>
  </si>
  <si>
    <t>Negative of AH-3; Line 38; Col. b</t>
  </si>
  <si>
    <t>Negative of AH-3; Line 32; Col. b</t>
  </si>
  <si>
    <t>Negative of AH-3; Line 41; Col. b</t>
  </si>
  <si>
    <t xml:space="preserve">Negative of AH-3; Line 34; Col. a   </t>
  </si>
  <si>
    <t xml:space="preserve">Negative of AH-3; Sum Lines (30, 40); Col. a; and Sum Lines (25, 26, 28); Col.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</si>
</sst>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_(* #,##0.0_);_(* \(#,##0.0\);_(* &quot;-&quot;??_);_(@_)"/>
    <numFmt numFmtId="169" formatCode="0.0"/>
    <numFmt numFmtId="170" formatCode="_(* #,##0.000_);_(* \(#,##0.000\);_(* &quot;-&quot;??_);_(@_)"/>
    <numFmt numFmtId="171" formatCode="mmmm\-yy"/>
    <numFmt numFmtId="172" formatCode="_(&quot;$&quot;* #,##0.0_);_(&quot;$&quot;* \(#,##0.0\);_(&quot;$&quot;* &quot;-&quot;??_);_(@_)"/>
    <numFmt numFmtId="173" formatCode="#,##0.0_);\(#,##0.0\)"/>
    <numFmt numFmtId="174" formatCode="#,##0\ \ \ \ \ \ \ "/>
    <numFmt numFmtId="175" formatCode="0.000000"/>
    <numFmt numFmtId="176" formatCode="00000"/>
    <numFmt numFmtId="177" formatCode="General_)"/>
    <numFmt numFmtId="178" formatCode="000"/>
    <numFmt numFmtId="179" formatCode="0000"/>
    <numFmt numFmtId="180" formatCode="mm\-dd\-yy"/>
    <numFmt numFmtId="181" formatCode="_(&quot;$&quot;* #,##0.000_);_(&quot;$&quot;* \(#,##0.000\);_(&quot;$&quot;* &quot;-&quot;??_);_(@_)"/>
    <numFmt numFmtId="182" formatCode="0_);\(0\)"/>
    <numFmt numFmtId="183" formatCode="0.00000%"/>
    <numFmt numFmtId="184" formatCode="&quot;$&quot;#,##0"/>
    <numFmt numFmtId="185" formatCode="&quot;Pr:&quot;\ #,##0"/>
    <numFmt numFmtId="186" formatCode="#,##0.0_);[Red]\(#,##0.0\)"/>
    <numFmt numFmtId="187" formatCode="#,##0_%_);\(#,##0\)_%;#,##0_%_);@_%_)"/>
    <numFmt numFmtId="188" formatCode="#,##0.00_%_);\(#,##0.00\)_%;#,##0.00_%_);@_%_)"/>
    <numFmt numFmtId="189" formatCode="&quot;$&quot;#,##0_%_);\(&quot;$&quot;#,##0\)_%;&quot;$&quot;#,##0_%_);@_%_)"/>
    <numFmt numFmtId="190" formatCode="&quot;$&quot;#,##0.00_%_);\(&quot;$&quot;#,##0.00\)_%;&quot;$&quot;#,##0.00_%_);@_%_)"/>
    <numFmt numFmtId="191" formatCode="m/d/yy_%_)"/>
    <numFmt numFmtId="192" formatCode="#,##0&quot; F&quot;_);\(#,##0&quot; F&quot;\)"/>
    <numFmt numFmtId="193" formatCode="_-* #,##0_-;\-* #,##0_-;_-* &quot;-&quot;_-;_-@_-"/>
    <numFmt numFmtId="194" formatCode="_-* #,##0.00_-;\-* #,##0.00_-;_-* &quot;-&quot;??_-;_-@_-"/>
    <numFmt numFmtId="195" formatCode="0_%_);\(0\)_%;0_%_);@_%_)"/>
    <numFmt numFmtId="196" formatCode="_([$€-2]* #,##0.00_);_([$€-2]* \(#,##0.00\);_([$€-2]* &quot;-&quot;??_)"/>
    <numFmt numFmtId="197" formatCode="#,##0.0000000000_);\(#,##0.0000000000\)"/>
    <numFmt numFmtId="198" formatCode="0.0\%_);\(0.0\%\);0.0\%_);@_%_)"/>
    <numFmt numFmtId="199" formatCode="#,##0.0;\(#,##0.0\)"/>
    <numFmt numFmtId="200" formatCode="\ #,##0\ &quot;m³ &quot;;[Red]\-#,##0\ &quot;m³ &quot;"/>
    <numFmt numFmtId="201" formatCode="0.0\x_)_);&quot;NM&quot;_x_)_);0.0\x_)_);@_%_)"/>
    <numFmt numFmtId="202" formatCode="0.00_)"/>
    <numFmt numFmtId="203" formatCode="&quot;$&quot;#,##0.0_);\(&quot;$&quot;#,##0.0\)"/>
    <numFmt numFmtId="204" formatCode="&quot;yr &quot;0"/>
    <numFmt numFmtId="205" formatCode="&quot;Momth &quot;0"/>
    <numFmt numFmtId="206" formatCode="&quot;£&quot;#,##0.00;\-&quot;£&quot;#,##0.00"/>
    <numFmt numFmtId="207" formatCode="0.0%"/>
    <numFmt numFmtId="208" formatCode="_(&quot;$&quot;* #,##0_);_(&quot;$&quot;* \(#,##0\)"/>
    <numFmt numFmtId="209" formatCode="_(* #,##0.000000_);_(* \(#,##0.000000\);_(* &quot;-&quot;??????_);_(@_)"/>
    <numFmt numFmtId="210" formatCode="0\ \ "/>
    <numFmt numFmtId="211" formatCode="_(&quot;$&quot;* #,##0.00000_);_(&quot;$&quot;* \(#,##0.00000\);_(&quot;$&quot;* &quot;-&quot;??_);_(@_)"/>
    <numFmt numFmtId="212" formatCode="0.000%"/>
    <numFmt numFmtId="213" formatCode="_(&quot;$&quot;* #,##0,_);_(&quot;$&quot;* \(#,##0,\);_(&quot;$&quot;* &quot;-&quot;??_);_(@_)"/>
    <numFmt numFmtId="214" formatCode="&quot;$&quot;#,##0,_);[Red]\(&quot;$&quot;#,##0,\)"/>
    <numFmt numFmtId="215" formatCode="_(* #,##0.0000_);_(* \(#,##0.0000\);_(* &quot;-&quot;??_);_(@_)"/>
    <numFmt numFmtId="216" formatCode="_(&quot;$&quot;* #,##0.0000000_);_(&quot;$&quot;* \(#,##0.0000000\);_(&quot;$&quot;* &quot;-&quot;??_);_(@_)"/>
    <numFmt numFmtId="217" formatCode="_(* #,##0.0000_);_(* \(#,##0.0000\);_(* &quot;-&quot;_);_(@_)"/>
  </numFmts>
  <fonts count="17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b/>
      <sz val="12"/>
      <color rgb="FFFF00FF"/>
      <name val="Times New Roman"/>
      <family val="1"/>
    </font>
    <font>
      <sz val="11"/>
      <name val="Calibri"/>
      <family val="2"/>
      <scheme val="minor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12"/>
      <color rgb="FF222222"/>
      <name val="Times New Roman"/>
      <family val="1"/>
    </font>
    <font>
      <u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sz val="10"/>
      <name val="Arial"/>
      <family val="2"/>
    </font>
    <font>
      <b/>
      <strike/>
      <vertAlign val="superscript"/>
      <sz val="12"/>
      <color rgb="FFFF0000"/>
      <name val="Times New Roman"/>
      <family val="1"/>
    </font>
    <font>
      <b/>
      <sz val="12"/>
      <name val="Calibri"/>
      <family val="2"/>
    </font>
    <font>
      <sz val="11"/>
      <color rgb="FFFF0000"/>
      <name val="Calibri"/>
      <family val="2"/>
      <scheme val="minor"/>
    </font>
  </fonts>
  <fills count="1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810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43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3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177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40" fillId="56" borderId="21" applyNumberFormat="0" applyProtection="0">
      <alignment vertical="center"/>
    </xf>
    <xf numFmtId="4" fontId="38" fillId="56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1" fillId="59" borderId="21" applyNumberFormat="0" applyProtection="0">
      <alignment vertical="center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0" fillId="62" borderId="21" applyNumberFormat="0" applyProtection="0">
      <alignment vertical="center"/>
    </xf>
    <xf numFmtId="4" fontId="38" fillId="63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1" fillId="56" borderId="21" applyNumberFormat="0" applyProtection="0">
      <alignment vertical="center"/>
    </xf>
    <xf numFmtId="4" fontId="36" fillId="65" borderId="22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2" fillId="67" borderId="21" applyNumberFormat="0" applyProtection="0">
      <alignment horizontal="left" vertical="center" indent="1"/>
    </xf>
    <xf numFmtId="4" fontId="43" fillId="66" borderId="0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15" fillId="71" borderId="24" applyBorder="0"/>
    <xf numFmtId="4" fontId="38" fillId="69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5" fillId="67" borderId="21" applyNumberFormat="0" applyProtection="0">
      <alignment vertical="center"/>
    </xf>
    <xf numFmtId="4" fontId="46" fillId="67" borderId="21" applyNumberFormat="0" applyProtection="0">
      <alignment vertical="center"/>
    </xf>
    <xf numFmtId="4" fontId="47" fillId="72" borderId="21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0" fontId="25" fillId="73" borderId="26"/>
    <xf numFmtId="4" fontId="49" fillId="69" borderId="20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/>
    <xf numFmtId="0" fontId="52" fillId="0" borderId="27" applyNumberFormat="0" applyFill="0" applyProtection="0">
      <alignment horizontal="center"/>
    </xf>
    <xf numFmtId="0" fontId="53" fillId="0" borderId="0" applyNumberFormat="0" applyFill="0" applyBorder="0" applyProtection="0">
      <alignment horizontal="centerContinuous"/>
    </xf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6" borderId="0" applyNumberFormat="0" applyBorder="0" applyAlignment="0" applyProtection="0"/>
    <xf numFmtId="0" fontId="60" fillId="79" borderId="28" applyNumberFormat="0" applyAlignment="0" applyProtection="0"/>
    <xf numFmtId="0" fontId="60" fillId="79" borderId="28" applyNumberFormat="0" applyAlignment="0" applyProtection="0"/>
    <xf numFmtId="0" fontId="61" fillId="9" borderId="14" applyNumberFormat="0" applyAlignment="0" applyProtection="0"/>
    <xf numFmtId="0" fontId="62" fillId="77" borderId="29" applyNumberFormat="0" applyAlignment="0" applyProtection="0"/>
    <xf numFmtId="0" fontId="62" fillId="77" borderId="29" applyNumberFormat="0" applyAlignment="0" applyProtection="0"/>
    <xf numFmtId="0" fontId="63" fillId="10" borderId="17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64" fillId="0" borderId="0" applyFont="0">
      <alignment horizontal="center"/>
    </xf>
    <xf numFmtId="0" fontId="65" fillId="0" borderId="0" applyNumberFormat="0" applyFill="0" applyBorder="0" applyAlignment="0" applyProtection="0"/>
    <xf numFmtId="1" fontId="54" fillId="0" borderId="0" applyFo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8" fillId="0" borderId="1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70" fillId="0" borderId="1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28" applyNumberFormat="0" applyAlignment="0" applyProtection="0"/>
    <xf numFmtId="0" fontId="73" fillId="49" borderId="28" applyNumberFormat="0" applyAlignment="0" applyProtection="0"/>
    <xf numFmtId="0" fontId="74" fillId="8" borderId="14" applyNumberFormat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16" applyNumberFormat="0" applyFill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0" fontId="25" fillId="80" borderId="0"/>
    <xf numFmtId="0" fontId="79" fillId="0" borderId="0"/>
    <xf numFmtId="0" fontId="25" fillId="80" borderId="0"/>
    <xf numFmtId="0" fontId="25" fillId="80" borderId="0"/>
    <xf numFmtId="0" fontId="4" fillId="0" borderId="0"/>
    <xf numFmtId="0" fontId="55" fillId="0" borderId="0"/>
    <xf numFmtId="0" fontId="79" fillId="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1" fillId="79" borderId="34" applyNumberFormat="0" applyAlignment="0" applyProtection="0"/>
    <xf numFmtId="0" fontId="81" fillId="79" borderId="34" applyNumberFormat="0" applyAlignment="0" applyProtection="0"/>
    <xf numFmtId="0" fontId="82" fillId="9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9">
      <alignment horizontal="center"/>
    </xf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4" fontId="36" fillId="54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34" applyNumberFormat="0" applyProtection="0">
      <alignment vertical="center"/>
    </xf>
    <xf numFmtId="4" fontId="86" fillId="54" borderId="28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65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66" borderId="0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86" fillId="72" borderId="26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9" fillId="0" borderId="0"/>
    <xf numFmtId="4" fontId="90" fillId="109" borderId="35" applyNumberFormat="0" applyProtection="0">
      <alignment horizontal="left" vertical="center" indent="1"/>
    </xf>
    <xf numFmtId="0" fontId="89" fillId="0" borderId="0"/>
    <xf numFmtId="0" fontId="89" fillId="0" borderId="0"/>
    <xf numFmtId="4" fontId="48" fillId="68" borderId="25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4" fontId="91" fillId="100" borderId="34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93" fillId="110" borderId="0"/>
    <xf numFmtId="49" fontId="94" fillId="110" borderId="0"/>
    <xf numFmtId="49" fontId="95" fillId="110" borderId="37"/>
    <xf numFmtId="49" fontId="95" fillId="110" borderId="0"/>
    <xf numFmtId="0" fontId="93" fillId="67" borderId="37">
      <protection locked="0"/>
    </xf>
    <xf numFmtId="0" fontId="93" fillId="110" borderId="0"/>
    <xf numFmtId="0" fontId="96" fillId="61" borderId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9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0" borderId="0"/>
    <xf numFmtId="0" fontId="4" fillId="0" borderId="0"/>
    <xf numFmtId="0" fontId="8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177" fontId="34" fillId="0" borderId="0"/>
    <xf numFmtId="177" fontId="34" fillId="0" borderId="0"/>
    <xf numFmtId="0" fontId="99" fillId="6" borderId="0" applyNumberFormat="0" applyBorder="0" applyAlignment="0" applyProtection="0"/>
    <xf numFmtId="0" fontId="59" fillId="6" borderId="0" applyNumberFormat="0" applyBorder="0" applyAlignment="0" applyProtection="0"/>
    <xf numFmtId="0" fontId="100" fillId="9" borderId="14" applyNumberFormat="0" applyAlignment="0" applyProtection="0"/>
    <xf numFmtId="0" fontId="61" fillId="9" borderId="14" applyNumberFormat="0" applyAlignment="0" applyProtection="0"/>
    <xf numFmtId="0" fontId="101" fillId="10" borderId="17" applyNumberFormat="0" applyAlignment="0" applyProtection="0"/>
    <xf numFmtId="0" fontId="63" fillId="10" borderId="17" applyNumberFormat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32" fillId="43" borderId="0" applyNumberFormat="0" applyBorder="0" applyAlignment="0" applyProtection="0"/>
    <xf numFmtId="0" fontId="103" fillId="0" borderId="11" applyNumberFormat="0" applyFill="0" applyAlignment="0" applyProtection="0"/>
    <xf numFmtId="0" fontId="68" fillId="0" borderId="11" applyNumberFormat="0" applyFill="0" applyAlignment="0" applyProtection="0"/>
    <xf numFmtId="0" fontId="104" fillId="0" borderId="12" applyNumberFormat="0" applyFill="0" applyAlignment="0" applyProtection="0"/>
    <xf numFmtId="0" fontId="70" fillId="0" borderId="12" applyNumberFormat="0" applyFill="0" applyAlignment="0" applyProtection="0"/>
    <xf numFmtId="0" fontId="105" fillId="0" borderId="13" applyNumberFormat="0" applyFill="0" applyAlignment="0" applyProtection="0"/>
    <xf numFmtId="0" fontId="72" fillId="0" borderId="13" applyNumberFormat="0" applyFill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8" borderId="14" applyNumberFormat="0" applyAlignment="0" applyProtection="0"/>
    <xf numFmtId="0" fontId="74" fillId="8" borderId="14" applyNumberFormat="0" applyAlignment="0" applyProtection="0"/>
    <xf numFmtId="0" fontId="107" fillId="0" borderId="16" applyNumberFormat="0" applyFill="0" applyAlignment="0" applyProtection="0"/>
    <xf numFmtId="0" fontId="76" fillId="0" borderId="16" applyNumberFormat="0" applyFill="0" applyAlignment="0" applyProtection="0"/>
    <xf numFmtId="0" fontId="108" fillId="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0" fontId="75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25" fillId="8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5" fillId="80" borderId="0"/>
    <xf numFmtId="0" fontId="25" fillId="8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110" fillId="9" borderId="15" applyNumberFormat="0" applyAlignment="0" applyProtection="0"/>
    <xf numFmtId="0" fontId="82" fillId="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0" fontId="25" fillId="70" borderId="23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4" fontId="88" fillId="108" borderId="20" applyNumberFormat="0" applyProtection="0">
      <alignment vertical="center"/>
    </xf>
    <xf numFmtId="4" fontId="86" fillId="72" borderId="26" applyNumberFormat="0" applyProtection="0">
      <alignment vertical="center"/>
    </xf>
    <xf numFmtId="4" fontId="88" fillId="104" borderId="20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4" fontId="92" fillId="70" borderId="2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12" fillId="0" borderId="19" applyNumberFormat="0" applyFill="0" applyAlignment="0" applyProtection="0"/>
    <xf numFmtId="0" fontId="97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54" borderId="20" applyNumberFormat="0" applyProtection="0">
      <alignment horizontal="left" vertical="top" indent="1"/>
    </xf>
    <xf numFmtId="0" fontId="62" fillId="77" borderId="40" applyNumberFormat="0" applyAlignment="0" applyProtection="0"/>
    <xf numFmtId="0" fontId="62" fillId="77" borderId="4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4" fillId="0" borderId="39">
      <alignment horizont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116" fillId="54" borderId="20" applyNumberFormat="0" applyProtection="0">
      <alignment vertical="center"/>
    </xf>
    <xf numFmtId="44" fontId="4" fillId="0" borderId="0" applyFont="0" applyFill="0" applyBorder="0" applyAlignment="0" applyProtection="0"/>
    <xf numFmtId="4" fontId="91" fillId="101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68" borderId="20" applyNumberFormat="0" applyProtection="0">
      <alignment horizontal="left" vertical="top" indent="1"/>
    </xf>
    <xf numFmtId="0" fontId="55" fillId="11" borderId="18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66" borderId="2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9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5" fillId="72" borderId="20" applyNumberFormat="0" applyProtection="0">
      <alignment vertical="center"/>
    </xf>
    <xf numFmtId="4" fontId="48" fillId="109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3" fontId="4" fillId="0" borderId="0" applyFont="0" applyFill="0" applyBorder="0" applyAlignment="0" applyProtection="0"/>
    <xf numFmtId="0" fontId="4" fillId="0" borderId="0"/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6" fontId="4" fillId="0" borderId="0">
      <protection locked="0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55"/>
    <xf numFmtId="0" fontId="4" fillId="69" borderId="77" applyNumberFormat="0" applyProtection="0">
      <alignment horizontal="left" vertical="top" indent="1"/>
    </xf>
    <xf numFmtId="0" fontId="114" fillId="0" borderId="0"/>
    <xf numFmtId="41" fontId="2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177" fontId="118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6" borderId="0" applyNumberFormat="0" applyBorder="0" applyAlignment="0" applyProtection="0"/>
    <xf numFmtId="0" fontId="43" fillId="116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119" fillId="117" borderId="0" applyNumberFormat="0" applyBorder="0" applyAlignment="0" applyProtection="0"/>
    <xf numFmtId="0" fontId="119" fillId="117" borderId="0" applyNumberFormat="0" applyBorder="0" applyAlignment="0" applyProtection="0"/>
    <xf numFmtId="0" fontId="119" fillId="87" borderId="0" applyNumberFormat="0" applyBorder="0" applyAlignment="0" applyProtection="0"/>
    <xf numFmtId="0" fontId="119" fillId="87" borderId="0" applyNumberFormat="0" applyBorder="0" applyAlignment="0" applyProtection="0"/>
    <xf numFmtId="0" fontId="119" fillId="96" borderId="0" applyNumberFormat="0" applyBorder="0" applyAlignment="0" applyProtection="0"/>
    <xf numFmtId="0" fontId="119" fillId="96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119" borderId="0" applyNumberFormat="0" applyBorder="0" applyAlignment="0" applyProtection="0"/>
    <xf numFmtId="0" fontId="119" fillId="119" borderId="0" applyNumberFormat="0" applyBorder="0" applyAlignment="0" applyProtection="0"/>
    <xf numFmtId="0" fontId="119" fillId="88" borderId="0" applyNumberFormat="0" applyBorder="0" applyAlignment="0" applyProtection="0"/>
    <xf numFmtId="0" fontId="119" fillId="88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2" borderId="0" applyNumberFormat="0" applyBorder="0" applyAlignment="0" applyProtection="0"/>
    <xf numFmtId="0" fontId="119" fillId="92" borderId="0" applyNumberFormat="0" applyBorder="0" applyAlignment="0" applyProtection="0"/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0" fontId="120" fillId="85" borderId="0" applyNumberFormat="0" applyBorder="0" applyAlignment="0" applyProtection="0"/>
    <xf numFmtId="0" fontId="120" fillId="85" borderId="0" applyNumberFormat="0" applyBorder="0" applyAlignment="0" applyProtection="0"/>
    <xf numFmtId="3" fontId="121" fillId="0" borderId="0" applyFill="0" applyBorder="0" applyProtection="0">
      <alignment horizontal="right"/>
    </xf>
    <xf numFmtId="186" fontId="122" fillId="0" borderId="0" applyNumberFormat="0" applyFill="0" applyBorder="0" applyAlignment="0" applyProtection="0">
      <alignment horizontal="center"/>
      <protection locked="0"/>
    </xf>
    <xf numFmtId="0" fontId="123" fillId="0" borderId="44" applyFill="0" applyProtection="0">
      <alignment horizontal="right"/>
    </xf>
    <xf numFmtId="0" fontId="124" fillId="104" borderId="60" applyNumberFormat="0" applyAlignment="0" applyProtection="0"/>
    <xf numFmtId="0" fontId="124" fillId="104" borderId="60" applyNumberFormat="0" applyAlignment="0" applyProtection="0"/>
    <xf numFmtId="8" fontId="4" fillId="0" borderId="43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15" fillId="0" borderId="46">
      <alignment horizontal="center"/>
    </xf>
    <xf numFmtId="187" fontId="126" fillId="0" borderId="0" applyFont="0" applyFill="0" applyBorder="0" applyAlignment="0" applyProtection="0">
      <alignment horizontal="right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3" fontId="32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" fontId="91" fillId="101" borderId="77" applyNumberFormat="0" applyProtection="0">
      <alignment horizontal="right"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1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0" fontId="4" fillId="0" borderId="0" applyFont="0" applyFill="0" applyBorder="0" applyProtection="0">
      <alignment horizontal="right"/>
    </xf>
    <xf numFmtId="3" fontId="4" fillId="0" borderId="0" applyFont="0" applyFill="0" applyBorder="0" applyAlignment="0" applyProtection="0"/>
    <xf numFmtId="189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6" fontId="4" fillId="0" borderId="0">
      <protection locked="0"/>
    </xf>
    <xf numFmtId="15" fontId="15" fillId="0" borderId="0" applyFill="0" applyBorder="0" applyAlignment="0" applyProtection="0"/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191" fontId="126" fillId="0" borderId="0" applyFont="0" applyFill="0" applyBorder="0" applyAlignment="0" applyProtection="0"/>
    <xf numFmtId="192" fontId="4" fillId="0" borderId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126" fillId="0" borderId="61" applyNumberFormat="0" applyFont="0" applyFill="0" applyAlignment="0" applyProtection="0"/>
    <xf numFmtId="196" fontId="4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9" fontId="83" fillId="0" borderId="0"/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Fill="0" applyBorder="0" applyProtection="0">
      <alignment horizontal="left"/>
    </xf>
    <xf numFmtId="37" fontId="25" fillId="0" borderId="0"/>
    <xf numFmtId="0" fontId="131" fillId="113" borderId="0" applyNumberFormat="0" applyBorder="0" applyAlignment="0" applyProtection="0"/>
    <xf numFmtId="0" fontId="131" fillId="113" borderId="0" applyNumberFormat="0" applyBorder="0" applyAlignment="0" applyProtection="0"/>
    <xf numFmtId="38" fontId="25" fillId="4" borderId="0" applyNumberFormat="0" applyBorder="0" applyAlignment="0" applyProtection="0"/>
    <xf numFmtId="198" fontId="126" fillId="0" borderId="0" applyFont="0" applyFill="0" applyBorder="0" applyAlignment="0" applyProtection="0">
      <alignment horizontal="right"/>
    </xf>
    <xf numFmtId="0" fontId="132" fillId="0" borderId="0" applyNumberFormat="0" applyFill="0" applyBorder="0" applyAlignment="0" applyProtection="0"/>
    <xf numFmtId="0" fontId="22" fillId="0" borderId="0" applyFill="0" applyBorder="0" applyProtection="0">
      <alignment horizontal="right"/>
    </xf>
    <xf numFmtId="0" fontId="133" fillId="0" borderId="62" applyNumberFormat="0" applyFill="0" applyAlignment="0" applyProtection="0"/>
    <xf numFmtId="0" fontId="133" fillId="0" borderId="62" applyNumberFormat="0" applyFill="0" applyAlignment="0" applyProtection="0"/>
    <xf numFmtId="0" fontId="134" fillId="0" borderId="63" applyNumberFormat="0" applyFill="0" applyAlignment="0" applyProtection="0"/>
    <xf numFmtId="0" fontId="134" fillId="0" borderId="63" applyNumberFormat="0" applyFill="0" applyAlignment="0" applyProtection="0"/>
    <xf numFmtId="0" fontId="45" fillId="0" borderId="64" applyNumberFormat="0" applyFill="0" applyAlignment="0" applyProtection="0"/>
    <xf numFmtId="0" fontId="45" fillId="0" borderId="6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23" fillId="0" borderId="65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9" fontId="137" fillId="0" borderId="0"/>
    <xf numFmtId="10" fontId="25" fillId="72" borderId="55" applyNumberFormat="0" applyBorder="0" applyAlignment="0" applyProtection="0"/>
    <xf numFmtId="0" fontId="138" fillId="116" borderId="60" applyNumberFormat="0" applyAlignment="0" applyProtection="0"/>
    <xf numFmtId="0" fontId="138" fillId="116" borderId="60" applyNumberFormat="0" applyAlignment="0" applyProtection="0"/>
    <xf numFmtId="10" fontId="25" fillId="72" borderId="0">
      <protection locked="0"/>
    </xf>
    <xf numFmtId="0" fontId="139" fillId="0" borderId="66">
      <alignment horizontal="right"/>
    </xf>
    <xf numFmtId="0" fontId="139" fillId="0" borderId="66">
      <alignment horizontal="left"/>
    </xf>
    <xf numFmtId="0" fontId="140" fillId="0" borderId="67" applyNumberFormat="0" applyFill="0" applyAlignment="0" applyProtection="0"/>
    <xf numFmtId="0" fontId="140" fillId="0" borderId="67" applyNumberFormat="0" applyFill="0" applyAlignment="0" applyProtection="0"/>
    <xf numFmtId="186" fontId="25" fillId="0" borderId="0" applyNumberFormat="0" applyFont="0" applyFill="0" applyBorder="0" applyAlignment="0">
      <protection hidden="1"/>
    </xf>
    <xf numFmtId="200" fontId="127" fillId="0" borderId="45">
      <alignment horizontal="right"/>
    </xf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26" fillId="0" borderId="0" applyFont="0" applyFill="0" applyBorder="0" applyAlignment="0" applyProtection="0">
      <alignment horizontal="right"/>
    </xf>
    <xf numFmtId="0" fontId="141" fillId="82" borderId="0" applyNumberFormat="0" applyBorder="0" applyAlignment="0" applyProtection="0"/>
    <xf numFmtId="0" fontId="141" fillId="82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199" fontId="14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75" fontId="25" fillId="0" borderId="0">
      <alignment horizontal="left" wrapText="1"/>
    </xf>
    <xf numFmtId="175" fontId="4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2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32" fillId="0" borderId="0"/>
    <xf numFmtId="175" fontId="25" fillId="0" borderId="0">
      <alignment horizontal="left" wrapText="1"/>
    </xf>
    <xf numFmtId="0" fontId="32" fillId="0" borderId="0"/>
    <xf numFmtId="37" fontId="118" fillId="0" borderId="0"/>
    <xf numFmtId="37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86" fontId="15" fillId="0" borderId="0" applyNumberFormat="0" applyFill="0" applyBorder="0" applyAlignment="0" applyProtection="0"/>
    <xf numFmtId="0" fontId="32" fillId="11" borderId="18" applyNumberFormat="0" applyFont="0" applyAlignment="0" applyProtection="0"/>
    <xf numFmtId="0" fontId="43" fillId="108" borderId="68" applyNumberFormat="0" applyFont="0" applyAlignment="0" applyProtection="0"/>
    <xf numFmtId="0" fontId="43" fillId="108" borderId="68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1" fontId="144" fillId="0" borderId="0" applyProtection="0">
      <alignment horizontal="right"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93" fontId="83" fillId="0" borderId="0" applyFont="0" applyFill="0" applyBorder="0" applyProtection="0">
      <alignment horizontal="right"/>
    </xf>
    <xf numFmtId="0" fontId="4" fillId="0" borderId="0">
      <protection locked="0"/>
    </xf>
    <xf numFmtId="0" fontId="26" fillId="0" borderId="0">
      <protection locked="0"/>
    </xf>
    <xf numFmtId="0" fontId="4" fillId="0" borderId="0">
      <protection locked="0"/>
    </xf>
    <xf numFmtId="0" fontId="7" fillId="0" borderId="0">
      <protection locked="0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0" fontId="83" fillId="81" borderId="0" applyNumberFormat="0" applyFont="0" applyBorder="0" applyAlignment="0" applyProtection="0"/>
    <xf numFmtId="203" fontId="145" fillId="0" borderId="0"/>
    <xf numFmtId="204" fontId="83" fillId="0" borderId="0" applyFont="0" applyFill="0" applyBorder="0" applyProtection="0">
      <alignment horizontal="right"/>
    </xf>
    <xf numFmtId="205" fontId="83" fillId="0" borderId="0" applyFont="0" applyFill="0" applyBorder="0" applyProtection="0">
      <alignment horizontal="right"/>
    </xf>
    <xf numFmtId="204" fontId="83" fillId="0" borderId="0" applyFont="0" applyFill="0" applyBorder="0" applyProtection="0">
      <alignment horizontal="right"/>
    </xf>
    <xf numFmtId="184" fontId="121" fillId="0" borderId="0" applyFill="0" applyBorder="0" applyProtection="0">
      <alignment horizontal="right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76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1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14" fillId="0" borderId="0" applyFill="0" applyBorder="0" applyProtection="0">
      <alignment horizontal="lef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3" fillId="121" borderId="69" applyNumberFormat="0" applyFont="0" applyAlignment="0" applyProtection="0"/>
    <xf numFmtId="0" fontId="4" fillId="122" borderId="0"/>
    <xf numFmtId="12" fontId="4" fillId="0" borderId="0" applyFont="0" applyFill="0" applyBorder="0" applyProtection="0">
      <alignment horizontal="right"/>
    </xf>
    <xf numFmtId="206" fontId="83" fillId="123" borderId="0" applyFont="0" applyFill="0" applyBorder="0" applyProtection="0">
      <alignment horizontal="right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3" fillId="0" borderId="0" applyNumberFormat="0" applyBorder="0" applyAlignment="0"/>
    <xf numFmtId="0" fontId="146" fillId="0" borderId="0" applyNumberFormat="0" applyBorder="0" applyAlignment="0"/>
    <xf numFmtId="0" fontId="147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0" fontId="148" fillId="0" borderId="0" applyBorder="0" applyProtection="0">
      <alignment vertical="center"/>
    </xf>
    <xf numFmtId="195" fontId="148" fillId="0" borderId="54" applyBorder="0" applyProtection="0">
      <alignment horizontal="right" vertical="center"/>
    </xf>
    <xf numFmtId="0" fontId="149" fillId="124" borderId="0" applyBorder="0" applyProtection="0">
      <alignment horizontal="centerContinuous" vertical="center"/>
    </xf>
    <xf numFmtId="0" fontId="149" fillId="125" borderId="54" applyBorder="0" applyProtection="0">
      <alignment horizontal="centerContinuous" vertical="center"/>
    </xf>
    <xf numFmtId="0" fontId="139" fillId="0" borderId="0">
      <alignment horizontal="left"/>
      <protection locked="0"/>
    </xf>
    <xf numFmtId="0" fontId="150" fillId="0" borderId="0" applyFill="0" applyBorder="0" applyProtection="0">
      <alignment horizontal="left"/>
    </xf>
    <xf numFmtId="0" fontId="130" fillId="0" borderId="47" applyFill="0" applyBorder="0" applyProtection="0">
      <alignment horizontal="left" vertical="top"/>
    </xf>
    <xf numFmtId="42" fontId="25" fillId="126" borderId="0" applyNumberFormat="0" applyFont="0" applyBorder="0" applyAlignment="0" applyProtection="0"/>
    <xf numFmtId="0" fontId="25" fillId="0" borderId="0"/>
    <xf numFmtId="0" fontId="151" fillId="0" borderId="0" applyFill="0" applyBorder="0" applyProtection="0">
      <alignment horizontal="left" vertical="top"/>
    </xf>
    <xf numFmtId="0" fontId="152" fillId="0" borderId="0" applyFill="0" applyBorder="0" applyAlignment="0" applyProtection="0"/>
    <xf numFmtId="0" fontId="39" fillId="0" borderId="70" applyNumberFormat="0" applyFill="0" applyAlignment="0" applyProtection="0"/>
    <xf numFmtId="0" fontId="39" fillId="0" borderId="70" applyNumberFormat="0" applyFill="0" applyAlignment="0" applyProtection="0"/>
    <xf numFmtId="3" fontId="127" fillId="0" borderId="42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207" fontId="83" fillId="0" borderId="0">
      <alignment horizontal="left"/>
      <protection locked="0"/>
    </xf>
    <xf numFmtId="186" fontId="153" fillId="0" borderId="0"/>
    <xf numFmtId="38" fontId="25" fillId="5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54" borderId="0" applyNumberFormat="0" applyBorder="0" applyAlignment="0" applyProtection="0"/>
    <xf numFmtId="3" fontId="154" fillId="0" borderId="65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9" fillId="0" borderId="66">
      <alignment horizontal="right"/>
    </xf>
    <xf numFmtId="37" fontId="25" fillId="0" borderId="0"/>
    <xf numFmtId="208" fontId="25" fillId="0" borderId="0"/>
    <xf numFmtId="37" fontId="25" fillId="0" borderId="0"/>
    <xf numFmtId="4" fontId="91" fillId="101" borderId="77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7" fontId="118" fillId="0" borderId="0"/>
    <xf numFmtId="0" fontId="155" fillId="0" borderId="0"/>
    <xf numFmtId="0" fontId="18" fillId="0" borderId="0"/>
    <xf numFmtId="37" fontId="118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8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1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6" fontId="4" fillId="0" borderId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39">
      <alignment horizontal="right"/>
    </xf>
    <xf numFmtId="0" fontId="139" fillId="0" borderId="3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3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6" fontId="4" fillId="0" borderId="0">
      <protection locked="0"/>
    </xf>
    <xf numFmtId="44" fontId="4" fillId="0" borderId="0" applyFont="0" applyFill="0" applyBorder="0" applyAlignment="0" applyProtection="0"/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4" fillId="0" borderId="0"/>
    <xf numFmtId="195" fontId="148" fillId="0" borderId="41" applyBorder="0" applyProtection="0">
      <alignment horizontal="right" vertical="center"/>
    </xf>
    <xf numFmtId="0" fontId="149" fillId="125" borderId="41" applyBorder="0" applyProtection="0">
      <alignment horizontal="centerContinuous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39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3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6" fillId="54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86" fillId="72" borderId="80" applyNumberFormat="0" applyProtection="0">
      <alignment vertical="center"/>
    </xf>
    <xf numFmtId="4" fontId="44" fillId="69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84" borderId="73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4" fillId="0" borderId="0"/>
    <xf numFmtId="43" fontId="24" fillId="0" borderId="0" applyFont="0" applyFill="0" applyBorder="0" applyAlignment="0" applyProtection="0"/>
    <xf numFmtId="4" fontId="39" fillId="82" borderId="77" applyNumberForma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" fontId="43" fillId="8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3" fillId="108" borderId="83" applyNumberFormat="0" applyFont="0" applyAlignment="0" applyProtection="0"/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" fillId="0" borderId="0"/>
    <xf numFmtId="0" fontId="2" fillId="0" borderId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6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0" fontId="125" fillId="120" borderId="53" applyNumberFormat="0" applyAlignment="0" applyProtection="0"/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2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15" fillId="71" borderId="78" applyBorder="0"/>
    <xf numFmtId="4" fontId="38" fillId="69" borderId="77" applyNumberFormat="0" applyProtection="0">
      <alignment vertical="center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9" fillId="99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0" fontId="84" fillId="0" borderId="9">
      <alignment horizont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73" borderId="80"/>
    <xf numFmtId="4" fontId="38" fillId="64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73" fillId="49" borderId="28" applyNumberFormat="0" applyAlignment="0" applyProtection="0"/>
    <xf numFmtId="0" fontId="73" fillId="49" borderId="28" applyNumberFormat="0" applyAlignment="0" applyProtection="0"/>
    <xf numFmtId="4" fontId="25" fillId="85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0" fontId="4" fillId="68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6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91" fillId="100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0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9" fontId="95" fillId="110" borderId="37"/>
    <xf numFmtId="4" fontId="92" fillId="70" borderId="28" applyNumberFormat="0" applyProtection="0">
      <alignment horizontal="right" vertical="center"/>
    </xf>
    <xf numFmtId="0" fontId="25" fillId="73" borderId="80"/>
    <xf numFmtId="0" fontId="25" fillId="73" borderId="80"/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5" fillId="71" borderId="78" applyBorder="0"/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35" fillId="0" borderId="38" applyNumberFormat="0" applyFill="0" applyAlignment="0" applyProtection="0"/>
    <xf numFmtId="4" fontId="91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3" borderId="80"/>
    <xf numFmtId="0" fontId="25" fillId="70" borderId="57" applyNumberFormat="0">
      <protection locked="0"/>
    </xf>
    <xf numFmtId="4" fontId="25" fillId="0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8" fillId="108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35" fillId="0" borderId="38" applyNumberFormat="0" applyFill="0" applyAlignment="0" applyProtection="0"/>
    <xf numFmtId="4" fontId="25" fillId="89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73" fillId="49" borderId="28" applyNumberFormat="0" applyAlignment="0" applyProtection="0"/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97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25" fillId="73" borderId="80"/>
    <xf numFmtId="0" fontId="25" fillId="101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43" fillId="10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" fillId="0" borderId="0"/>
    <xf numFmtId="0" fontId="4" fillId="0" borderId="0"/>
    <xf numFmtId="0" fontId="130" fillId="0" borderId="85" applyFill="0" applyBorder="0" applyProtection="0">
      <alignment horizontal="left" vertical="top"/>
    </xf>
    <xf numFmtId="0" fontId="56" fillId="32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/>
    <xf numFmtId="0" fontId="2" fillId="0" borderId="0"/>
    <xf numFmtId="0" fontId="25" fillId="80" borderId="0"/>
    <xf numFmtId="0" fontId="25" fillId="8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3" borderId="80"/>
    <xf numFmtId="43" fontId="4" fillId="0" borderId="0" applyFont="0" applyFill="0" applyBorder="0" applyAlignment="0" applyProtection="0"/>
    <xf numFmtId="0" fontId="4" fillId="0" borderId="0"/>
    <xf numFmtId="0" fontId="4" fillId="106" borderId="73" applyNumberFormat="0" applyProtection="0">
      <alignment horizontal="left" vertical="center" indent="1"/>
    </xf>
    <xf numFmtId="0" fontId="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77" borderId="53" applyNumberFormat="0" applyAlignment="0" applyProtection="0"/>
    <xf numFmtId="0" fontId="62" fillId="77" borderId="53" applyNumberFormat="0" applyAlignment="0" applyProtection="0"/>
    <xf numFmtId="44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5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25" fillId="73" borderId="80"/>
    <xf numFmtId="0" fontId="4" fillId="0" borderId="0"/>
    <xf numFmtId="0" fontId="25" fillId="107" borderId="28" applyNumberFormat="0" applyProtection="0">
      <alignment horizontal="left" vertical="center" indent="1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0" borderId="0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56" fillId="28" borderId="0" applyNumberFormat="0" applyBorder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80" borderId="0"/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9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4" fontId="86" fillId="72" borderId="80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139" fillId="0" borderId="66">
      <alignment horizontal="right"/>
    </xf>
    <xf numFmtId="0" fontId="4" fillId="0" borderId="0"/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73" fillId="49" borderId="28" applyNumberFormat="0" applyAlignment="0" applyProtection="0"/>
    <xf numFmtId="4" fontId="25" fillId="83" borderId="28" applyNumberFormat="0" applyProtection="0">
      <alignment horizontal="left" vertical="center" indent="1"/>
    </xf>
    <xf numFmtId="49" fontId="95" fillId="110" borderId="37"/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25" fillId="102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73" fillId="49" borderId="28" applyNumberFormat="0" applyAlignment="0" applyProtection="0"/>
    <xf numFmtId="4" fontId="25" fillId="86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0" fontId="60" fillId="79" borderId="28" applyNumberForma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73" borderId="80"/>
    <xf numFmtId="0" fontId="25" fillId="73" borderId="80"/>
    <xf numFmtId="4" fontId="48" fillId="68" borderId="79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3" applyNumberFormat="0" applyProtection="0">
      <alignment vertical="center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73" borderId="80"/>
    <xf numFmtId="4" fontId="25" fillId="9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9" fontId="95" fillId="110" borderId="37"/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149" fillId="125" borderId="75" applyBorder="0" applyProtection="0">
      <alignment horizontal="centerContinuous" vertical="center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125" fillId="120" borderId="53" applyNumberFormat="0" applyAlignment="0" applyProtection="0"/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88" fillId="108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93" fillId="67" borderId="37">
      <protection locked="0"/>
    </xf>
    <xf numFmtId="0" fontId="25" fillId="73" borderId="80"/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84" borderId="73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38" fillId="5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90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73" fillId="49" borderId="28" applyNumberFormat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4" fontId="37" fillId="54" borderId="77" applyNumberFormat="0" applyProtection="0">
      <alignment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25" fillId="48" borderId="28" applyNumberFormat="0" applyFont="0" applyAlignment="0" applyProtection="0"/>
    <xf numFmtId="4" fontId="36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102" borderId="77" applyNumberFormat="0" applyProtection="0">
      <alignment horizontal="left" vertical="center" indent="1"/>
    </xf>
    <xf numFmtId="0" fontId="25" fillId="73" borderId="80"/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8" fontId="4" fillId="0" borderId="71" applyFont="0" applyFill="0" applyBorder="0" applyProtection="0">
      <alignment horizontal="right"/>
    </xf>
    <xf numFmtId="0" fontId="4" fillId="8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0" fontId="25" fillId="102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124" fillId="104" borderId="82" applyNumberFormat="0" applyAlignment="0" applyProtection="0"/>
    <xf numFmtId="4" fontId="43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84" fillId="0" borderId="9">
      <alignment horizont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73" borderId="80"/>
    <xf numFmtId="4" fontId="43" fillId="97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8" fillId="68" borderId="79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9" fontId="95" fillId="110" borderId="37"/>
    <xf numFmtId="0" fontId="4" fillId="55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0" fontId="25" fillId="102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9" fillId="99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8" fillId="64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104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43" fillId="93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7" fillId="54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" fillId="0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49" fontId="95" fillId="110" borderId="37"/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73" borderId="80"/>
    <xf numFmtId="0" fontId="25" fillId="70" borderId="57" applyNumberFormat="0">
      <protection locked="0"/>
    </xf>
    <xf numFmtId="4" fontId="25" fillId="102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0" fontId="73" fillId="49" borderId="28" applyNumberFormat="0" applyAlignment="0" applyProtection="0"/>
    <xf numFmtId="4" fontId="39" fillId="54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4" fontId="43" fillId="72" borderId="73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3" borderId="80"/>
    <xf numFmtId="4" fontId="38" fillId="6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9" fillId="6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73" borderId="80"/>
    <xf numFmtId="4" fontId="25" fillId="90" borderId="28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3" borderId="80"/>
    <xf numFmtId="4" fontId="25" fillId="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195" fontId="148" fillId="0" borderId="54" applyBorder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130" fillId="0" borderId="47" applyFill="0" applyBorder="0" applyProtection="0">
      <alignment horizontal="left" vertical="top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85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81" fillId="79" borderId="73" applyNumberFormat="0" applyAlignment="0" applyProtection="0"/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9">
      <alignment horizontal="right"/>
    </xf>
    <xf numFmtId="0" fontId="139" fillId="0" borderId="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9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9">
      <alignment horizontal="right"/>
    </xf>
    <xf numFmtId="4" fontId="38" fillId="64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61" borderId="73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200" fontId="127" fillId="0" borderId="45">
      <alignment horizontal="right"/>
    </xf>
    <xf numFmtId="0" fontId="43" fillId="68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9" fontId="95" fillId="110" borderId="37"/>
    <xf numFmtId="0" fontId="4" fillId="68" borderId="77" applyNumberFormat="0" applyProtection="0">
      <alignment horizontal="left" vertical="top" indent="1"/>
    </xf>
    <xf numFmtId="0" fontId="25" fillId="73" borderId="80"/>
    <xf numFmtId="4" fontId="43" fillId="85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0" borderId="73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" fillId="0" borderId="0"/>
    <xf numFmtId="4" fontId="43" fillId="72" borderId="73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3" fillId="96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43" fillId="103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9" fontId="95" fillId="110" borderId="37"/>
    <xf numFmtId="0" fontId="25" fillId="48" borderId="28" applyNumberFormat="0" applyFont="0" applyAlignment="0" applyProtection="0"/>
    <xf numFmtId="4" fontId="43" fillId="54" borderId="73" applyNumberFormat="0" applyProtection="0">
      <alignment vertical="center"/>
    </xf>
    <xf numFmtId="0" fontId="35" fillId="0" borderId="38" applyNumberFormat="0" applyFill="0" applyAlignment="0" applyProtection="0"/>
    <xf numFmtId="4" fontId="43" fillId="7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0" fontId="25" fillId="102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87" fillId="82" borderId="77" applyNumberFormat="0" applyProtection="0">
      <alignment horizontal="left" vertical="top" indent="1"/>
    </xf>
    <xf numFmtId="200" fontId="127" fillId="0" borderId="45">
      <alignment horizontal="right"/>
    </xf>
    <xf numFmtId="4" fontId="25" fillId="83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63" borderId="73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0" fontId="25" fillId="48" borderId="28" applyNumberFormat="0" applyFont="0" applyAlignment="0" applyProtection="0"/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93" fillId="67" borderId="37">
      <protection locked="0"/>
    </xf>
    <xf numFmtId="4" fontId="25" fillId="95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6" fillId="54" borderId="28" applyNumberFormat="0" applyProtection="0">
      <alignment vertical="center"/>
    </xf>
    <xf numFmtId="4" fontId="25" fillId="102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0" borderId="57" applyNumberFormat="0">
      <protection locked="0"/>
    </xf>
    <xf numFmtId="4" fontId="88" fillId="108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4" fontId="43" fillId="58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25" fillId="85" borderId="28" applyNumberFormat="0" applyProtection="0">
      <alignment horizontal="right" vertical="center"/>
    </xf>
    <xf numFmtId="4" fontId="90" fillId="109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7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25" fillId="71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2" fillId="0" borderId="0" applyFont="0" applyFill="0" applyBorder="0" applyAlignment="0" applyProtection="0"/>
    <xf numFmtId="4" fontId="48" fillId="68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91" fillId="100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0" fontId="60" fillId="79" borderId="28" applyNumberFormat="0" applyAlignment="0" applyProtection="0"/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25" fillId="73" borderId="80"/>
    <xf numFmtId="4" fontId="25" fillId="82" borderId="28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195" fontId="148" fillId="0" borderId="54" applyBorder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91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64" borderId="73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60" fillId="79" borderId="28" applyNumberFormat="0" applyAlignment="0" applyProtection="0"/>
    <xf numFmtId="0" fontId="25" fillId="102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85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60" fillId="79" borderId="28" applyNumberFormat="0" applyAlignment="0" applyProtection="0"/>
    <xf numFmtId="0" fontId="4" fillId="55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81" fillId="79" borderId="73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9" fillId="98" borderId="56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200" fontId="127" fillId="0" borderId="45">
      <alignment horizontal="right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93" fillId="67" borderId="37">
      <protection locked="0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15" fillId="71" borderId="78" applyBorder="0"/>
    <xf numFmtId="4" fontId="44" fillId="69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5" borderId="56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84" borderId="73" applyNumberFormat="0" applyProtection="0">
      <alignment horizontal="left" vertical="center" indent="1"/>
    </xf>
    <xf numFmtId="0" fontId="124" fillId="104" borderId="82" applyNumberFormat="0" applyAlignment="0" applyProtection="0"/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43" fillId="104" borderId="73" applyNumberFormat="0" applyAlignment="0" applyProtection="0"/>
    <xf numFmtId="4" fontId="43" fillId="0" borderId="73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195" fontId="148" fillId="0" borderId="75" applyBorder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8" fontId="4" fillId="0" borderId="71" applyFont="0" applyFill="0" applyBorder="0" applyProtection="0">
      <alignment horizontal="right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4" fontId="43" fillId="72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15" fillId="71" borderId="78" applyBorder="0"/>
    <xf numFmtId="4" fontId="38" fillId="6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52" fillId="0" borderId="58" applyNumberFormat="0" applyFill="0" applyProtection="0">
      <alignment horizontal="center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70" borderId="57" applyNumberFormat="0">
      <protection locked="0"/>
    </xf>
    <xf numFmtId="4" fontId="43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130" fillId="0" borderId="47" applyFill="0" applyBorder="0" applyProtection="0">
      <alignment horizontal="left" vertical="top"/>
    </xf>
    <xf numFmtId="3" fontId="127" fillId="0" borderId="76"/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38" fillId="116" borderId="82" applyNumberFormat="0" applyAlignment="0" applyProtection="0"/>
    <xf numFmtId="4" fontId="92" fillId="70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0" fontId="25" fillId="73" borderId="80"/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116" fillId="54" borderId="77" applyNumberFormat="0" applyProtection="0">
      <alignment vertical="center"/>
    </xf>
    <xf numFmtId="4" fontId="43" fillId="94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60" fillId="79" borderId="28" applyNumberFormat="0" applyAlignment="0" applyProtection="0"/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70" borderId="57" applyNumberFormat="0">
      <protection locked="0"/>
    </xf>
    <xf numFmtId="4" fontId="36" fillId="66" borderId="79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25" fillId="73" borderId="80"/>
    <xf numFmtId="4" fontId="25" fillId="10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39" fillId="98" borderId="5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" fillId="0" borderId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73" borderId="80"/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25" fillId="48" borderId="28" applyNumberFormat="0" applyFont="0" applyAlignment="0" applyProtection="0"/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73" borderId="80"/>
    <xf numFmtId="0" fontId="43" fillId="68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3" borderId="80"/>
    <xf numFmtId="0" fontId="25" fillId="101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73" borderId="80"/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200" fontId="127" fillId="0" borderId="45">
      <alignment horizontal="right"/>
    </xf>
    <xf numFmtId="4" fontId="43" fillId="88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71" fillId="0" borderId="32" applyNumberFormat="0" applyFill="0" applyAlignment="0" applyProtection="0"/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25" fillId="70" borderId="57" applyNumberFormat="0">
      <protection locked="0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25" fillId="70" borderId="57" applyNumberFormat="0">
      <protection locked="0"/>
    </xf>
    <xf numFmtId="0" fontId="25" fillId="70" borderId="57" applyNumberFormat="0">
      <protection locked="0"/>
    </xf>
    <xf numFmtId="0" fontId="60" fillId="79" borderId="28" applyNumberFormat="0" applyAlignment="0" applyProtection="0"/>
    <xf numFmtId="0" fontId="25" fillId="10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43" fillId="108" borderId="83" applyNumberFormat="0" applyFont="0" applyAlignment="0" applyProtection="0"/>
    <xf numFmtId="0" fontId="88" fillId="102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86" fillId="67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43" fillId="88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25" fillId="70" borderId="57" applyNumberFormat="0">
      <protection locked="0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39" fillId="82" borderId="77" applyNumberFormat="0" applyProtection="0">
      <alignment vertical="center"/>
    </xf>
    <xf numFmtId="0" fontId="15" fillId="71" borderId="78" applyBorder="0"/>
    <xf numFmtId="0" fontId="25" fillId="107" borderId="28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4" fontId="2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86" fillId="72" borderId="80" applyNumberFormat="0" applyProtection="0">
      <alignment vertical="center"/>
    </xf>
    <xf numFmtId="4" fontId="36" fillId="66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25" fillId="73" borderId="8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0" fontId="138" fillId="116" borderId="82" applyNumberFormat="0" applyAlignment="0" applyProtection="0"/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25" fillId="70" borderId="57" applyNumberFormat="0">
      <protection locked="0"/>
    </xf>
    <xf numFmtId="4" fontId="44" fillId="69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" fillId="0" borderId="0"/>
    <xf numFmtId="0" fontId="39" fillId="0" borderId="74" applyNumberFormat="0" applyFill="0" applyAlignment="0" applyProtection="0"/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93" fillId="67" borderId="37">
      <protection locked="0"/>
    </xf>
    <xf numFmtId="4" fontId="36" fillId="66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71" fillId="0" borderId="32" applyNumberFormat="0" applyFill="0" applyAlignment="0" applyProtection="0"/>
    <xf numFmtId="0" fontId="73" fillId="49" borderId="28" applyNumberFormat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73" borderId="8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10" fontId="25" fillId="72" borderId="80" applyNumberFormat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" fontId="25" fillId="83" borderId="28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56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25" fillId="73" borderId="80"/>
    <xf numFmtId="0" fontId="43" fillId="68" borderId="77" applyNumberFormat="0" applyProtection="0">
      <alignment horizontal="left" vertical="top" indent="1"/>
    </xf>
    <xf numFmtId="0" fontId="25" fillId="73" borderId="80"/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4" fontId="25" fillId="8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2" fillId="0" borderId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195" fontId="148" fillId="0" borderId="75" applyBorder="0" applyProtection="0">
      <alignment horizontal="right" vertic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3" fillId="121" borderId="69" applyNumberFormat="0" applyFont="0" applyAlignment="0" applyProtection="0"/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4" fontId="25" fillId="0" borderId="28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25" fillId="101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25" fillId="101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9" fillId="0" borderId="66">
      <alignment horizontal="right"/>
    </xf>
    <xf numFmtId="4" fontId="91" fillId="101" borderId="77" applyNumberFormat="0" applyProtection="0">
      <alignment horizontal="right" vertical="center"/>
    </xf>
    <xf numFmtId="0" fontId="25" fillId="73" borderId="80"/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73" borderId="80"/>
    <xf numFmtId="4" fontId="91" fillId="101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25" fillId="94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23" fillId="0" borderId="81" applyFill="0" applyProtection="0">
      <alignment horizontal="right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0" fontId="124" fillId="104" borderId="82" applyNumberFormat="0" applyAlignment="0" applyProtection="0"/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10" fontId="25" fillId="72" borderId="80" applyNumberFormat="0" applyBorder="0" applyAlignment="0" applyProtection="0"/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35" fillId="0" borderId="38" applyNumberFormat="0" applyFill="0" applyAlignment="0" applyProtection="0"/>
    <xf numFmtId="4" fontId="92" fillId="7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9" fillId="54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2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43" fillId="8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88" fillId="10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88" fillId="108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4" fontId="2" fillId="0" borderId="0" applyFont="0" applyFill="0" applyBorder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center" indent="1"/>
    </xf>
    <xf numFmtId="0" fontId="138" fillId="116" borderId="82" applyNumberForma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130" fillId="0" borderId="47" applyFill="0" applyBorder="0" applyProtection="0">
      <alignment horizontal="left" vertical="top"/>
    </xf>
    <xf numFmtId="4" fontId="43" fillId="9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200" fontId="127" fillId="0" borderId="45">
      <alignment horizontal="right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4" fontId="44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3" fontId="127" fillId="0" borderId="76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30" fillId="0" borderId="47" applyFill="0" applyBorder="0" applyProtection="0">
      <alignment horizontal="left" vertical="top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3" fontId="127" fillId="0" borderId="76"/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5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84" fillId="0" borderId="66">
      <alignment horizontal="center"/>
    </xf>
    <xf numFmtId="49" fontId="95" fillId="110" borderId="37"/>
    <xf numFmtId="0" fontId="93" fillId="67" borderId="37">
      <protection locked="0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139" fillId="0" borderId="66">
      <alignment horizontal="right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3" fillId="108" borderId="83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87" fillId="82" borderId="77" applyNumberFormat="0" applyProtection="0">
      <alignment horizontal="left" vertical="top" indent="1"/>
    </xf>
    <xf numFmtId="0" fontId="33" fillId="7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92" fillId="70" borderId="28" applyNumberFormat="0" applyProtection="0">
      <alignment horizontal="right" vertical="center"/>
    </xf>
    <xf numFmtId="0" fontId="56" fillId="32" borderId="0" applyNumberFormat="0" applyBorder="0" applyAlignment="0" applyProtection="0"/>
    <xf numFmtId="0" fontId="33" fillId="77" borderId="0" applyNumberFormat="0" applyBorder="0" applyAlignment="0" applyProtection="0"/>
    <xf numFmtId="4" fontId="91" fillId="100" borderId="73" applyNumberFormat="0" applyProtection="0">
      <alignment horizontal="right" vertical="center"/>
    </xf>
    <xf numFmtId="44" fontId="4" fillId="0" borderId="0" applyFont="0" applyFill="0" applyBorder="0" applyAlignment="0" applyProtection="0"/>
    <xf numFmtId="200" fontId="127" fillId="0" borderId="86">
      <alignment horizontal="right"/>
    </xf>
    <xf numFmtId="44" fontId="4" fillId="0" borderId="0" applyFont="0" applyFill="0" applyBorder="0" applyAlignment="0" applyProtection="0"/>
    <xf numFmtId="4" fontId="25" fillId="102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8" fillId="108" borderId="77" applyNumberFormat="0" applyProtection="0">
      <alignment vertical="center"/>
    </xf>
    <xf numFmtId="0" fontId="4" fillId="0" borderId="0"/>
    <xf numFmtId="49" fontId="95" fillId="110" borderId="84"/>
    <xf numFmtId="4" fontId="25" fillId="83" borderId="28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0"/>
    <xf numFmtId="4" fontId="43" fillId="72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33" fillId="76" borderId="0" applyNumberFormat="0" applyBorder="0" applyAlignment="0" applyProtection="0"/>
    <xf numFmtId="4" fontId="4" fillId="71" borderId="35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0" fontId="56" fillId="20" borderId="0" applyNumberFormat="0" applyBorder="0" applyAlignment="0" applyProtection="0"/>
    <xf numFmtId="43" fontId="4" fillId="0" borderId="0" applyFont="0" applyFill="0" applyBorder="0" applyAlignment="0" applyProtection="0"/>
    <xf numFmtId="0" fontId="56" fillId="24" borderId="0" applyNumberFormat="0" applyBorder="0" applyAlignment="0" applyProtection="0"/>
    <xf numFmtId="0" fontId="25" fillId="101" borderId="28" applyNumberFormat="0" applyProtection="0">
      <alignment horizontal="left" vertical="center" indent="1"/>
    </xf>
    <xf numFmtId="0" fontId="56" fillId="12" borderId="0" applyNumberFormat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16" borderId="0" applyNumberFormat="0" applyBorder="0" applyAlignment="0" applyProtection="0"/>
    <xf numFmtId="43" fontId="4" fillId="0" borderId="0" applyFont="0" applyFill="0" applyBorder="0" applyAlignment="0" applyProtection="0"/>
    <xf numFmtId="0" fontId="25" fillId="102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75" borderId="0" applyNumberFormat="0" applyBorder="0" applyAlignment="0" applyProtection="0"/>
    <xf numFmtId="4" fontId="88" fillId="10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195" fontId="148" fillId="0" borderId="75" applyBorder="0" applyProtection="0">
      <alignment horizontal="right" vertical="center"/>
    </xf>
    <xf numFmtId="0" fontId="33" fillId="7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0" fontId="56" fillId="16" borderId="0" applyNumberFormat="0" applyBorder="0" applyAlignment="0" applyProtection="0"/>
    <xf numFmtId="0" fontId="56" fillId="28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105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0" fontId="33" fillId="38" borderId="0" applyNumberFormat="0" applyBorder="0" applyAlignment="0" applyProtection="0"/>
    <xf numFmtId="44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25" fillId="107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0"/>
    <xf numFmtId="4" fontId="25" fillId="83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83" fillId="121" borderId="10" applyNumberFormat="0" applyFont="0" applyAlignment="0" applyProtection="0"/>
    <xf numFmtId="0" fontId="33" fillId="77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5" fillId="104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85" fillId="72" borderId="73" applyNumberFormat="0" applyProtection="0">
      <alignment vertical="center"/>
    </xf>
    <xf numFmtId="0" fontId="4" fillId="0" borderId="0"/>
    <xf numFmtId="0" fontId="33" fillId="78" borderId="0" applyNumberFormat="0" applyBorder="0" applyAlignment="0" applyProtection="0"/>
    <xf numFmtId="0" fontId="33" fillId="75" borderId="0" applyNumberFormat="0" applyBorder="0" applyAlignment="0" applyProtection="0"/>
    <xf numFmtId="0" fontId="56" fillId="12" borderId="0" applyNumberFormat="0" applyBorder="0" applyAlignment="0" applyProtection="0"/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33" fillId="76" borderId="0" applyNumberFormat="0" applyBorder="0" applyAlignment="0" applyProtection="0"/>
    <xf numFmtId="0" fontId="25" fillId="107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6" fillId="54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24" borderId="0" applyNumberFormat="0" applyBorder="0" applyAlignment="0" applyProtection="0"/>
    <xf numFmtId="44" fontId="4" fillId="0" borderId="0" applyFont="0" applyFill="0" applyBorder="0" applyAlignment="0" applyProtection="0"/>
    <xf numFmtId="4" fontId="4" fillId="71" borderId="3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95" fontId="148" fillId="0" borderId="54" applyBorder="0" applyProtection="0">
      <alignment horizontal="right" vertical="center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74" borderId="0" applyNumberFormat="0" applyBorder="0" applyAlignment="0" applyProtection="0"/>
    <xf numFmtId="0" fontId="33" fillId="38" borderId="0" applyNumberFormat="0" applyBorder="0" applyAlignment="0" applyProtection="0"/>
    <xf numFmtId="0" fontId="4" fillId="0" borderId="0"/>
    <xf numFmtId="4" fontId="86" fillId="67" borderId="28" applyNumberFormat="0" applyProtection="0">
      <alignment horizontal="right" vertical="center"/>
    </xf>
    <xf numFmtId="0" fontId="93" fillId="67" borderId="84">
      <protection locked="0"/>
    </xf>
    <xf numFmtId="4" fontId="25" fillId="102" borderId="28" applyNumberFormat="0" applyProtection="0">
      <alignment horizontal="right" vertical="center"/>
    </xf>
    <xf numFmtId="0" fontId="89" fillId="0" borderId="0"/>
    <xf numFmtId="0" fontId="4" fillId="106" borderId="73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79" borderId="87" applyNumberFormat="0" applyAlignment="0" applyProtection="0"/>
    <xf numFmtId="0" fontId="60" fillId="79" borderId="87" applyNumberForma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86" fillId="54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0" fontId="4" fillId="84" borderId="34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64" borderId="34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15" fillId="71" borderId="24" applyBorder="0"/>
    <xf numFmtId="4" fontId="38" fillId="69" borderId="20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99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8" fillId="64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91" fillId="100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0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9" fontId="95" fillId="110" borderId="84"/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130" fillId="0" borderId="85" applyFill="0" applyBorder="0" applyProtection="0">
      <alignment horizontal="left" vertical="top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5" fillId="71" borderId="24" applyBorder="0"/>
    <xf numFmtId="0" fontId="4" fillId="0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8" fillId="108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124" fillId="104" borderId="91" applyNumberFormat="0" applyAlignment="0" applyProtection="0"/>
    <xf numFmtId="0" fontId="124" fillId="104" borderId="91" applyNumberForma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9" fontId="95" fillId="110" borderId="84"/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9" fontId="95" fillId="110" borderId="84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88" fillId="108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93" fillId="67" borderId="84">
      <protection locked="0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8" fillId="56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124" fillId="104" borderId="91" applyNumberFormat="0" applyAlignment="0" applyProtection="0"/>
    <xf numFmtId="4" fontId="43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9" fontId="95" fillId="110" borderId="84"/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9" fillId="99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8" fillId="64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138" fillId="116" borderId="91" applyNumberFormat="0" applyAlignment="0" applyProtection="0"/>
    <xf numFmtId="4" fontId="43" fillId="93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" fillId="0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9" fontId="95" fillId="110" borderId="84"/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81" fillId="79" borderId="34" applyNumberFormat="0" applyAlignment="0" applyProtection="0"/>
    <xf numFmtId="4" fontId="49" fillId="69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5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61" borderId="34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200" fontId="127" fillId="0" borderId="86">
      <alignment horizontal="right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9" fontId="95" fillId="110" borderId="84"/>
    <xf numFmtId="0" fontId="4" fillId="68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0" borderId="34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9" fontId="95" fillId="110" borderId="84"/>
    <xf numFmtId="4" fontId="43" fillId="54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87" fillId="82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63" borderId="34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93" fillId="67" borderId="84">
      <protection locked="0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88" fillId="108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58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7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25" fillId="71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91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81" fillId="79" borderId="34" applyNumberFormat="0" applyAlignment="0" applyProtection="0"/>
    <xf numFmtId="4" fontId="43" fillId="5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200" fontId="127" fillId="0" borderId="86">
      <alignment horizontal="right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93" fillId="67" borderId="84">
      <protection locked="0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15" fillId="71" borderId="24" applyBorder="0"/>
    <xf numFmtId="4" fontId="44" fillId="69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0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124" fillId="104" borderId="91" applyNumberFormat="0" applyAlignment="0" applyProtection="0"/>
    <xf numFmtId="4" fontId="43" fillId="7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9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8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43" fillId="104" borderId="34" applyNumberFormat="0" applyAlignment="0" applyProtection="0"/>
    <xf numFmtId="4" fontId="43" fillId="0" borderId="34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4" fontId="43" fillId="72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15" fillId="71" borderId="24" applyBorder="0"/>
    <xf numFmtId="4" fontId="38" fillId="6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38" fillId="116" borderId="91" applyNumberFormat="0" applyAlignment="0" applyProtection="0"/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43" fillId="94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88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85" fillId="100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88" fillId="102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39" fillId="82" borderId="20" applyNumberFormat="0" applyProtection="0">
      <alignment vertical="center"/>
    </xf>
    <xf numFmtId="0" fontId="15" fillId="71" borderId="24" applyBorder="0"/>
    <xf numFmtId="4" fontId="38" fillId="69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39" fillId="54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54" borderId="34" applyNumberFormat="0" applyProtection="0">
      <alignment vertical="center"/>
    </xf>
    <xf numFmtId="4" fontId="43" fillId="57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93" fillId="67" borderId="84">
      <protection locked="0"/>
    </xf>
    <xf numFmtId="4" fontId="36" fillId="66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8" fillId="5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81" fillId="79" borderId="34" applyNumberFormat="0" applyAlignment="0" applyProtection="0"/>
    <xf numFmtId="0" fontId="81" fillId="79" borderId="34" applyNumberFormat="0" applyAlignment="0" applyProtection="0"/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8" fillId="61" borderId="20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8" fillId="54" borderId="20" applyNumberFormat="0" applyProtection="0">
      <alignment horizontal="left" vertical="center" indent="1"/>
    </xf>
    <xf numFmtId="0" fontId="124" fillId="104" borderId="91" applyNumberFormat="0" applyAlignment="0" applyProtection="0"/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4" fontId="43" fillId="8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88" fillId="10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3" fillId="64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200" fontId="127" fillId="0" borderId="86">
      <alignment horizontal="right"/>
    </xf>
    <xf numFmtId="0" fontId="4" fillId="66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9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200" fontId="127" fillId="0" borderId="86">
      <alignment horizontal="right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4" fontId="44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3" fontId="127" fillId="0" borderId="42"/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3" fontId="127" fillId="0" borderId="42"/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9" fontId="95" fillId="110" borderId="84"/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" fillId="69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4" fillId="0" borderId="0">
      <protection locked="0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25" fillId="92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2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4" fontId="92" fillId="70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0" fontId="33" fillId="38" borderId="0" applyNumberFormat="0" applyBorder="0" applyAlignment="0" applyProtection="0"/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0" fontId="33" fillId="78" borderId="0" applyNumberFormat="0" applyBorder="0" applyAlignment="0" applyProtection="0"/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58" fillId="48" borderId="0" applyNumberFormat="0" applyBorder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60" fillId="79" borderId="87" applyNumberFormat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7" fillId="0" borderId="30" applyNumberFormat="0" applyFill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9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3" fillId="49" borderId="87" applyNumberFormat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0" fontId="75" fillId="0" borderId="33" applyNumberFormat="0" applyFill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0" fontId="4" fillId="0" borderId="0"/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5" fillId="48" borderId="87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0" fontId="84" fillId="0" borderId="66">
      <alignment horizont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86" fillId="54" borderId="87" applyNumberFormat="0" applyProtection="0">
      <alignment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86" fillId="54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60" fillId="79" borderId="87" applyNumberFormat="0" applyAlignment="0" applyProtection="0"/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98" fillId="0" borderId="0" applyNumberForma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5" fillId="0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102" borderId="8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60" fillId="79" borderId="87" applyNumberFormat="0" applyAlignment="0" applyProtection="0"/>
    <xf numFmtId="200" fontId="127" fillId="0" borderId="5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0" fontId="84" fillId="0" borderId="66">
      <alignment horizont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30" fillId="0" borderId="3" applyFill="0" applyBorder="0" applyProtection="0">
      <alignment horizontal="left" vertical="top"/>
    </xf>
    <xf numFmtId="8" fontId="4" fillId="0" borderId="94" applyFont="0" applyFill="0" applyBorder="0" applyProtection="0">
      <alignment horizontal="right"/>
    </xf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0" fontId="139" fillId="0" borderId="66">
      <alignment horizontal="right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86" fillId="54" borderId="87" applyNumberFormat="0" applyProtection="0">
      <alignment vertical="center"/>
    </xf>
    <xf numFmtId="4" fontId="25" fillId="83" borderId="87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25" fillId="70" borderId="98" applyNumberFormat="0">
      <protection locked="0"/>
    </xf>
    <xf numFmtId="4" fontId="36" fillId="65" borderId="97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79" borderId="99" applyNumberFormat="0" applyAlignment="0" applyProtection="0"/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85" fillId="54" borderId="99" applyNumberFormat="0" applyProtection="0">
      <alignment vertical="center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39" fillId="99" borderId="99" applyNumberFormat="0" applyProtection="0">
      <alignment horizontal="left" vertical="center" indent="1"/>
    </xf>
    <xf numFmtId="4" fontId="39" fillId="98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36" fillId="65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85" fillId="72" borderId="99" applyNumberFormat="0" applyProtection="0">
      <alignment vertical="center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85" fillId="100" borderId="99" applyNumberFormat="0" applyProtection="0">
      <alignment horizontal="right" vertical="center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91" fillId="100" borderId="99" applyNumberFormat="0" applyProtection="0">
      <alignment horizontal="right" vertical="center"/>
    </xf>
    <xf numFmtId="0" fontId="35" fillId="0" borderId="102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5" fillId="0" borderId="103" applyNumberFormat="0" applyFill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31">
    <xf numFmtId="0" fontId="0" fillId="0" borderId="0" xfId="0"/>
    <xf numFmtId="0" fontId="11" fillId="0" borderId="0" xfId="4" applyFont="1" applyAlignment="1">
      <alignment horizontal="center"/>
    </xf>
    <xf numFmtId="0" fontId="11" fillId="0" borderId="0" xfId="4" quotePrefix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5" fillId="0" borderId="0" xfId="1" applyNumberFormat="1" applyFont="1" applyFill="1" applyBorder="1"/>
    <xf numFmtId="172" fontId="5" fillId="0" borderId="0" xfId="1" applyNumberFormat="1" applyFont="1" applyFill="1" applyBorder="1"/>
    <xf numFmtId="172" fontId="5" fillId="0" borderId="0" xfId="0" applyNumberFormat="1" applyFont="1"/>
    <xf numFmtId="165" fontId="5" fillId="0" borderId="0" xfId="2" applyNumberFormat="1" applyFont="1" applyFill="1" applyBorder="1"/>
    <xf numFmtId="166" fontId="5" fillId="0" borderId="0" xfId="1" applyNumberFormat="1" applyFont="1" applyBorder="1"/>
    <xf numFmtId="0" fontId="27" fillId="0" borderId="0" xfId="0" applyFont="1"/>
    <xf numFmtId="165" fontId="5" fillId="0" borderId="0" xfId="2011" applyNumberFormat="1" applyFont="1"/>
    <xf numFmtId="0" fontId="13" fillId="0" borderId="0" xfId="1965" applyFont="1"/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left" vertical="center"/>
    </xf>
    <xf numFmtId="0" fontId="10" fillId="0" borderId="0" xfId="4" applyFont="1"/>
    <xf numFmtId="0" fontId="10" fillId="0" borderId="0" xfId="4" applyFont="1" applyAlignment="1">
      <alignment horizontal="left"/>
    </xf>
    <xf numFmtId="0" fontId="5" fillId="0" borderId="0" xfId="1965" applyFont="1" applyAlignment="1">
      <alignment horizontal="center"/>
    </xf>
    <xf numFmtId="172" fontId="5" fillId="0" borderId="0" xfId="1963" applyNumberFormat="1" applyFont="1"/>
    <xf numFmtId="165" fontId="6" fillId="0" borderId="0" xfId="1963" applyNumberFormat="1" applyFont="1"/>
    <xf numFmtId="166" fontId="6" fillId="0" borderId="49" xfId="22" applyNumberFormat="1" applyFont="1" applyBorder="1"/>
    <xf numFmtId="181" fontId="5" fillId="0" borderId="4" xfId="4" applyNumberFormat="1" applyFont="1" applyBorder="1" applyAlignment="1">
      <alignment horizontal="right"/>
    </xf>
    <xf numFmtId="0" fontId="5" fillId="0" borderId="0" xfId="2012" applyFont="1" applyAlignment="1">
      <alignment horizontal="center"/>
    </xf>
    <xf numFmtId="0" fontId="6" fillId="0" borderId="0" xfId="2012" applyFont="1" applyAlignment="1">
      <alignment horizontal="center"/>
    </xf>
    <xf numFmtId="0" fontId="6" fillId="0" borderId="0" xfId="2012" applyFont="1"/>
    <xf numFmtId="0" fontId="6" fillId="0" borderId="0" xfId="2012" applyFont="1" applyAlignment="1">
      <alignment horizontal="left"/>
    </xf>
    <xf numFmtId="0" fontId="13" fillId="0" borderId="0" xfId="2012" applyFont="1"/>
    <xf numFmtId="183" fontId="5" fillId="0" borderId="0" xfId="2012" applyNumberFormat="1" applyFont="1" applyAlignment="1">
      <alignment horizontal="right"/>
    </xf>
    <xf numFmtId="0" fontId="5" fillId="0" borderId="0" xfId="2012" applyFont="1"/>
    <xf numFmtId="183" fontId="5" fillId="0" borderId="0" xfId="2012" quotePrefix="1" applyNumberFormat="1" applyFont="1" applyAlignment="1">
      <alignment horizontal="right"/>
    </xf>
    <xf numFmtId="182" fontId="5" fillId="0" borderId="0" xfId="2012" applyNumberFormat="1" applyFont="1" applyAlignment="1">
      <alignment horizontal="left"/>
    </xf>
    <xf numFmtId="0" fontId="13" fillId="0" borderId="0" xfId="2012" applyFont="1" applyAlignment="1">
      <alignment horizontal="center"/>
    </xf>
    <xf numFmtId="165" fontId="5" fillId="0" borderId="0" xfId="21" applyNumberFormat="1" applyFont="1" applyFill="1" applyBorder="1" applyProtection="1">
      <protection locked="0"/>
    </xf>
    <xf numFmtId="165" fontId="5" fillId="0" borderId="0" xfId="2012" applyNumberFormat="1" applyFont="1" applyAlignment="1" applyProtection="1">
      <alignment horizontal="right"/>
      <protection locked="0"/>
    </xf>
    <xf numFmtId="10" fontId="6" fillId="0" borderId="0" xfId="61" applyNumberFormat="1" applyFont="1" applyBorder="1"/>
    <xf numFmtId="10" fontId="6" fillId="0" borderId="0" xfId="1043" applyNumberFormat="1" applyFont="1" applyAlignment="1" applyProtection="1">
      <alignment horizontal="right"/>
    </xf>
    <xf numFmtId="165" fontId="6" fillId="0" borderId="0" xfId="2012" applyNumberFormat="1" applyFont="1" applyAlignment="1" applyProtection="1">
      <alignment horizontal="right"/>
      <protection locked="0"/>
    </xf>
    <xf numFmtId="10" fontId="6" fillId="0" borderId="0" xfId="61" applyNumberFormat="1" applyFont="1"/>
    <xf numFmtId="183" fontId="6" fillId="0" borderId="0" xfId="2012" quotePrefix="1" applyNumberFormat="1" applyFont="1" applyAlignment="1">
      <alignment horizontal="right"/>
    </xf>
    <xf numFmtId="183" fontId="5" fillId="0" borderId="0" xfId="2012" applyNumberFormat="1" applyFont="1" applyAlignment="1" applyProtection="1">
      <alignment horizontal="right"/>
      <protection locked="0"/>
    </xf>
    <xf numFmtId="0" fontId="6" fillId="0" borderId="0" xfId="1965" applyFont="1"/>
    <xf numFmtId="167" fontId="5" fillId="0" borderId="0" xfId="1043" applyNumberFormat="1" applyFont="1" applyAlignment="1">
      <alignment horizontal="right"/>
    </xf>
    <xf numFmtId="165" fontId="5" fillId="0" borderId="0" xfId="2039" applyNumberFormat="1" applyFont="1" applyFill="1"/>
    <xf numFmtId="165" fontId="5" fillId="0" borderId="0" xfId="2039" applyNumberFormat="1" applyFont="1" applyAlignment="1">
      <alignment horizontal="right"/>
    </xf>
    <xf numFmtId="0" fontId="6" fillId="0" borderId="0" xfId="1965" applyFont="1" applyAlignment="1">
      <alignment horizontal="center"/>
    </xf>
    <xf numFmtId="175" fontId="6" fillId="0" borderId="0" xfId="1965" applyNumberFormat="1" applyFont="1"/>
    <xf numFmtId="0" fontId="5" fillId="0" borderId="0" xfId="1965" applyFont="1" applyAlignment="1">
      <alignment horizontal="left"/>
    </xf>
    <xf numFmtId="165" fontId="6" fillId="0" borderId="0" xfId="1965" applyNumberFormat="1" applyFont="1"/>
    <xf numFmtId="44" fontId="6" fillId="0" borderId="0" xfId="1965" applyNumberFormat="1" applyFont="1"/>
    <xf numFmtId="165" fontId="5" fillId="0" borderId="0" xfId="21" applyNumberFormat="1" applyFont="1" applyFill="1" applyBorder="1" applyAlignment="1" applyProtection="1">
      <alignment horizontal="right"/>
      <protection locked="0"/>
    </xf>
    <xf numFmtId="0" fontId="6" fillId="0" borderId="4" xfId="4" applyFont="1" applyBorder="1"/>
    <xf numFmtId="0" fontId="6" fillId="0" borderId="4" xfId="4" applyFont="1" applyBorder="1" applyAlignment="1">
      <alignment horizontal="center"/>
    </xf>
    <xf numFmtId="10" fontId="6" fillId="0" borderId="4" xfId="61" applyNumberFormat="1" applyFont="1" applyBorder="1" applyAlignment="1">
      <alignment horizontal="center"/>
    </xf>
    <xf numFmtId="0" fontId="6" fillId="0" borderId="0" xfId="4" applyFont="1" applyAlignment="1">
      <alignment horizontal="left"/>
    </xf>
    <xf numFmtId="10" fontId="6" fillId="0" borderId="0" xfId="1043" applyNumberFormat="1" applyFont="1" applyBorder="1" applyAlignment="1">
      <alignment horizontal="right"/>
    </xf>
    <xf numFmtId="0" fontId="5" fillId="0" borderId="0" xfId="1965" applyFont="1"/>
    <xf numFmtId="165" fontId="5" fillId="0" borderId="0" xfId="2069" applyNumberFormat="1" applyFont="1" applyFill="1" applyBorder="1" applyProtection="1">
      <protection locked="0"/>
    </xf>
    <xf numFmtId="0" fontId="5" fillId="0" borderId="0" xfId="1604" applyFont="1"/>
    <xf numFmtId="0" fontId="5" fillId="0" borderId="86" xfId="4" applyFont="1" applyBorder="1"/>
    <xf numFmtId="0" fontId="6" fillId="0" borderId="0" xfId="4" applyFont="1"/>
    <xf numFmtId="0" fontId="5" fillId="0" borderId="0" xfId="2001" applyFont="1"/>
    <xf numFmtId="0" fontId="5" fillId="0" borderId="0" xfId="2001" applyFont="1" applyAlignment="1">
      <alignment horizontal="center"/>
    </xf>
    <xf numFmtId="165" fontId="5" fillId="0" borderId="0" xfId="23" applyNumberFormat="1" applyFont="1" applyAlignment="1">
      <alignment horizontal="center"/>
    </xf>
    <xf numFmtId="0" fontId="17" fillId="0" borderId="0" xfId="0" applyFont="1" applyAlignment="1">
      <alignment horizontal="center"/>
    </xf>
    <xf numFmtId="165" fontId="6" fillId="0" borderId="0" xfId="21" quotePrefix="1" applyNumberFormat="1" applyFont="1" applyFill="1" applyBorder="1" applyAlignment="1">
      <alignment horizontal="right"/>
    </xf>
    <xf numFmtId="173" fontId="6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6" fillId="0" borderId="0" xfId="4" applyFont="1" applyAlignment="1" applyProtection="1">
      <alignment horizontal="center"/>
      <protection locked="0"/>
    </xf>
    <xf numFmtId="166" fontId="6" fillId="0" borderId="0" xfId="2408" applyNumberFormat="1" applyFont="1" applyFill="1" applyAlignment="1" applyProtection="1">
      <alignment horizontal="center"/>
    </xf>
    <xf numFmtId="166" fontId="6" fillId="0" borderId="0" xfId="2408" applyNumberFormat="1" applyFont="1" applyFill="1" applyAlignment="1" applyProtection="1">
      <alignment horizontal="right"/>
    </xf>
    <xf numFmtId="166" fontId="6" fillId="0" borderId="0" xfId="2408" applyNumberFormat="1" applyFont="1" applyFill="1" applyBorder="1" applyAlignment="1" applyProtection="1">
      <alignment horizontal="center"/>
    </xf>
    <xf numFmtId="165" fontId="6" fillId="0" borderId="0" xfId="21" applyNumberFormat="1" applyFont="1" applyFill="1" applyBorder="1" applyAlignment="1" applyProtection="1">
      <alignment horizontal="right"/>
    </xf>
    <xf numFmtId="0" fontId="6" fillId="0" borderId="0" xfId="4" applyFont="1" applyAlignment="1">
      <alignment horizontal="center"/>
    </xf>
    <xf numFmtId="165" fontId="5" fillId="0" borderId="0" xfId="21" applyNumberFormat="1" applyFont="1" applyFill="1" applyAlignment="1" applyProtection="1">
      <alignment horizontal="right"/>
    </xf>
    <xf numFmtId="166" fontId="5" fillId="0" borderId="0" xfId="2408" applyNumberFormat="1" applyFont="1" applyFill="1" applyAlignment="1" applyProtection="1">
      <alignment horizontal="right"/>
    </xf>
    <xf numFmtId="0" fontId="29" fillId="0" borderId="0" xfId="1962" applyFont="1"/>
    <xf numFmtId="41" fontId="29" fillId="0" borderId="0" xfId="1962" applyNumberFormat="1" applyFont="1"/>
    <xf numFmtId="209" fontId="29" fillId="0" borderId="0" xfId="1962" applyNumberFormat="1" applyFont="1"/>
    <xf numFmtId="0" fontId="5" fillId="0" borderId="86" xfId="37887" quotePrefix="1" applyNumberFormat="1" applyFont="1" applyFill="1" applyBorder="1" applyAlignment="1">
      <alignment vertical="center"/>
    </xf>
    <xf numFmtId="0" fontId="29" fillId="0" borderId="86" xfId="1962" applyFont="1" applyBorder="1"/>
    <xf numFmtId="0" fontId="5" fillId="0" borderId="3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10" fontId="6" fillId="0" borderId="3" xfId="61" applyNumberFormat="1" applyFont="1" applyBorder="1" applyAlignment="1">
      <alignment horizontal="center"/>
    </xf>
    <xf numFmtId="41" fontId="5" fillId="0" borderId="3" xfId="21" applyNumberFormat="1" applyFont="1" applyBorder="1" applyAlignment="1">
      <alignment horizontal="center"/>
    </xf>
    <xf numFmtId="43" fontId="6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left"/>
    </xf>
    <xf numFmtId="41" fontId="6" fillId="0" borderId="3" xfId="21" applyNumberFormat="1" applyFont="1" applyFill="1" applyBorder="1" applyAlignment="1">
      <alignment horizontal="left"/>
    </xf>
    <xf numFmtId="41" fontId="5" fillId="0" borderId="3" xfId="21" applyNumberFormat="1" applyFont="1" applyFill="1" applyBorder="1" applyAlignment="1">
      <alignment horizontal="center"/>
    </xf>
    <xf numFmtId="41" fontId="5" fillId="0" borderId="0" xfId="21" applyNumberFormat="1" applyFont="1" applyFill="1" applyBorder="1" applyAlignment="1">
      <alignment horizontal="center"/>
    </xf>
    <xf numFmtId="41" fontId="6" fillId="0" borderId="3" xfId="21" applyNumberFormat="1" applyFont="1" applyFill="1" applyBorder="1" applyAlignment="1">
      <alignment horizontal="center"/>
    </xf>
    <xf numFmtId="0" fontId="6" fillId="0" borderId="95" xfId="4" applyFont="1" applyBorder="1"/>
    <xf numFmtId="43" fontId="5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center"/>
    </xf>
    <xf numFmtId="41" fontId="6" fillId="0" borderId="3" xfId="21" applyNumberFormat="1" applyFont="1" applyFill="1" applyBorder="1"/>
    <xf numFmtId="166" fontId="6" fillId="0" borderId="3" xfId="22" applyNumberFormat="1" applyFont="1" applyFill="1" applyBorder="1"/>
    <xf numFmtId="0" fontId="6" fillId="0" borderId="95" xfId="4" applyFont="1" applyBorder="1" applyAlignment="1">
      <alignment horizontal="center"/>
    </xf>
    <xf numFmtId="0" fontId="5" fillId="0" borderId="0" xfId="37037" applyFont="1" applyAlignment="1">
      <alignment horizontal="center"/>
    </xf>
    <xf numFmtId="0" fontId="5" fillId="0" borderId="0" xfId="37037" applyFont="1"/>
    <xf numFmtId="0" fontId="27" fillId="0" borderId="0" xfId="0" applyFont="1" applyAlignment="1">
      <alignment horizontal="center" vertical="center"/>
    </xf>
    <xf numFmtId="6" fontId="6" fillId="0" borderId="0" xfId="4" applyNumberFormat="1" applyFont="1"/>
    <xf numFmtId="0" fontId="5" fillId="0" borderId="0" xfId="37925" applyFont="1"/>
    <xf numFmtId="10" fontId="6" fillId="0" borderId="0" xfId="3853" applyNumberFormat="1" applyFont="1"/>
    <xf numFmtId="165" fontId="6" fillId="0" borderId="0" xfId="2" applyNumberFormat="1" applyFont="1" applyFill="1" applyBorder="1"/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Continuous" vertical="center"/>
    </xf>
    <xf numFmtId="166" fontId="6" fillId="0" borderId="0" xfId="2408" applyNumberFormat="1" applyFont="1" applyAlignment="1">
      <alignment horizontal="centerContinuous" vertical="center"/>
    </xf>
    <xf numFmtId="0" fontId="6" fillId="0" borderId="0" xfId="2408" applyNumberFormat="1" applyFont="1" applyAlignment="1">
      <alignment horizontal="centerContinuous" vertical="center"/>
    </xf>
    <xf numFmtId="166" fontId="6" fillId="0" borderId="0" xfId="2408" applyNumberFormat="1" applyFont="1" applyAlignment="1">
      <alignment vertical="center"/>
    </xf>
    <xf numFmtId="0" fontId="6" fillId="0" borderId="0" xfId="2408" applyNumberFormat="1" applyFont="1" applyAlignment="1">
      <alignment vertical="center"/>
    </xf>
    <xf numFmtId="0" fontId="6" fillId="0" borderId="86" xfId="4" applyFont="1" applyBorder="1" applyAlignment="1">
      <alignment horizontal="center" vertical="center"/>
    </xf>
    <xf numFmtId="0" fontId="6" fillId="0" borderId="4" xfId="4" quotePrefix="1" applyFont="1" applyBorder="1" applyAlignment="1">
      <alignment horizontal="center" vertical="center"/>
    </xf>
    <xf numFmtId="0" fontId="6" fillId="0" borderId="86" xfId="4" applyFont="1" applyBorder="1" applyAlignment="1">
      <alignment horizontal="centerContinuous" vertical="center"/>
    </xf>
    <xf numFmtId="0" fontId="5" fillId="0" borderId="0" xfId="4" applyFont="1" applyAlignment="1">
      <alignment horizontal="center" vertical="center"/>
    </xf>
    <xf numFmtId="0" fontId="6" fillId="0" borderId="86" xfId="4" applyFont="1" applyBorder="1" applyAlignment="1">
      <alignment horizontal="left" vertical="center"/>
    </xf>
    <xf numFmtId="0" fontId="6" fillId="0" borderId="4" xfId="4" applyFont="1" applyBorder="1" applyAlignment="1">
      <alignment horizontal="center" vertical="center"/>
    </xf>
    <xf numFmtId="17" fontId="5" fillId="0" borderId="86" xfId="4" applyNumberFormat="1" applyFont="1" applyBorder="1" applyAlignment="1">
      <alignment horizontal="left" vertical="center"/>
    </xf>
    <xf numFmtId="165" fontId="5" fillId="0" borderId="4" xfId="21" applyNumberFormat="1" applyFont="1" applyBorder="1" applyAlignment="1">
      <alignment vertical="center"/>
    </xf>
    <xf numFmtId="0" fontId="5" fillId="0" borderId="86" xfId="4" applyFont="1" applyBorder="1" applyAlignment="1">
      <alignment horizontal="centerContinuous" vertical="center"/>
    </xf>
    <xf numFmtId="165" fontId="5" fillId="0" borderId="4" xfId="21" applyNumberFormat="1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166" fontId="5" fillId="0" borderId="4" xfId="4" applyNumberFormat="1" applyFont="1" applyBorder="1" applyAlignment="1">
      <alignment vertical="center"/>
    </xf>
    <xf numFmtId="0" fontId="157" fillId="0" borderId="86" xfId="4" applyFont="1" applyBorder="1" applyAlignment="1">
      <alignment horizontal="centerContinuous" vertical="center"/>
    </xf>
    <xf numFmtId="166" fontId="5" fillId="0" borderId="4" xfId="2408" applyNumberFormat="1" applyFont="1" applyBorder="1" applyAlignment="1">
      <alignment horizontal="center" vertical="center"/>
    </xf>
    <xf numFmtId="0" fontId="6" fillId="0" borderId="86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165" fontId="6" fillId="0" borderId="4" xfId="21" applyNumberFormat="1" applyFont="1" applyBorder="1" applyAlignment="1">
      <alignment vertical="center"/>
    </xf>
    <xf numFmtId="0" fontId="5" fillId="0" borderId="86" xfId="4" applyFont="1" applyBorder="1" applyAlignment="1">
      <alignment vertical="center"/>
    </xf>
    <xf numFmtId="37" fontId="6" fillId="0" borderId="0" xfId="4" applyNumberFormat="1" applyFont="1" applyAlignment="1">
      <alignment vertical="center"/>
    </xf>
    <xf numFmtId="0" fontId="11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37" fontId="6" fillId="0" borderId="0" xfId="2408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8" fontId="6" fillId="0" borderId="0" xfId="4" applyNumberFormat="1" applyFont="1" applyAlignment="1">
      <alignment vertical="center"/>
    </xf>
    <xf numFmtId="165" fontId="5" fillId="0" borderId="4" xfId="2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6" fillId="0" borderId="4" xfId="4" applyNumberFormat="1" applyFont="1" applyBorder="1" applyAlignment="1">
      <alignment vertical="center"/>
    </xf>
    <xf numFmtId="165" fontId="6" fillId="0" borderId="4" xfId="2" applyNumberFormat="1" applyFont="1" applyBorder="1" applyAlignment="1">
      <alignment vertical="center"/>
    </xf>
    <xf numFmtId="166" fontId="5" fillId="0" borderId="0" xfId="4" applyNumberFormat="1" applyFont="1" applyAlignment="1">
      <alignment vertical="center"/>
    </xf>
    <xf numFmtId="168" fontId="5" fillId="0" borderId="0" xfId="4" applyNumberFormat="1" applyFont="1" applyAlignment="1">
      <alignment vertical="center"/>
    </xf>
    <xf numFmtId="168" fontId="6" fillId="0" borderId="0" xfId="2408" applyNumberFormat="1" applyFont="1" applyAlignment="1">
      <alignment vertical="center"/>
    </xf>
    <xf numFmtId="166" fontId="6" fillId="0" borderId="86" xfId="4" applyNumberFormat="1" applyFont="1" applyBorder="1" applyAlignment="1">
      <alignment vertical="center"/>
    </xf>
    <xf numFmtId="166" fontId="5" fillId="0" borderId="86" xfId="4" applyNumberFormat="1" applyFont="1" applyBorder="1" applyAlignment="1">
      <alignment vertical="center"/>
    </xf>
    <xf numFmtId="168" fontId="6" fillId="0" borderId="86" xfId="4" applyNumberFormat="1" applyFont="1" applyBorder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0" fontId="6" fillId="0" borderId="0" xfId="2408" applyNumberFormat="1" applyFont="1" applyFill="1" applyAlignment="1">
      <alignment horizontal="centerContinuous" vertical="center"/>
    </xf>
    <xf numFmtId="0" fontId="6" fillId="0" borderId="0" xfId="2408" applyNumberFormat="1" applyFont="1" applyFill="1" applyAlignment="1">
      <alignment vertical="center"/>
    </xf>
    <xf numFmtId="44" fontId="3" fillId="0" borderId="0" xfId="2" applyFont="1" applyAlignment="1">
      <alignment vertical="center"/>
    </xf>
    <xf numFmtId="166" fontId="6" fillId="0" borderId="0" xfId="4" applyNumberFormat="1" applyFont="1" applyAlignment="1">
      <alignment vertical="center"/>
    </xf>
    <xf numFmtId="0" fontId="6" fillId="0" borderId="86" xfId="4" applyFont="1" applyBorder="1" applyAlignment="1">
      <alignment horizontal="right" vertical="center"/>
    </xf>
    <xf numFmtId="3" fontId="5" fillId="0" borderId="86" xfId="4" applyNumberFormat="1" applyFont="1" applyBorder="1" applyAlignment="1">
      <alignment horizontal="centerContinuous" vertical="center"/>
    </xf>
    <xf numFmtId="0" fontId="5" fillId="0" borderId="86" xfId="4" applyFont="1" applyBorder="1" applyAlignment="1">
      <alignment horizontal="center" vertical="center"/>
    </xf>
    <xf numFmtId="37" fontId="5" fillId="0" borderId="0" xfId="4" applyNumberFormat="1" applyFont="1" applyAlignment="1">
      <alignment vertical="center"/>
    </xf>
    <xf numFmtId="3" fontId="5" fillId="0" borderId="86" xfId="4" applyNumberFormat="1" applyFont="1" applyBorder="1" applyAlignment="1">
      <alignment vertical="center"/>
    </xf>
    <xf numFmtId="0" fontId="5" fillId="0" borderId="0" xfId="4" quotePrefix="1" applyFont="1" applyAlignment="1">
      <alignment horizontal="left" vertical="center"/>
    </xf>
    <xf numFmtId="165" fontId="5" fillId="0" borderId="0" xfId="4" applyNumberFormat="1" applyFont="1" applyAlignment="1">
      <alignment vertical="center"/>
    </xf>
    <xf numFmtId="43" fontId="5" fillId="0" borderId="0" xfId="1" applyFont="1" applyAlignment="1">
      <alignment vertical="center"/>
    </xf>
    <xf numFmtId="166" fontId="5" fillId="0" borderId="0" xfId="1" applyNumberFormat="1" applyFont="1" applyAlignment="1">
      <alignment vertical="center"/>
    </xf>
    <xf numFmtId="166" fontId="5" fillId="0" borderId="0" xfId="2408" applyNumberFormat="1" applyFont="1" applyAlignment="1">
      <alignment horizontal="centerContinuous" vertical="center"/>
    </xf>
    <xf numFmtId="0" fontId="6" fillId="0" borderId="86" xfId="4" quotePrefix="1" applyFont="1" applyBorder="1" applyAlignment="1">
      <alignment horizontal="center" vertical="center"/>
    </xf>
    <xf numFmtId="166" fontId="6" fillId="0" borderId="86" xfId="2408" applyNumberFormat="1" applyFont="1" applyFill="1" applyBorder="1" applyAlignment="1">
      <alignment horizontal="center" vertical="center"/>
    </xf>
    <xf numFmtId="166" fontId="6" fillId="0" borderId="86" xfId="2408" applyNumberFormat="1" applyFont="1" applyBorder="1" applyAlignment="1">
      <alignment horizontal="center" vertical="center"/>
    </xf>
    <xf numFmtId="166" fontId="6" fillId="0" borderId="3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166" fontId="6" fillId="0" borderId="4" xfId="2408" applyNumberFormat="1" applyFont="1" applyFill="1" applyBorder="1" applyAlignment="1">
      <alignment horizontal="center" vertical="center"/>
    </xf>
    <xf numFmtId="166" fontId="6" fillId="0" borderId="0" xfId="2408" applyNumberFormat="1" applyFont="1" applyAlignment="1">
      <alignment horizontal="center" vertical="center"/>
    </xf>
    <xf numFmtId="0" fontId="5" fillId="0" borderId="4" xfId="4" applyFont="1" applyBorder="1" applyAlignment="1">
      <alignment vertical="center"/>
    </xf>
    <xf numFmtId="169" fontId="5" fillId="0" borderId="86" xfId="4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vertical="center"/>
    </xf>
    <xf numFmtId="165" fontId="5" fillId="0" borderId="86" xfId="2" applyNumberFormat="1" applyFont="1" applyBorder="1" applyAlignment="1">
      <alignment vertical="center"/>
    </xf>
    <xf numFmtId="166" fontId="5" fillId="0" borderId="86" xfId="1" applyNumberFormat="1" applyFont="1" applyFill="1" applyBorder="1" applyAlignment="1">
      <alignment vertical="center"/>
    </xf>
    <xf numFmtId="166" fontId="5" fillId="0" borderId="86" xfId="1" applyNumberFormat="1" applyFont="1" applyBorder="1" applyAlignment="1">
      <alignment vertical="center"/>
    </xf>
    <xf numFmtId="166" fontId="5" fillId="0" borderId="4" xfId="2408" applyNumberFormat="1" applyFont="1" applyBorder="1" applyAlignment="1">
      <alignment vertical="center"/>
    </xf>
    <xf numFmtId="166" fontId="5" fillId="0" borderId="86" xfId="2408" applyNumberFormat="1" applyFont="1" applyFill="1" applyBorder="1" applyAlignment="1">
      <alignment vertical="center"/>
    </xf>
    <xf numFmtId="166" fontId="5" fillId="0" borderId="86" xfId="2408" applyNumberFormat="1" applyFont="1" applyBorder="1" applyAlignment="1">
      <alignment vertical="center"/>
    </xf>
    <xf numFmtId="166" fontId="5" fillId="0" borderId="0" xfId="2408" applyNumberFormat="1" applyFont="1" applyBorder="1" applyAlignment="1">
      <alignment vertical="center"/>
    </xf>
    <xf numFmtId="165" fontId="27" fillId="0" borderId="86" xfId="2" applyNumberFormat="1" applyFont="1" applyFill="1" applyBorder="1" applyAlignment="1">
      <alignment vertical="center"/>
    </xf>
    <xf numFmtId="165" fontId="5" fillId="0" borderId="4" xfId="2" applyNumberFormat="1" applyFont="1" applyFill="1" applyBorder="1" applyAlignment="1">
      <alignment vertical="center"/>
    </xf>
    <xf numFmtId="166" fontId="27" fillId="0" borderId="86" xfId="1453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vertical="center"/>
    </xf>
    <xf numFmtId="166" fontId="5" fillId="0" borderId="0" xfId="2408" applyNumberFormat="1" applyFont="1" applyFill="1" applyBorder="1" applyAlignment="1">
      <alignment vertical="center"/>
    </xf>
    <xf numFmtId="166" fontId="5" fillId="0" borderId="0" xfId="2408" applyNumberFormat="1" applyFont="1" applyAlignment="1">
      <alignment vertical="center"/>
    </xf>
    <xf numFmtId="169" fontId="5" fillId="0" borderId="86" xfId="4" applyNumberFormat="1" applyFont="1" applyBorder="1" applyAlignment="1">
      <alignment horizontal="center"/>
    </xf>
    <xf numFmtId="0" fontId="5" fillId="0" borderId="86" xfId="4" applyFont="1" applyBorder="1" applyAlignment="1">
      <alignment horizontal="center"/>
    </xf>
    <xf numFmtId="0" fontId="5" fillId="0" borderId="86" xfId="4" quotePrefix="1" applyFont="1" applyBorder="1" applyAlignment="1">
      <alignment horizontal="left"/>
    </xf>
    <xf numFmtId="0" fontId="9" fillId="0" borderId="0" xfId="4" applyFont="1" applyAlignment="1">
      <alignment vertical="center"/>
    </xf>
    <xf numFmtId="0" fontId="6" fillId="0" borderId="4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left" vertical="center"/>
    </xf>
    <xf numFmtId="3" fontId="6" fillId="0" borderId="86" xfId="4" applyNumberFormat="1" applyFont="1" applyBorder="1" applyAlignment="1">
      <alignment horizontal="right" vertical="center"/>
    </xf>
    <xf numFmtId="3" fontId="6" fillId="0" borderId="4" xfId="4" applyNumberFormat="1" applyFont="1" applyBorder="1" applyAlignment="1">
      <alignment vertical="center"/>
    </xf>
    <xf numFmtId="17" fontId="5" fillId="0" borderId="3" xfId="4" applyNumberFormat="1" applyFont="1" applyBorder="1" applyAlignment="1">
      <alignment horizontal="left" vertical="center"/>
    </xf>
    <xf numFmtId="165" fontId="5" fillId="0" borderId="86" xfId="21" applyNumberFormat="1" applyFont="1" applyFill="1" applyBorder="1" applyAlignment="1">
      <alignment vertical="center"/>
    </xf>
    <xf numFmtId="15" fontId="5" fillId="0" borderId="3" xfId="4" applyNumberFormat="1" applyFont="1" applyBorder="1" applyAlignment="1">
      <alignment vertical="center"/>
    </xf>
    <xf numFmtId="0" fontId="6" fillId="0" borderId="3" xfId="4" applyFont="1" applyBorder="1" applyAlignment="1">
      <alignment vertical="center"/>
    </xf>
    <xf numFmtId="165" fontId="6" fillId="0" borderId="86" xfId="21" applyNumberFormat="1" applyFont="1" applyBorder="1" applyAlignment="1">
      <alignment vertical="center"/>
    </xf>
    <xf numFmtId="3" fontId="5" fillId="0" borderId="4" xfId="4" applyNumberFormat="1" applyFont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3" fontId="6" fillId="0" borderId="86" xfId="4" applyNumberFormat="1" applyFont="1" applyBorder="1" applyAlignment="1">
      <alignment vertical="center"/>
    </xf>
    <xf numFmtId="165" fontId="6" fillId="0" borderId="86" xfId="21" applyNumberFormat="1" applyFont="1" applyFill="1" applyBorder="1" applyAlignment="1">
      <alignment vertical="center"/>
    </xf>
    <xf numFmtId="3" fontId="5" fillId="0" borderId="86" xfId="4" applyNumberFormat="1" applyFont="1" applyBorder="1" applyAlignment="1">
      <alignment horizontal="center" vertical="center"/>
    </xf>
    <xf numFmtId="166" fontId="5" fillId="0" borderId="86" xfId="2408" applyNumberFormat="1" applyFont="1" applyBorder="1" applyAlignment="1">
      <alignment horizontal="center" vertical="center"/>
    </xf>
    <xf numFmtId="165" fontId="5" fillId="0" borderId="4" xfId="21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horizontal="center" vertical="center"/>
    </xf>
    <xf numFmtId="44" fontId="0" fillId="0" borderId="0" xfId="2" applyFont="1" applyAlignment="1">
      <alignment vertical="center"/>
    </xf>
    <xf numFmtId="165" fontId="6" fillId="0" borderId="4" xfId="21" applyNumberFormat="1" applyFont="1" applyFill="1" applyBorder="1" applyAlignment="1">
      <alignment vertical="center"/>
    </xf>
    <xf numFmtId="37" fontId="6" fillId="0" borderId="4" xfId="4" applyNumberFormat="1" applyFont="1" applyBorder="1" applyAlignment="1">
      <alignment vertical="center"/>
    </xf>
    <xf numFmtId="37" fontId="5" fillId="0" borderId="86" xfId="4" applyNumberFormat="1" applyFont="1" applyBorder="1" applyAlignment="1">
      <alignment vertical="center"/>
    </xf>
    <xf numFmtId="0" fontId="6" fillId="0" borderId="86" xfId="4" quotePrefix="1" applyFont="1" applyBorder="1" applyAlignment="1">
      <alignment vertical="center"/>
    </xf>
    <xf numFmtId="166" fontId="6" fillId="0" borderId="4" xfId="2408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vertical="center"/>
    </xf>
    <xf numFmtId="0" fontId="5" fillId="0" borderId="0" xfId="0" applyFont="1" applyAlignment="1">
      <alignment vertical="center"/>
    </xf>
    <xf numFmtId="170" fontId="5" fillId="0" borderId="4" xfId="4" applyNumberFormat="1" applyFont="1" applyBorder="1" applyAlignment="1">
      <alignment vertical="center"/>
    </xf>
    <xf numFmtId="169" fontId="5" fillId="0" borderId="86" xfId="4" applyNumberFormat="1" applyFont="1" applyBorder="1" applyAlignment="1">
      <alignment vertical="center"/>
    </xf>
    <xf numFmtId="170" fontId="5" fillId="0" borderId="0" xfId="2408" applyNumberFormat="1" applyFont="1" applyAlignment="1">
      <alignment vertical="center"/>
    </xf>
    <xf numFmtId="171" fontId="5" fillId="0" borderId="0" xfId="4" applyNumberFormat="1" applyFont="1" applyAlignment="1">
      <alignment horizontal="left" vertical="center"/>
    </xf>
    <xf numFmtId="41" fontId="5" fillId="0" borderId="0" xfId="4" applyNumberFormat="1" applyFont="1" applyAlignment="1">
      <alignment vertical="center"/>
    </xf>
    <xf numFmtId="165" fontId="5" fillId="0" borderId="86" xfId="2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4" applyFont="1" applyAlignment="1">
      <alignment horizontal="left" vertical="center"/>
    </xf>
    <xf numFmtId="3" fontId="6" fillId="0" borderId="0" xfId="4" applyNumberFormat="1" applyFont="1" applyAlignment="1">
      <alignment horizontal="right" vertical="center"/>
    </xf>
    <xf numFmtId="3" fontId="6" fillId="0" borderId="0" xfId="4" applyNumberFormat="1" applyFont="1" applyAlignment="1">
      <alignment vertical="center"/>
    </xf>
    <xf numFmtId="17" fontId="8" fillId="0" borderId="0" xfId="4" applyNumberFormat="1" applyFont="1" applyAlignment="1">
      <alignment horizontal="left" vertical="center"/>
    </xf>
    <xf numFmtId="17" fontId="6" fillId="0" borderId="0" xfId="4" applyNumberFormat="1" applyFont="1" applyAlignment="1">
      <alignment horizontal="left" vertical="center"/>
    </xf>
    <xf numFmtId="165" fontId="8" fillId="0" borderId="0" xfId="21" applyNumberFormat="1" applyFont="1" applyFill="1" applyBorder="1" applyAlignment="1">
      <alignment vertical="center"/>
    </xf>
    <xf numFmtId="3" fontId="6" fillId="0" borderId="0" xfId="4" applyNumberFormat="1" applyFont="1" applyAlignment="1">
      <alignment horizontal="centerContinuous" vertical="center"/>
    </xf>
    <xf numFmtId="15" fontId="6" fillId="0" borderId="0" xfId="4" applyNumberFormat="1" applyFont="1" applyAlignment="1">
      <alignment vertical="center"/>
    </xf>
    <xf numFmtId="166" fontId="8" fillId="0" borderId="0" xfId="22" applyNumberFormat="1" applyFont="1" applyFill="1" applyBorder="1" applyAlignment="1">
      <alignment vertical="center"/>
    </xf>
    <xf numFmtId="165" fontId="6" fillId="0" borderId="0" xfId="21" applyNumberFormat="1" applyFont="1" applyFill="1" applyBorder="1" applyAlignment="1">
      <alignment vertical="center"/>
    </xf>
    <xf numFmtId="165" fontId="6" fillId="0" borderId="86" xfId="2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quotePrefix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66" fontId="5" fillId="0" borderId="0" xfId="1" quotePrefix="1" applyNumberFormat="1" applyFont="1" applyBorder="1" applyAlignment="1">
      <alignment horizontal="centerContinuous" vertical="center"/>
    </xf>
    <xf numFmtId="49" fontId="6" fillId="0" borderId="105" xfId="0" applyNumberFormat="1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166" fontId="6" fillId="0" borderId="6" xfId="1" quotePrefix="1" applyNumberFormat="1" applyFont="1" applyBorder="1" applyAlignment="1">
      <alignment horizontal="center" vertical="center"/>
    </xf>
    <xf numFmtId="0" fontId="6" fillId="0" borderId="10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08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8" fontId="6" fillId="0" borderId="86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38" fontId="5" fillId="0" borderId="8" xfId="1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5" fontId="5" fillId="0" borderId="49" xfId="2" applyNumberFormat="1" applyFont="1" applyFill="1" applyBorder="1" applyAlignment="1">
      <alignment vertical="center"/>
    </xf>
    <xf numFmtId="38" fontId="5" fillId="0" borderId="104" xfId="1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172" fontId="5" fillId="0" borderId="86" xfId="1" applyNumberFormat="1" applyFont="1" applyFill="1" applyBorder="1" applyAlignment="1">
      <alignment vertical="center"/>
    </xf>
    <xf numFmtId="172" fontId="5" fillId="0" borderId="0" xfId="1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5" fontId="6" fillId="0" borderId="48" xfId="2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72" fontId="5" fillId="0" borderId="49" xfId="0" applyNumberFormat="1" applyFont="1" applyBorder="1" applyAlignment="1">
      <alignment vertical="center"/>
    </xf>
    <xf numFmtId="172" fontId="5" fillId="0" borderId="49" xfId="1" applyNumberFormat="1" applyFont="1" applyFill="1" applyBorder="1" applyAlignment="1">
      <alignment vertical="center"/>
    </xf>
    <xf numFmtId="0" fontId="5" fillId="0" borderId="104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6" fillId="0" borderId="86" xfId="2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13" fillId="0" borderId="7" xfId="0" applyNumberFormat="1" applyFont="1" applyBorder="1"/>
    <xf numFmtId="49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1604" applyFont="1" applyBorder="1" applyAlignment="1">
      <alignment horizontal="left"/>
    </xf>
    <xf numFmtId="0" fontId="11" fillId="0" borderId="7" xfId="1604" applyFont="1" applyBorder="1" applyAlignment="1">
      <alignment horizontal="center"/>
    </xf>
    <xf numFmtId="0" fontId="5" fillId="0" borderId="8" xfId="0" applyFont="1" applyBorder="1"/>
    <xf numFmtId="37" fontId="5" fillId="0" borderId="0" xfId="0" applyNumberFormat="1" applyFont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105" xfId="0" applyNumberFormat="1" applyFont="1" applyBorder="1" applyAlignment="1">
      <alignment horizontal="center" vertical="center"/>
    </xf>
    <xf numFmtId="37" fontId="6" fillId="0" borderId="106" xfId="0" applyNumberFormat="1" applyFont="1" applyBorder="1" applyAlignment="1">
      <alignment vertical="center"/>
    </xf>
    <xf numFmtId="37" fontId="6" fillId="0" borderId="6" xfId="0" quotePrefix="1" applyNumberFormat="1" applyFont="1" applyBorder="1" applyAlignment="1">
      <alignment horizontal="center" vertical="center"/>
    </xf>
    <xf numFmtId="37" fontId="6" fillId="0" borderId="106" xfId="0" quotePrefix="1" applyNumberFormat="1" applyFont="1" applyBorder="1" applyAlignment="1">
      <alignment horizontal="center" vertical="center"/>
    </xf>
    <xf numFmtId="37" fontId="6" fillId="0" borderId="107" xfId="0" quotePrefix="1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6" fillId="0" borderId="108" xfId="0" applyNumberFormat="1" applyFont="1" applyBorder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86" xfId="12" applyNumberFormat="1" applyFont="1" applyBorder="1" applyAlignment="1">
      <alignment horizontal="center" vertical="center"/>
    </xf>
    <xf numFmtId="37" fontId="6" fillId="0" borderId="8" xfId="0" quotePrefix="1" applyNumberFormat="1" applyFont="1" applyBorder="1" applyAlignment="1">
      <alignment horizontal="center" vertical="center"/>
    </xf>
    <xf numFmtId="37" fontId="6" fillId="0" borderId="109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37" fontId="6" fillId="0" borderId="49" xfId="12" applyNumberFormat="1" applyFont="1" applyBorder="1" applyAlignment="1">
      <alignment horizontal="center" vertical="center"/>
    </xf>
    <xf numFmtId="37" fontId="6" fillId="0" borderId="104" xfId="0" applyNumberFormat="1" applyFont="1" applyBorder="1" applyAlignment="1">
      <alignment horizontal="center" vertical="center"/>
    </xf>
    <xf numFmtId="37" fontId="5" fillId="0" borderId="108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5" fillId="0" borderId="86" xfId="12" applyNumberFormat="1" applyFont="1" applyBorder="1" applyAlignment="1">
      <alignment horizontal="center" vertical="center"/>
    </xf>
    <xf numFmtId="37" fontId="5" fillId="0" borderId="8" xfId="1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39" fontId="5" fillId="0" borderId="0" xfId="0" applyNumberFormat="1" applyFont="1" applyAlignment="1">
      <alignment vertical="center"/>
    </xf>
    <xf numFmtId="43" fontId="5" fillId="0" borderId="0" xfId="1" applyFont="1" applyFill="1" applyAlignment="1">
      <alignment vertical="center"/>
    </xf>
    <xf numFmtId="173" fontId="5" fillId="0" borderId="108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37" fontId="5" fillId="0" borderId="8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165" fontId="6" fillId="0" borderId="48" xfId="2" applyNumberFormat="1" applyFont="1" applyBorder="1" applyAlignment="1">
      <alignment vertical="center"/>
    </xf>
    <xf numFmtId="37" fontId="5" fillId="0" borderId="8" xfId="0" applyNumberFormat="1" applyFont="1" applyBorder="1" applyAlignment="1">
      <alignment horizontal="center" vertical="center"/>
    </xf>
    <xf numFmtId="37" fontId="5" fillId="0" borderId="109" xfId="0" applyNumberFormat="1" applyFont="1" applyBorder="1" applyAlignment="1">
      <alignment vertical="center"/>
    </xf>
    <xf numFmtId="37" fontId="5" fillId="0" borderId="49" xfId="1" applyNumberFormat="1" applyFont="1" applyBorder="1" applyAlignment="1">
      <alignment vertical="center"/>
    </xf>
    <xf numFmtId="0" fontId="6" fillId="0" borderId="96" xfId="0" applyFont="1" applyBorder="1" applyAlignment="1">
      <alignment horizontal="center" vertical="center"/>
    </xf>
    <xf numFmtId="37" fontId="5" fillId="0" borderId="104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37" fontId="5" fillId="0" borderId="0" xfId="1" applyNumberFormat="1" applyFont="1" applyFill="1" applyBorder="1" applyAlignment="1">
      <alignment vertical="center"/>
    </xf>
    <xf numFmtId="37" fontId="13" fillId="0" borderId="7" xfId="0" applyNumberFormat="1" applyFont="1" applyBorder="1" applyAlignment="1">
      <alignment horizontal="left" vertical="center"/>
    </xf>
    <xf numFmtId="165" fontId="6" fillId="0" borderId="1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37" fontId="5" fillId="0" borderId="50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horizontal="left" vertical="center"/>
    </xf>
    <xf numFmtId="173" fontId="5" fillId="0" borderId="0" xfId="0" applyNumberFormat="1" applyFont="1" applyAlignment="1">
      <alignment vertical="center"/>
    </xf>
    <xf numFmtId="37" fontId="11" fillId="0" borderId="0" xfId="0" applyNumberFormat="1" applyFont="1" applyAlignment="1">
      <alignment horizontal="center" vertical="center"/>
    </xf>
    <xf numFmtId="37" fontId="6" fillId="0" borderId="0" xfId="56" applyNumberFormat="1" applyFont="1" applyAlignment="1" applyProtection="1">
      <alignment horizontal="center" vertical="center"/>
      <protection locked="0"/>
    </xf>
    <xf numFmtId="37" fontId="6" fillId="0" borderId="0" xfId="56" applyNumberFormat="1" applyFont="1" applyAlignment="1">
      <alignment vertical="center"/>
    </xf>
    <xf numFmtId="165" fontId="6" fillId="0" borderId="1" xfId="2" applyNumberFormat="1" applyFont="1" applyFill="1" applyBorder="1"/>
    <xf numFmtId="15" fontId="5" fillId="0" borderId="86" xfId="4" quotePrefix="1" applyNumberFormat="1" applyFont="1" applyBorder="1" applyAlignment="1">
      <alignment horizontal="left" vertical="center"/>
    </xf>
    <xf numFmtId="10" fontId="5" fillId="0" borderId="0" xfId="3853" applyNumberFormat="1" applyFont="1" applyAlignment="1">
      <alignment horizontal="center" vertical="center"/>
    </xf>
    <xf numFmtId="6" fontId="6" fillId="0" borderId="0" xfId="4" quotePrefix="1" applyNumberFormat="1" applyFont="1" applyAlignment="1">
      <alignment horizontal="centerContinuous" vertical="center"/>
    </xf>
    <xf numFmtId="210" fontId="5" fillId="0" borderId="0" xfId="4" applyNumberFormat="1" applyFont="1" applyAlignment="1">
      <alignment horizontal="center" vertical="center"/>
    </xf>
    <xf numFmtId="1" fontId="5" fillId="0" borderId="0" xfId="4" applyNumberFormat="1" applyFont="1" applyAlignment="1">
      <alignment vertical="center"/>
    </xf>
    <xf numFmtId="166" fontId="5" fillId="0" borderId="86" xfId="4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vertical="center"/>
    </xf>
    <xf numFmtId="174" fontId="5" fillId="0" borderId="0" xfId="4" applyNumberFormat="1" applyFont="1" applyAlignment="1">
      <alignment vertical="center"/>
    </xf>
    <xf numFmtId="166" fontId="27" fillId="0" borderId="86" xfId="1" applyNumberFormat="1" applyFont="1" applyBorder="1" applyAlignment="1">
      <alignment vertical="center"/>
    </xf>
    <xf numFmtId="166" fontId="5" fillId="0" borderId="0" xfId="2408" applyNumberFormat="1" applyFont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5" fontId="5" fillId="0" borderId="0" xfId="4" applyNumberFormat="1" applyFont="1" applyAlignment="1" applyProtection="1">
      <alignment vertical="center"/>
      <protection locked="0"/>
    </xf>
    <xf numFmtId="0" fontId="158" fillId="0" borderId="0" xfId="4" applyFont="1" applyAlignment="1">
      <alignment horizontal="center" vertical="center"/>
    </xf>
    <xf numFmtId="165" fontId="5" fillId="3" borderId="0" xfId="2" applyNumberFormat="1" applyFont="1" applyFill="1" applyAlignment="1">
      <alignment vertical="center"/>
    </xf>
    <xf numFmtId="166" fontId="5" fillId="3" borderId="0" xfId="1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Fill="1" applyAlignment="1">
      <alignment horizontal="center" vertical="center"/>
    </xf>
    <xf numFmtId="165" fontId="5" fillId="0" borderId="0" xfId="21" applyNumberFormat="1" applyFont="1" applyAlignment="1">
      <alignment horizontal="center" vertical="center"/>
    </xf>
    <xf numFmtId="165" fontId="5" fillId="0" borderId="1" xfId="21" applyNumberFormat="1" applyFont="1" applyBorder="1" applyAlignment="1">
      <alignment vertical="center"/>
    </xf>
    <xf numFmtId="165" fontId="5" fillId="0" borderId="0" xfId="21" applyNumberFormat="1" applyFont="1" applyBorder="1" applyAlignment="1">
      <alignment vertical="center"/>
    </xf>
    <xf numFmtId="0" fontId="9" fillId="0" borderId="0" xfId="4" applyFont="1" applyAlignment="1">
      <alignment horizontal="center" vertical="center"/>
    </xf>
    <xf numFmtId="165" fontId="5" fillId="0" borderId="0" xfId="21" applyNumberFormat="1" applyFont="1" applyBorder="1" applyAlignment="1" applyProtection="1">
      <alignment vertical="center"/>
      <protection locked="0"/>
    </xf>
    <xf numFmtId="5" fontId="6" fillId="0" borderId="0" xfId="4" applyNumberFormat="1" applyFont="1" applyAlignment="1" applyProtection="1">
      <alignment horizontal="center" vertical="center"/>
      <protection locked="0"/>
    </xf>
    <xf numFmtId="165" fontId="5" fillId="3" borderId="0" xfId="21" applyNumberFormat="1" applyFont="1" applyFill="1" applyAlignment="1" applyProtection="1">
      <alignment vertical="center"/>
      <protection locked="0"/>
    </xf>
    <xf numFmtId="5" fontId="5" fillId="0" borderId="0" xfId="4" applyNumberFormat="1" applyFont="1" applyAlignment="1">
      <alignment horizontal="center" vertical="center"/>
    </xf>
    <xf numFmtId="5" fontId="5" fillId="0" borderId="0" xfId="4" applyNumberFormat="1" applyFont="1" applyAlignment="1" applyProtection="1">
      <alignment horizontal="center" vertical="center"/>
      <protection locked="0"/>
    </xf>
    <xf numFmtId="10" fontId="5" fillId="0" borderId="0" xfId="4" applyNumberFormat="1" applyFont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center" vertical="center"/>
      <protection locked="0"/>
    </xf>
    <xf numFmtId="165" fontId="5" fillId="0" borderId="0" xfId="21" applyNumberFormat="1" applyFont="1" applyBorder="1" applyAlignment="1" applyProtection="1">
      <alignment horizontal="right" vertical="center"/>
      <protection locked="0"/>
    </xf>
    <xf numFmtId="165" fontId="5" fillId="0" borderId="1" xfId="21" applyNumberFormat="1" applyFont="1" applyBorder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vertical="center"/>
      <protection locked="0"/>
    </xf>
    <xf numFmtId="0" fontId="10" fillId="0" borderId="0" xfId="4" applyFont="1" applyAlignment="1">
      <alignment vertical="center"/>
    </xf>
    <xf numFmtId="165" fontId="5" fillId="2" borderId="0" xfId="21" applyNumberFormat="1" applyFont="1" applyFill="1" applyAlignment="1" applyProtection="1">
      <alignment vertical="center"/>
      <protection locked="0"/>
    </xf>
    <xf numFmtId="165" fontId="5" fillId="0" borderId="0" xfId="21" applyNumberFormat="1" applyFont="1" applyFill="1" applyBorder="1" applyAlignment="1" applyProtection="1">
      <alignment vertical="center"/>
      <protection locked="0"/>
    </xf>
    <xf numFmtId="166" fontId="5" fillId="2" borderId="0" xfId="2408" applyNumberFormat="1" applyFont="1" applyFill="1" applyBorder="1" applyAlignment="1" applyProtection="1">
      <alignment horizontal="right" vertical="center"/>
      <protection locked="0"/>
    </xf>
    <xf numFmtId="166" fontId="5" fillId="0" borderId="0" xfId="2408" applyNumberFormat="1" applyFont="1" applyFill="1" applyBorder="1" applyAlignment="1" applyProtection="1">
      <alignment vertical="center"/>
      <protection locked="0"/>
    </xf>
    <xf numFmtId="165" fontId="5" fillId="0" borderId="0" xfId="21" applyNumberFormat="1" applyFont="1" applyAlignment="1">
      <alignment horizontal="right" vertical="center"/>
    </xf>
    <xf numFmtId="10" fontId="5" fillId="0" borderId="0" xfId="3853" applyNumberFormat="1" applyFont="1" applyBorder="1" applyAlignment="1">
      <alignment vertical="center"/>
    </xf>
    <xf numFmtId="165" fontId="5" fillId="0" borderId="0" xfId="2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>
      <alignment vertical="center"/>
    </xf>
    <xf numFmtId="0" fontId="5" fillId="0" borderId="0" xfId="2606" applyFont="1" applyAlignment="1">
      <alignment vertical="center"/>
    </xf>
    <xf numFmtId="0" fontId="11" fillId="0" borderId="0" xfId="4" quotePrefix="1" applyFont="1" applyAlignment="1">
      <alignment horizontal="center" vertical="center"/>
    </xf>
    <xf numFmtId="165" fontId="5" fillId="0" borderId="0" xfId="21" applyNumberFormat="1" applyFont="1" applyFill="1" applyAlignment="1" applyProtection="1">
      <alignment vertical="center"/>
      <protection locked="0"/>
    </xf>
    <xf numFmtId="5" fontId="157" fillId="0" borderId="0" xfId="4" applyNumberFormat="1" applyFont="1" applyAlignment="1">
      <alignment horizontal="center" vertical="center"/>
    </xf>
    <xf numFmtId="166" fontId="5" fillId="0" borderId="0" xfId="2408" applyNumberFormat="1" applyFont="1" applyFill="1" applyAlignment="1" applyProtection="1">
      <alignment vertical="center"/>
      <protection locked="0"/>
    </xf>
    <xf numFmtId="165" fontId="5" fillId="0" borderId="0" xfId="2" applyNumberFormat="1" applyFont="1" applyAlignment="1">
      <alignment vertical="center"/>
    </xf>
    <xf numFmtId="211" fontId="5" fillId="0" borderId="0" xfId="4" applyNumberFormat="1" applyFont="1" applyAlignment="1">
      <alignment vertical="center"/>
    </xf>
    <xf numFmtId="0" fontId="8" fillId="0" borderId="0" xfId="4" applyFont="1" applyAlignment="1">
      <alignment horizontal="center" vertical="center"/>
    </xf>
    <xf numFmtId="0" fontId="5" fillId="0" borderId="9" xfId="4" applyFont="1" applyBorder="1" applyAlignment="1">
      <alignment vertical="center"/>
    </xf>
    <xf numFmtId="0" fontId="5" fillId="0" borderId="9" xfId="4" applyFont="1" applyBorder="1" applyAlignment="1">
      <alignment horizontal="right" vertical="center"/>
    </xf>
    <xf numFmtId="5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Border="1" applyAlignment="1">
      <alignment horizontal="right" vertical="center"/>
    </xf>
    <xf numFmtId="0" fontId="5" fillId="0" borderId="0" xfId="6107" applyFont="1"/>
    <xf numFmtId="165" fontId="5" fillId="0" borderId="0" xfId="21" applyNumberFormat="1" applyFont="1" applyFill="1" applyProtection="1">
      <protection locked="0"/>
    </xf>
    <xf numFmtId="0" fontId="5" fillId="0" borderId="9" xfId="6107" applyFont="1" applyBorder="1"/>
    <xf numFmtId="0" fontId="6" fillId="0" borderId="9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166" fontId="6" fillId="0" borderId="0" xfId="2408" applyNumberFormat="1" applyFont="1" applyAlignment="1" applyProtection="1">
      <alignment vertical="center"/>
      <protection locked="0"/>
    </xf>
    <xf numFmtId="166" fontId="5" fillId="3" borderId="0" xfId="2408" applyNumberFormat="1" applyFont="1" applyFill="1" applyBorder="1" applyAlignment="1" applyProtection="1">
      <alignment vertical="center"/>
      <protection locked="0"/>
    </xf>
    <xf numFmtId="166" fontId="5" fillId="3" borderId="0" xfId="2408" applyNumberFormat="1" applyFont="1" applyFill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horizontal="right" vertical="center"/>
      <protection locked="0"/>
    </xf>
    <xf numFmtId="5" fontId="9" fillId="0" borderId="0" xfId="4" applyNumberFormat="1" applyFont="1" applyAlignment="1" applyProtection="1">
      <alignment horizontal="center" vertical="center"/>
      <protection locked="0"/>
    </xf>
    <xf numFmtId="5" fontId="5" fillId="0" borderId="0" xfId="0" applyNumberFormat="1" applyFont="1" applyAlignment="1">
      <alignment horizontal="center" vertical="center"/>
    </xf>
    <xf numFmtId="165" fontId="5" fillId="3" borderId="0" xfId="2" applyNumberFormat="1" applyFont="1" applyFill="1" applyAlignment="1" applyProtection="1">
      <alignment vertical="center"/>
      <protection locked="0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5" fillId="0" borderId="0" xfId="0" applyNumberFormat="1" applyFont="1" applyAlignment="1" applyProtection="1">
      <alignment vertical="center"/>
      <protection locked="0"/>
    </xf>
    <xf numFmtId="166" fontId="5" fillId="3" borderId="0" xfId="1" applyNumberFormat="1" applyFont="1" applyFill="1" applyAlignment="1" applyProtection="1">
      <alignment vertical="center"/>
      <protection locked="0"/>
    </xf>
    <xf numFmtId="166" fontId="5" fillId="0" borderId="0" xfId="1" applyNumberFormat="1" applyFont="1" applyAlignment="1" applyProtection="1">
      <alignment vertical="center"/>
      <protection locked="0"/>
    </xf>
    <xf numFmtId="166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  <protection locked="0"/>
    </xf>
    <xf numFmtId="165" fontId="5" fillId="0" borderId="0" xfId="2" applyNumberFormat="1" applyFont="1" applyAlignment="1">
      <alignment horizontal="center" vertical="center"/>
    </xf>
    <xf numFmtId="10" fontId="5" fillId="0" borderId="0" xfId="3" applyNumberFormat="1" applyFont="1" applyBorder="1" applyAlignment="1" applyProtection="1">
      <alignment horizontal="center" vertical="center"/>
      <protection locked="0"/>
    </xf>
    <xf numFmtId="10" fontId="5" fillId="0" borderId="0" xfId="3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29" fillId="0" borderId="110" xfId="1962" applyFont="1" applyBorder="1" applyAlignment="1">
      <alignment horizontal="center"/>
    </xf>
    <xf numFmtId="0" fontId="5" fillId="0" borderId="7" xfId="37887" quotePrefix="1" applyNumberFormat="1" applyFont="1" applyFill="1" applyBorder="1" applyAlignment="1">
      <alignment vertical="center"/>
    </xf>
    <xf numFmtId="0" fontId="27" fillId="0" borderId="7" xfId="1962" applyFont="1" applyBorder="1"/>
    <xf numFmtId="0" fontId="29" fillId="0" borderId="7" xfId="1962" applyFont="1" applyBorder="1"/>
    <xf numFmtId="0" fontId="29" fillId="0" borderId="50" xfId="1962" applyFont="1" applyBorder="1"/>
    <xf numFmtId="0" fontId="29" fillId="0" borderId="4" xfId="1962" applyFont="1" applyBorder="1"/>
    <xf numFmtId="0" fontId="29" fillId="0" borderId="113" xfId="1962" applyFont="1" applyBorder="1"/>
    <xf numFmtId="0" fontId="5" fillId="0" borderId="0" xfId="0" quotePrefix="1" applyFont="1" applyAlignment="1">
      <alignment horizontal="center" vertical="center"/>
    </xf>
    <xf numFmtId="0" fontId="9" fillId="0" borderId="0" xfId="0" applyFont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11" fillId="0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Alignment="1">
      <alignment vertical="center"/>
    </xf>
    <xf numFmtId="166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86" xfId="37039" applyNumberFormat="1" applyFont="1" applyBorder="1" applyAlignment="1">
      <alignment horizontal="center"/>
    </xf>
    <xf numFmtId="41" fontId="5" fillId="0" borderId="86" xfId="3857" applyFont="1" applyBorder="1" applyAlignment="1">
      <alignment horizontal="center"/>
    </xf>
    <xf numFmtId="165" fontId="5" fillId="0" borderId="86" xfId="37039" applyNumberFormat="1" applyFont="1" applyFill="1" applyBorder="1" applyAlignment="1">
      <alignment horizontal="center"/>
    </xf>
    <xf numFmtId="0" fontId="27" fillId="0" borderId="0" xfId="0" applyFont="1" applyAlignment="1">
      <alignment vertical="center" wrapText="1"/>
    </xf>
    <xf numFmtId="165" fontId="5" fillId="0" borderId="0" xfId="21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Border="1" applyAlignment="1" applyProtection="1">
      <alignment horizontal="center" vertical="center"/>
      <protection locked="0"/>
    </xf>
    <xf numFmtId="165" fontId="5" fillId="3" borderId="0" xfId="21" applyNumberFormat="1" applyFont="1" applyFill="1" applyBorder="1" applyAlignment="1" applyProtection="1">
      <alignment vertical="center"/>
      <protection locked="0"/>
    </xf>
    <xf numFmtId="5" fontId="9" fillId="0" borderId="0" xfId="4" applyNumberFormat="1" applyFont="1" applyAlignment="1">
      <alignment horizontal="center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right" vertical="center"/>
      <protection locked="0"/>
    </xf>
    <xf numFmtId="165" fontId="5" fillId="0" borderId="0" xfId="21" applyNumberFormat="1" applyFont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 wrapText="1"/>
    </xf>
    <xf numFmtId="0" fontId="10" fillId="0" borderId="0" xfId="4" applyFont="1" applyAlignment="1">
      <alignment horizontal="center" vertical="center"/>
    </xf>
    <xf numFmtId="0" fontId="5" fillId="0" borderId="0" xfId="21" applyNumberFormat="1" applyFont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 wrapText="1"/>
    </xf>
    <xf numFmtId="165" fontId="6" fillId="0" borderId="0" xfId="21" applyNumberFormat="1" applyFont="1" applyBorder="1" applyAlignment="1">
      <alignment vertical="center"/>
    </xf>
    <xf numFmtId="165" fontId="9" fillId="0" borderId="0" xfId="21" applyNumberFormat="1" applyFont="1" applyAlignment="1">
      <alignment horizontal="left" vertical="center"/>
    </xf>
    <xf numFmtId="5" fontId="5" fillId="0" borderId="0" xfId="4" applyNumberFormat="1" applyFont="1" applyAlignment="1">
      <alignment vertical="center"/>
    </xf>
    <xf numFmtId="10" fontId="5" fillId="0" borderId="0" xfId="4" applyNumberFormat="1" applyFont="1" applyAlignment="1">
      <alignment vertical="center"/>
    </xf>
    <xf numFmtId="166" fontId="5" fillId="0" borderId="0" xfId="2408" applyNumberFormat="1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center" vertical="center"/>
    </xf>
    <xf numFmtId="166" fontId="5" fillId="0" borderId="0" xfId="2408" applyNumberFormat="1" applyFont="1" applyBorder="1" applyAlignment="1">
      <alignment horizontal="right" vertical="center"/>
    </xf>
    <xf numFmtId="5" fontId="5" fillId="0" borderId="0" xfId="4" applyNumberFormat="1" applyFont="1" applyAlignment="1">
      <alignment horizontal="right" vertical="center"/>
    </xf>
    <xf numFmtId="166" fontId="5" fillId="0" borderId="0" xfId="2408" applyNumberFormat="1" applyFont="1" applyAlignment="1">
      <alignment horizontal="right" vertical="center"/>
    </xf>
    <xf numFmtId="166" fontId="5" fillId="0" borderId="0" xfId="2408" applyNumberFormat="1" applyFont="1" applyAlignment="1" applyProtection="1">
      <alignment vertical="center"/>
    </xf>
    <xf numFmtId="166" fontId="5" fillId="0" borderId="0" xfId="2408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horizontal="center" vertical="center"/>
    </xf>
    <xf numFmtId="165" fontId="5" fillId="0" borderId="1" xfId="21" applyNumberFormat="1" applyFont="1" applyBorder="1" applyAlignment="1" applyProtection="1">
      <alignment horizontal="right" vertical="center"/>
    </xf>
    <xf numFmtId="5" fontId="5" fillId="0" borderId="0" xfId="3853" applyNumberFormat="1" applyFont="1" applyAlignment="1" applyProtection="1">
      <alignment vertical="center"/>
    </xf>
    <xf numFmtId="5" fontId="5" fillId="0" borderId="0" xfId="3853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vertical="center"/>
    </xf>
    <xf numFmtId="10" fontId="5" fillId="0" borderId="1" xfId="21" applyNumberFormat="1" applyFont="1" applyBorder="1" applyAlignment="1" applyProtection="1">
      <alignment horizontal="right" vertical="center"/>
    </xf>
    <xf numFmtId="165" fontId="5" fillId="0" borderId="0" xfId="21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2" applyNumberFormat="1" applyFont="1" applyAlignment="1">
      <alignment horizontal="center" vertical="center"/>
    </xf>
    <xf numFmtId="166" fontId="5" fillId="0" borderId="0" xfId="1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Alignment="1">
      <alignment vertical="center"/>
    </xf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165" fontId="5" fillId="0" borderId="0" xfId="2" applyNumberFormat="1" applyFont="1" applyBorder="1" applyAlignment="1">
      <alignment horizontal="right" vertical="center"/>
    </xf>
    <xf numFmtId="5" fontId="5" fillId="0" borderId="0" xfId="0" applyNumberFormat="1" applyFont="1" applyAlignment="1">
      <alignment horizontal="right" vertical="center"/>
    </xf>
    <xf numFmtId="165" fontId="5" fillId="2" borderId="0" xfId="2" applyNumberFormat="1" applyFont="1" applyFill="1" applyAlignment="1">
      <alignment horizontal="right" vertical="center"/>
    </xf>
    <xf numFmtId="166" fontId="5" fillId="111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0" fontId="5" fillId="0" borderId="1" xfId="2" applyNumberFormat="1" applyFont="1" applyBorder="1" applyAlignment="1">
      <alignment horizontal="right" vertical="center"/>
    </xf>
    <xf numFmtId="165" fontId="5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0" fontId="6" fillId="0" borderId="0" xfId="2083" applyFont="1" applyAlignment="1">
      <alignment horizontal="left" vertical="center"/>
    </xf>
    <xf numFmtId="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10" fontId="5" fillId="0" borderId="0" xfId="3" applyNumberFormat="1" applyFont="1" applyBorder="1" applyAlignment="1">
      <alignment horizontal="right" vertical="center"/>
    </xf>
    <xf numFmtId="166" fontId="5" fillId="0" borderId="0" xfId="1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0" fontId="5" fillId="0" borderId="0" xfId="3" applyNumberFormat="1" applyFont="1" applyFill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0" fontId="5" fillId="0" borderId="0" xfId="3" applyNumberFormat="1" applyFont="1" applyAlignment="1">
      <alignment horizontal="right" vertical="center"/>
    </xf>
    <xf numFmtId="166" fontId="5" fillId="0" borderId="0" xfId="1" applyNumberFormat="1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5" fontId="5" fillId="0" borderId="0" xfId="0" applyNumberFormat="1" applyFont="1" applyAlignment="1">
      <alignment horizontal="center" vertical="center" wrapText="1"/>
    </xf>
    <xf numFmtId="10" fontId="5" fillId="2" borderId="0" xfId="3" applyNumberFormat="1" applyFont="1" applyFill="1" applyAlignment="1">
      <alignment horizontal="right" vertical="center"/>
    </xf>
    <xf numFmtId="165" fontId="5" fillId="2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0" fontId="5" fillId="0" borderId="0" xfId="3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7" fontId="5" fillId="0" borderId="0" xfId="3" applyNumberFormat="1" applyFont="1" applyAlignment="1">
      <alignment horizontal="right" vertical="center"/>
    </xf>
    <xf numFmtId="167" fontId="6" fillId="0" borderId="0" xfId="3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 wrapText="1"/>
    </xf>
    <xf numFmtId="17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9" fontId="5" fillId="0" borderId="0" xfId="3" applyFont="1" applyAlignment="1">
      <alignment horizontal="right" vertical="center"/>
    </xf>
    <xf numFmtId="167" fontId="5" fillId="0" borderId="0" xfId="3" applyNumberFormat="1" applyFont="1" applyBorder="1" applyAlignment="1">
      <alignment horizontal="right" vertical="center"/>
    </xf>
    <xf numFmtId="167" fontId="6" fillId="0" borderId="0" xfId="3" applyNumberFormat="1" applyFont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5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 wrapText="1"/>
    </xf>
    <xf numFmtId="10" fontId="5" fillId="0" borderId="0" xfId="3" quotePrefix="1" applyNumberFormat="1" applyFont="1" applyBorder="1" applyAlignment="1">
      <alignment horizontal="right"/>
    </xf>
    <xf numFmtId="0" fontId="6" fillId="0" borderId="110" xfId="1567" applyFont="1" applyBorder="1" applyAlignment="1">
      <alignment horizontal="center" wrapText="1"/>
    </xf>
    <xf numFmtId="168" fontId="5" fillId="0" borderId="86" xfId="4" applyNumberFormat="1" applyFont="1" applyBorder="1" applyAlignment="1">
      <alignment horizontal="center" vertical="center"/>
    </xf>
    <xf numFmtId="166" fontId="5" fillId="0" borderId="86" xfId="1" applyNumberFormat="1" applyFont="1" applyBorder="1" applyAlignment="1">
      <alignment horizontal="center" vertical="center"/>
    </xf>
    <xf numFmtId="165" fontId="5" fillId="0" borderId="0" xfId="1963" applyNumberFormat="1" applyFont="1" applyBorder="1" applyAlignment="1">
      <alignment horizontal="right"/>
    </xf>
    <xf numFmtId="166" fontId="5" fillId="0" borderId="0" xfId="1" applyNumberFormat="1" applyFont="1" applyFill="1"/>
    <xf numFmtId="0" fontId="6" fillId="0" borderId="117" xfId="4" applyFont="1" applyBorder="1" applyAlignment="1">
      <alignment horizontal="left" vertical="center"/>
    </xf>
    <xf numFmtId="0" fontId="6" fillId="0" borderId="117" xfId="4" applyFont="1" applyBorder="1" applyAlignment="1">
      <alignment horizontal="center" vertical="center"/>
    </xf>
    <xf numFmtId="165" fontId="5" fillId="0" borderId="86" xfId="21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horizontal="center" vertical="center"/>
    </xf>
    <xf numFmtId="0" fontId="6" fillId="0" borderId="117" xfId="4" applyFont="1" applyBorder="1" applyAlignment="1">
      <alignment vertical="center"/>
    </xf>
    <xf numFmtId="165" fontId="5" fillId="0" borderId="86" xfId="21" applyNumberFormat="1" applyFont="1" applyFill="1" applyBorder="1" applyAlignment="1">
      <alignment horizontal="center" vertical="center"/>
    </xf>
    <xf numFmtId="0" fontId="29" fillId="0" borderId="0" xfId="4" applyFont="1" applyAlignment="1">
      <alignment vertical="center"/>
    </xf>
    <xf numFmtId="0" fontId="29" fillId="0" borderId="0" xfId="4" applyFont="1" applyAlignment="1">
      <alignment horizontal="centerContinuous" vertical="center"/>
    </xf>
    <xf numFmtId="165" fontId="6" fillId="0" borderId="86" xfId="21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vertical="center"/>
    </xf>
    <xf numFmtId="37" fontId="6" fillId="0" borderId="0" xfId="1604" applyNumberFormat="1" applyFont="1"/>
    <xf numFmtId="166" fontId="5" fillId="0" borderId="110" xfId="1" applyNumberFormat="1" applyFont="1" applyFill="1" applyBorder="1" applyAlignment="1">
      <alignment vertical="center"/>
    </xf>
    <xf numFmtId="0" fontId="6" fillId="0" borderId="105" xfId="4" applyFont="1" applyBorder="1" applyAlignment="1">
      <alignment horizontal="center"/>
    </xf>
    <xf numFmtId="0" fontId="6" fillId="0" borderId="116" xfId="4" applyFont="1" applyBorder="1" applyAlignment="1">
      <alignment horizontal="center"/>
    </xf>
    <xf numFmtId="0" fontId="6" fillId="0" borderId="110" xfId="4" applyFont="1" applyBorder="1" applyAlignment="1">
      <alignment horizontal="center"/>
    </xf>
    <xf numFmtId="10" fontId="5" fillId="0" borderId="86" xfId="3" applyNumberFormat="1" applyFont="1" applyFill="1" applyBorder="1" applyAlignment="1">
      <alignment horizontal="center" vertical="center"/>
    </xf>
    <xf numFmtId="166" fontId="5" fillId="0" borderId="0" xfId="1" applyNumberFormat="1" applyFont="1" applyBorder="1" applyAlignment="1">
      <alignment horizontal="right"/>
    </xf>
    <xf numFmtId="165" fontId="6" fillId="0" borderId="0" xfId="2" applyNumberFormat="1" applyFont="1" applyBorder="1"/>
    <xf numFmtId="10" fontId="5" fillId="0" borderId="0" xfId="2012" applyNumberFormat="1" applyFont="1" applyAlignment="1">
      <alignment horizontal="right"/>
    </xf>
    <xf numFmtId="183" fontId="5" fillId="0" borderId="0" xfId="2012" applyNumberFormat="1" applyFont="1"/>
    <xf numFmtId="166" fontId="5" fillId="0" borderId="0" xfId="2408" applyNumberFormat="1" applyFont="1" applyFill="1" applyBorder="1" applyAlignment="1" applyProtection="1">
      <alignment horizontal="right"/>
      <protection locked="0"/>
    </xf>
    <xf numFmtId="165" fontId="5" fillId="0" borderId="0" xfId="2039" applyNumberFormat="1" applyFont="1"/>
    <xf numFmtId="165" fontId="6" fillId="0" borderId="0" xfId="1963" applyNumberFormat="1" applyFont="1" applyBorder="1" applyAlignment="1">
      <alignment horizontal="right"/>
    </xf>
    <xf numFmtId="10" fontId="6" fillId="0" borderId="0" xfId="2012" quotePrefix="1" applyNumberFormat="1" applyFont="1" applyAlignment="1">
      <alignment horizontal="right"/>
    </xf>
    <xf numFmtId="10" fontId="13" fillId="0" borderId="0" xfId="2012" applyNumberFormat="1" applyFont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5" fontId="6" fillId="0" borderId="0" xfId="1965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05" xfId="0" applyFont="1" applyBorder="1" applyAlignment="1">
      <alignment horizontal="center" wrapText="1"/>
    </xf>
    <xf numFmtId="0" fontId="6" fillId="0" borderId="111" xfId="0" applyFont="1" applyBorder="1" applyAlignment="1">
      <alignment horizontal="center" wrapText="1"/>
    </xf>
    <xf numFmtId="5" fontId="6" fillId="0" borderId="114" xfId="0" applyNumberFormat="1" applyFont="1" applyBorder="1" applyAlignment="1">
      <alignment horizontal="center" vertical="justify"/>
    </xf>
    <xf numFmtId="5" fontId="5" fillId="0" borderId="7" xfId="0" applyNumberFormat="1" applyFont="1" applyBorder="1"/>
    <xf numFmtId="5" fontId="6" fillId="0" borderId="110" xfId="0" applyNumberFormat="1" applyFont="1" applyBorder="1" applyAlignment="1">
      <alignment horizontal="center" vertical="justify"/>
    </xf>
    <xf numFmtId="165" fontId="6" fillId="0" borderId="0" xfId="21" applyNumberFormat="1" applyFont="1" applyFill="1" applyBorder="1" applyAlignment="1" applyProtection="1">
      <alignment horizontal="center"/>
    </xf>
    <xf numFmtId="166" fontId="5" fillId="0" borderId="0" xfId="2408" applyNumberFormat="1" applyFont="1" applyFill="1" applyBorder="1" applyAlignment="1" applyProtection="1">
      <alignment horizontal="right"/>
    </xf>
    <xf numFmtId="6" fontId="5" fillId="0" borderId="0" xfId="4" applyNumberFormat="1" applyFont="1"/>
    <xf numFmtId="41" fontId="5" fillId="3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1965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6" fillId="0" borderId="0" xfId="1965" applyFont="1" applyAlignment="1">
      <alignment horizontal="center" vertical="center"/>
    </xf>
    <xf numFmtId="0" fontId="6" fillId="0" borderId="0" xfId="1965" applyFont="1" applyAlignment="1">
      <alignment horizontal="center" vertical="center" wrapText="1"/>
    </xf>
    <xf numFmtId="0" fontId="6" fillId="0" borderId="0" xfId="1965" quotePrefix="1" applyFont="1" applyAlignment="1">
      <alignment horizontal="center" vertical="center"/>
    </xf>
    <xf numFmtId="0" fontId="6" fillId="0" borderId="0" xfId="2012" applyFont="1" applyAlignment="1">
      <alignment horizontal="center" vertical="center"/>
    </xf>
    <xf numFmtId="0" fontId="5" fillId="0" borderId="0" xfId="1965" applyFont="1" applyAlignment="1">
      <alignment vertical="center"/>
    </xf>
    <xf numFmtId="0" fontId="5" fillId="0" borderId="0" xfId="2012" applyFont="1" applyAlignment="1">
      <alignment horizontal="center" vertical="center"/>
    </xf>
    <xf numFmtId="0" fontId="6" fillId="0" borderId="0" xfId="2012" applyFont="1" applyAlignment="1">
      <alignment horizontal="left" vertical="center"/>
    </xf>
    <xf numFmtId="0" fontId="6" fillId="0" borderId="0" xfId="2012" applyFont="1" applyAlignment="1">
      <alignment vertical="center"/>
    </xf>
    <xf numFmtId="49" fontId="6" fillId="0" borderId="0" xfId="4" applyNumberFormat="1" applyFont="1" applyAlignment="1">
      <alignment horizontal="center" vertical="center"/>
    </xf>
    <xf numFmtId="0" fontId="6" fillId="0" borderId="0" xfId="2012" applyFont="1" applyAlignment="1" applyProtection="1">
      <alignment vertical="center"/>
      <protection locked="0"/>
    </xf>
    <xf numFmtId="168" fontId="6" fillId="0" borderId="0" xfId="4" applyNumberFormat="1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11" fillId="0" borderId="0" xfId="2001" applyFont="1" applyAlignment="1">
      <alignment horizontal="center" vertical="center"/>
    </xf>
    <xf numFmtId="0" fontId="5" fillId="0" borderId="0" xfId="37037" applyFont="1" applyAlignment="1">
      <alignment horizontal="center" vertical="center"/>
    </xf>
    <xf numFmtId="0" fontId="11" fillId="0" borderId="0" xfId="37037" applyFont="1" applyAlignment="1">
      <alignment horizontal="center" vertical="center"/>
    </xf>
    <xf numFmtId="37" fontId="6" fillId="0" borderId="0" xfId="1604" applyNumberFormat="1" applyFont="1" applyAlignment="1">
      <alignment vertical="center"/>
    </xf>
    <xf numFmtId="37" fontId="6" fillId="0" borderId="0" xfId="1604" applyNumberFormat="1" applyFont="1" applyAlignment="1">
      <alignment horizontal="center" vertical="center"/>
    </xf>
    <xf numFmtId="0" fontId="27" fillId="0" borderId="0" xfId="1962" applyFont="1" applyAlignment="1">
      <alignment horizontal="center" vertical="center"/>
    </xf>
    <xf numFmtId="0" fontId="27" fillId="0" borderId="7" xfId="1962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9" fillId="0" borderId="114" xfId="1962" applyFont="1" applyBorder="1" applyAlignment="1">
      <alignment horizontal="center"/>
    </xf>
    <xf numFmtId="0" fontId="117" fillId="0" borderId="6" xfId="1962" applyFont="1" applyBorder="1" applyAlignment="1">
      <alignment horizontal="center"/>
    </xf>
    <xf numFmtId="0" fontId="117" fillId="0" borderId="106" xfId="1962" applyFont="1" applyBorder="1" applyAlignment="1">
      <alignment horizontal="center"/>
    </xf>
    <xf numFmtId="165" fontId="5" fillId="0" borderId="0" xfId="2" applyNumberFormat="1" applyFont="1" applyFill="1" applyBorder="1" applyAlignment="1">
      <alignment vertical="center"/>
    </xf>
    <xf numFmtId="0" fontId="6" fillId="0" borderId="0" xfId="1604" applyFont="1"/>
    <xf numFmtId="10" fontId="5" fillId="0" borderId="0" xfId="1043" applyNumberFormat="1" applyFont="1" applyBorder="1" applyAlignment="1">
      <alignment horizontal="right"/>
    </xf>
    <xf numFmtId="0" fontId="5" fillId="0" borderId="0" xfId="2012" applyFont="1" applyAlignment="1">
      <alignment horizontal="left"/>
    </xf>
    <xf numFmtId="0" fontId="10" fillId="0" borderId="0" xfId="2012" applyFont="1"/>
    <xf numFmtId="165" fontId="5" fillId="0" borderId="48" xfId="48" applyNumberFormat="1" applyFont="1" applyBorder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5" fontId="5" fillId="2" borderId="4" xfId="48" applyNumberFormat="1" applyFont="1" applyFill="1" applyBorder="1" applyAlignment="1">
      <alignment horizontal="right" vertical="center"/>
    </xf>
    <xf numFmtId="165" fontId="5" fillId="0" borderId="4" xfId="4" applyNumberFormat="1" applyFont="1" applyBorder="1" applyAlignment="1">
      <alignment horizontal="right" vertical="center"/>
    </xf>
    <xf numFmtId="166" fontId="5" fillId="2" borderId="4" xfId="1" applyNumberFormat="1" applyFont="1" applyFill="1" applyBorder="1" applyAlignment="1">
      <alignment horizontal="right" vertical="center"/>
    </xf>
    <xf numFmtId="165" fontId="6" fillId="0" borderId="48" xfId="48" applyNumberFormat="1" applyFont="1" applyBorder="1" applyAlignment="1">
      <alignment horizontal="right" vertical="center"/>
    </xf>
    <xf numFmtId="165" fontId="5" fillId="2" borderId="0" xfId="2011" applyNumberFormat="1" applyFont="1" applyFill="1" applyAlignment="1">
      <alignment vertical="center"/>
    </xf>
    <xf numFmtId="165" fontId="5" fillId="0" borderId="0" xfId="2011" applyNumberFormat="1" applyFont="1" applyAlignment="1">
      <alignment vertical="center"/>
    </xf>
    <xf numFmtId="165" fontId="5" fillId="0" borderId="0" xfId="1963" applyNumberFormat="1" applyFont="1" applyBorder="1" applyAlignment="1">
      <alignment horizontal="right" vertical="center"/>
    </xf>
    <xf numFmtId="172" fontId="5" fillId="0" borderId="0" xfId="1963" applyNumberFormat="1" applyFont="1" applyAlignment="1">
      <alignment vertical="center"/>
    </xf>
    <xf numFmtId="165" fontId="6" fillId="0" borderId="0" xfId="1963" applyNumberFormat="1" applyFont="1" applyAlignment="1">
      <alignment vertical="center"/>
    </xf>
    <xf numFmtId="167" fontId="5" fillId="3" borderId="0" xfId="3" applyNumberFormat="1" applyFont="1" applyFill="1" applyBorder="1" applyAlignment="1">
      <alignment horizontal="right" vertical="center"/>
    </xf>
    <xf numFmtId="0" fontId="5" fillId="0" borderId="0" xfId="2012" applyFont="1" applyAlignment="1">
      <alignment vertical="center"/>
    </xf>
    <xf numFmtId="10" fontId="5" fillId="2" borderId="0" xfId="2012" applyNumberFormat="1" applyFont="1" applyFill="1" applyAlignment="1">
      <alignment horizontal="right" vertical="center"/>
    </xf>
    <xf numFmtId="183" fontId="5" fillId="0" borderId="0" xfId="2012" applyNumberFormat="1" applyFont="1" applyAlignment="1">
      <alignment horizontal="right" vertical="center"/>
    </xf>
    <xf numFmtId="183" fontId="5" fillId="0" borderId="0" xfId="2012" applyNumberFormat="1" applyFont="1" applyAlignment="1">
      <alignment vertical="center"/>
    </xf>
    <xf numFmtId="10" fontId="5" fillId="0" borderId="0" xfId="2012" applyNumberFormat="1" applyFont="1" applyAlignment="1">
      <alignment horizontal="right" vertical="center"/>
    </xf>
    <xf numFmtId="183" fontId="5" fillId="0" borderId="0" xfId="2012" quotePrefix="1" applyNumberFormat="1" applyFont="1" applyAlignment="1">
      <alignment horizontal="right" vertical="center"/>
    </xf>
    <xf numFmtId="167" fontId="5" fillId="3" borderId="0" xfId="2012" applyNumberFormat="1" applyFont="1" applyFill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0" fontId="13" fillId="0" borderId="0" xfId="2012" applyFont="1" applyAlignment="1">
      <alignment vertical="center"/>
    </xf>
    <xf numFmtId="165" fontId="5" fillId="0" borderId="1" xfId="2" applyNumberFormat="1" applyFont="1" applyBorder="1" applyAlignment="1">
      <alignment horizontal="right" vertical="center"/>
    </xf>
    <xf numFmtId="0" fontId="13" fillId="0" borderId="0" xfId="2012" applyFont="1" applyAlignment="1">
      <alignment horizontal="center" vertical="center"/>
    </xf>
    <xf numFmtId="10" fontId="5" fillId="0" borderId="0" xfId="1043" applyNumberFormat="1" applyFont="1" applyBorder="1" applyAlignment="1">
      <alignment horizontal="right" vertical="center"/>
    </xf>
    <xf numFmtId="10" fontId="6" fillId="0" borderId="0" xfId="61" applyNumberFormat="1" applyFont="1" applyBorder="1" applyAlignment="1">
      <alignment vertical="center"/>
    </xf>
    <xf numFmtId="10" fontId="6" fillId="0" borderId="0" xfId="1043" applyNumberFormat="1" applyFont="1" applyAlignment="1" applyProtection="1">
      <alignment horizontal="right" vertical="center"/>
    </xf>
    <xf numFmtId="165" fontId="5" fillId="2" borderId="0" xfId="2012" applyNumberFormat="1" applyFont="1" applyFill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52" xfId="2012" applyNumberFormat="1" applyFont="1" applyBorder="1" applyAlignment="1" applyProtection="1">
      <alignment horizontal="right" vertical="center"/>
      <protection locked="0"/>
    </xf>
    <xf numFmtId="165" fontId="6" fillId="0" borderId="0" xfId="2012" applyNumberFormat="1" applyFont="1" applyAlignment="1" applyProtection="1">
      <alignment horizontal="right" vertical="center"/>
      <protection locked="0"/>
    </xf>
    <xf numFmtId="167" fontId="5" fillId="2" borderId="0" xfId="61" applyNumberFormat="1" applyFont="1" applyFill="1" applyBorder="1" applyAlignment="1">
      <alignment horizontal="right" vertical="center"/>
    </xf>
    <xf numFmtId="165" fontId="5" fillId="0" borderId="51" xfId="2012" applyNumberFormat="1" applyFont="1" applyBorder="1" applyAlignment="1" applyProtection="1">
      <alignment horizontal="right" vertical="center"/>
      <protection locked="0"/>
    </xf>
    <xf numFmtId="165" fontId="5" fillId="0" borderId="0" xfId="2039" applyNumberFormat="1" applyFont="1" applyAlignment="1">
      <alignment horizontal="right" vertical="center"/>
    </xf>
    <xf numFmtId="165" fontId="5" fillId="0" borderId="0" xfId="2039" applyNumberFormat="1" applyFont="1" applyFill="1" applyAlignment="1">
      <alignment vertical="center"/>
    </xf>
    <xf numFmtId="166" fontId="5" fillId="0" borderId="0" xfId="2038" applyNumberFormat="1" applyFont="1" applyAlignment="1">
      <alignment vertical="center"/>
    </xf>
    <xf numFmtId="166" fontId="5" fillId="0" borderId="0" xfId="2038" applyNumberFormat="1" applyFont="1" applyFill="1" applyAlignment="1">
      <alignment vertical="center"/>
    </xf>
    <xf numFmtId="166" fontId="6" fillId="0" borderId="0" xfId="1" applyNumberFormat="1" applyFont="1" applyFill="1" applyAlignment="1">
      <alignment vertical="center"/>
    </xf>
    <xf numFmtId="165" fontId="5" fillId="0" borderId="0" xfId="1965" applyNumberFormat="1" applyFont="1" applyAlignment="1">
      <alignment vertical="center"/>
    </xf>
    <xf numFmtId="167" fontId="5" fillId="3" borderId="0" xfId="3" applyNumberFormat="1" applyFont="1" applyFill="1" applyAlignment="1">
      <alignment horizontal="right" vertical="center"/>
    </xf>
    <xf numFmtId="165" fontId="6" fillId="0" borderId="0" xfId="1965" applyNumberFormat="1" applyFont="1" applyAlignment="1">
      <alignment vertical="center"/>
    </xf>
    <xf numFmtId="165" fontId="5" fillId="2" borderId="0" xfId="21" applyNumberFormat="1" applyFont="1" applyFill="1" applyBorder="1" applyAlignment="1" applyProtection="1">
      <alignment horizontal="right" vertical="center"/>
      <protection locked="0"/>
    </xf>
    <xf numFmtId="41" fontId="5" fillId="0" borderId="86" xfId="3857" applyFont="1" applyBorder="1" applyAlignment="1">
      <alignment vertical="center"/>
    </xf>
    <xf numFmtId="41" fontId="5" fillId="0" borderId="0" xfId="3857" applyFont="1" applyAlignment="1">
      <alignment vertical="center"/>
    </xf>
    <xf numFmtId="165" fontId="5" fillId="0" borderId="48" xfId="37039" applyNumberFormat="1" applyFont="1" applyBorder="1" applyAlignment="1">
      <alignment vertical="center"/>
    </xf>
    <xf numFmtId="166" fontId="5" fillId="0" borderId="86" xfId="1442" applyNumberFormat="1" applyFont="1" applyBorder="1" applyAlignment="1">
      <alignment vertical="center"/>
    </xf>
    <xf numFmtId="165" fontId="5" fillId="0" borderId="0" xfId="37039" applyNumberFormat="1" applyFont="1" applyFill="1" applyAlignment="1">
      <alignment vertical="center"/>
    </xf>
    <xf numFmtId="166" fontId="5" fillId="0" borderId="86" xfId="1962" applyNumberFormat="1" applyFont="1" applyBorder="1" applyAlignment="1">
      <alignment vertical="center"/>
    </xf>
    <xf numFmtId="0" fontId="29" fillId="0" borderId="0" xfId="1962" applyFont="1" applyAlignment="1">
      <alignment vertical="center"/>
    </xf>
    <xf numFmtId="165" fontId="29" fillId="0" borderId="112" xfId="38093" applyNumberFormat="1" applyFont="1" applyBorder="1" applyAlignment="1">
      <alignment vertical="center"/>
    </xf>
    <xf numFmtId="43" fontId="29" fillId="0" borderId="0" xfId="1962" applyNumberFormat="1" applyFont="1" applyAlignment="1">
      <alignment vertical="center"/>
    </xf>
    <xf numFmtId="42" fontId="29" fillId="0" borderId="112" xfId="1045" applyFont="1" applyBorder="1" applyAlignment="1">
      <alignment vertical="center"/>
    </xf>
    <xf numFmtId="0" fontId="29" fillId="0" borderId="111" xfId="1962" applyFont="1" applyBorder="1" applyAlignment="1">
      <alignment vertical="center"/>
    </xf>
    <xf numFmtId="166" fontId="6" fillId="0" borderId="0" xfId="2408" applyNumberFormat="1" applyFont="1" applyFill="1" applyAlignment="1" applyProtection="1">
      <alignment horizontal="center" vertical="center"/>
    </xf>
    <xf numFmtId="165" fontId="5" fillId="2" borderId="0" xfId="21" applyNumberFormat="1" applyFont="1" applyFill="1" applyBorder="1" applyAlignment="1" applyProtection="1">
      <alignment horizontal="center" vertical="center"/>
    </xf>
    <xf numFmtId="165" fontId="6" fillId="0" borderId="0" xfId="21" quotePrefix="1" applyNumberFormat="1" applyFont="1" applyFill="1" applyBorder="1" applyAlignment="1">
      <alignment horizontal="right" vertical="center"/>
    </xf>
    <xf numFmtId="165" fontId="5" fillId="2" borderId="0" xfId="21" applyNumberFormat="1" applyFont="1" applyFill="1" applyBorder="1" applyAlignment="1" applyProtection="1">
      <alignment horizontal="right" vertical="center"/>
    </xf>
    <xf numFmtId="43" fontId="5" fillId="2" borderId="0" xfId="2408" applyFont="1" applyFill="1" applyBorder="1" applyAlignment="1" applyProtection="1">
      <alignment horizontal="right" vertical="center"/>
    </xf>
    <xf numFmtId="166" fontId="6" fillId="0" borderId="0" xfId="2408" applyNumberFormat="1" applyFont="1" applyFill="1" applyAlignment="1" applyProtection="1">
      <alignment horizontal="right" vertical="center"/>
    </xf>
    <xf numFmtId="166" fontId="6" fillId="0" borderId="0" xfId="2408" applyNumberFormat="1" applyFont="1" applyFill="1" applyBorder="1" applyAlignment="1" applyProtection="1">
      <alignment horizontal="center" vertical="center"/>
    </xf>
    <xf numFmtId="165" fontId="6" fillId="0" borderId="0" xfId="21" applyNumberFormat="1" applyFont="1" applyFill="1" applyBorder="1" applyAlignment="1" applyProtection="1">
      <alignment horizontal="right" vertical="center"/>
    </xf>
    <xf numFmtId="165" fontId="5" fillId="2" borderId="0" xfId="21" applyNumberFormat="1" applyFont="1" applyFill="1" applyAlignment="1" applyProtection="1">
      <alignment horizontal="right" vertical="center"/>
    </xf>
    <xf numFmtId="166" fontId="5" fillId="2" borderId="0" xfId="2408" applyNumberFormat="1" applyFont="1" applyFill="1" applyAlignment="1" applyProtection="1">
      <alignment horizontal="right" vertical="center"/>
    </xf>
    <xf numFmtId="173" fontId="6" fillId="0" borderId="0" xfId="4" applyNumberFormat="1" applyFont="1" applyAlignment="1">
      <alignment horizontal="center" vertical="center"/>
    </xf>
    <xf numFmtId="165" fontId="5" fillId="0" borderId="0" xfId="21" applyNumberFormat="1" applyFont="1" applyFill="1" applyAlignment="1" applyProtection="1">
      <alignment horizontal="right" vertical="center"/>
    </xf>
    <xf numFmtId="166" fontId="5" fillId="0" borderId="0" xfId="2408" applyNumberFormat="1" applyFont="1" applyFill="1" applyAlignment="1" applyProtection="1">
      <alignment horizontal="right" vertical="center"/>
    </xf>
    <xf numFmtId="41" fontId="5" fillId="0" borderId="0" xfId="21" applyNumberFormat="1" applyFont="1" applyBorder="1" applyAlignment="1">
      <alignment horizontal="center"/>
    </xf>
    <xf numFmtId="44" fontId="5" fillId="0" borderId="0" xfId="0" applyNumberFormat="1" applyFont="1" applyAlignment="1">
      <alignment vertical="center"/>
    </xf>
    <xf numFmtId="166" fontId="5" fillId="2" borderId="86" xfId="1" applyNumberFormat="1" applyFont="1" applyFill="1" applyBorder="1" applyAlignment="1">
      <alignment horizontal="right" vertical="center"/>
    </xf>
    <xf numFmtId="166" fontId="5" fillId="3" borderId="0" xfId="2038" applyNumberFormat="1" applyFont="1" applyFill="1" applyAlignment="1">
      <alignment vertical="center"/>
    </xf>
    <xf numFmtId="166" fontId="5" fillId="3" borderId="0" xfId="2038" applyNumberFormat="1" applyFont="1" applyFill="1" applyBorder="1" applyAlignment="1">
      <alignment vertical="center"/>
    </xf>
    <xf numFmtId="166" fontId="5" fillId="0" borderId="111" xfId="1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27" fillId="0" borderId="0" xfId="2" applyNumberFormat="1" applyFont="1" applyFill="1" applyAlignment="1">
      <alignment vertical="center"/>
    </xf>
    <xf numFmtId="166" fontId="27" fillId="0" borderId="0" xfId="1" applyNumberFormat="1" applyFont="1" applyFill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1" fontId="5" fillId="0" borderId="0" xfId="4" applyNumberFormat="1" applyFont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166" fontId="27" fillId="0" borderId="0" xfId="1" applyNumberFormat="1" applyFont="1" applyFill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0" fontId="27" fillId="0" borderId="0" xfId="3" applyNumberFormat="1" applyFont="1" applyAlignment="1">
      <alignment vertical="center"/>
    </xf>
    <xf numFmtId="214" fontId="27" fillId="0" borderId="0" xfId="0" applyNumberFormat="1" applyFont="1" applyAlignment="1">
      <alignment vertical="center"/>
    </xf>
    <xf numFmtId="0" fontId="11" fillId="0" borderId="0" xfId="3840" quotePrefix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0" fontId="27" fillId="0" borderId="0" xfId="0" applyNumberFormat="1" applyFont="1" applyAlignment="1">
      <alignment vertical="center"/>
    </xf>
    <xf numFmtId="184" fontId="27" fillId="0" borderId="0" xfId="0" quotePrefix="1" applyNumberFormat="1" applyFont="1" applyAlignment="1">
      <alignment horizontal="center" vertical="center"/>
    </xf>
    <xf numFmtId="184" fontId="27" fillId="0" borderId="0" xfId="0" applyNumberFormat="1" applyFont="1" applyAlignment="1">
      <alignment vertical="center"/>
    </xf>
    <xf numFmtId="184" fontId="27" fillId="0" borderId="0" xfId="0" applyNumberFormat="1" applyFont="1" applyAlignment="1">
      <alignment horizontal="right" vertical="center"/>
    </xf>
    <xf numFmtId="1" fontId="6" fillId="0" borderId="0" xfId="4" applyNumberFormat="1" applyFont="1" applyAlignment="1">
      <alignment horizontal="center" vertical="center"/>
    </xf>
    <xf numFmtId="184" fontId="29" fillId="0" borderId="0" xfId="0" quotePrefix="1" applyNumberFormat="1" applyFont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184" fontId="29" fillId="0" borderId="0" xfId="0" applyNumberFormat="1" applyFont="1" applyAlignment="1">
      <alignment vertical="center"/>
    </xf>
    <xf numFmtId="10" fontId="29" fillId="0" borderId="0" xfId="0" applyNumberFormat="1" applyFont="1" applyAlignment="1">
      <alignment vertical="center"/>
    </xf>
    <xf numFmtId="184" fontId="29" fillId="0" borderId="0" xfId="0" applyNumberFormat="1" applyFont="1" applyAlignment="1">
      <alignment horizontal="right" vertical="center"/>
    </xf>
    <xf numFmtId="184" fontId="29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84" fontId="117" fillId="0" borderId="0" xfId="0" applyNumberFormat="1" applyFont="1" applyAlignment="1">
      <alignment horizontal="center" vertical="center"/>
    </xf>
    <xf numFmtId="1" fontId="5" fillId="0" borderId="0" xfId="55" applyNumberFormat="1" applyFont="1" applyAlignment="1">
      <alignment horizontal="center" vertical="center"/>
    </xf>
    <xf numFmtId="10" fontId="27" fillId="2" borderId="0" xfId="0" applyNumberFormat="1" applyFont="1" applyFill="1" applyAlignment="1">
      <alignment vertical="center"/>
    </xf>
    <xf numFmtId="165" fontId="27" fillId="2" borderId="0" xfId="2" applyNumberFormat="1" applyFont="1" applyFill="1" applyAlignment="1">
      <alignment horizontal="right" vertical="center"/>
    </xf>
    <xf numFmtId="165" fontId="5" fillId="0" borderId="0" xfId="2" quotePrefix="1" applyNumberFormat="1" applyFont="1" applyAlignment="1">
      <alignment horizontal="center" vertical="center"/>
    </xf>
    <xf numFmtId="166" fontId="5" fillId="0" borderId="0" xfId="1" quotePrefix="1" applyNumberFormat="1" applyFont="1" applyAlignment="1">
      <alignment horizontal="center" vertical="center"/>
    </xf>
    <xf numFmtId="8" fontId="27" fillId="0" borderId="0" xfId="0" applyNumberFormat="1" applyFont="1" applyAlignment="1">
      <alignment vertical="center"/>
    </xf>
    <xf numFmtId="212" fontId="27" fillId="0" borderId="0" xfId="3" applyNumberFormat="1" applyFont="1" applyAlignment="1">
      <alignment vertical="center"/>
    </xf>
    <xf numFmtId="214" fontId="27" fillId="0" borderId="0" xfId="0" quotePrefix="1" applyNumberFormat="1" applyFont="1" applyAlignment="1">
      <alignment horizontal="center" vertical="center"/>
    </xf>
    <xf numFmtId="215" fontId="5" fillId="3" borderId="0" xfId="2038" applyNumberFormat="1" applyFont="1" applyFill="1" applyAlignment="1">
      <alignment vertical="center"/>
    </xf>
    <xf numFmtId="165" fontId="5" fillId="0" borderId="0" xfId="0" applyNumberFormat="1" applyFont="1"/>
    <xf numFmtId="166" fontId="5" fillId="0" borderId="0" xfId="0" applyNumberFormat="1" applyFont="1"/>
    <xf numFmtId="9" fontId="5" fillId="0" borderId="0" xfId="3" applyFont="1"/>
    <xf numFmtId="0" fontId="5" fillId="0" borderId="4" xfId="4" applyFont="1" applyBorder="1"/>
    <xf numFmtId="0" fontId="6" fillId="0" borderId="0" xfId="2012" applyFont="1" applyProtection="1">
      <protection locked="0"/>
    </xf>
    <xf numFmtId="165" fontId="5" fillId="2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/>
    <xf numFmtId="5" fontId="5" fillId="0" borderId="0" xfId="2012" applyNumberFormat="1" applyFont="1" applyAlignment="1" applyProtection="1">
      <alignment horizontal="right" vertical="center"/>
      <protection locked="0"/>
    </xf>
    <xf numFmtId="5" fontId="5" fillId="0" borderId="0" xfId="2012" applyNumberFormat="1" applyFont="1" applyAlignment="1" applyProtection="1">
      <alignment horizontal="right"/>
      <protection locked="0"/>
    </xf>
    <xf numFmtId="5" fontId="6" fillId="0" borderId="0" xfId="2012" applyNumberFormat="1" applyFont="1" applyAlignment="1" applyProtection="1">
      <alignment horizontal="right" vertical="center"/>
      <protection locked="0"/>
    </xf>
    <xf numFmtId="5" fontId="6" fillId="0" borderId="0" xfId="2012" applyNumberFormat="1" applyFont="1" applyAlignment="1" applyProtection="1">
      <alignment horizontal="right"/>
      <protection locked="0"/>
    </xf>
    <xf numFmtId="184" fontId="5" fillId="0" borderId="0" xfId="0" applyNumberFormat="1" applyFont="1" applyAlignment="1">
      <alignment vertical="center"/>
    </xf>
    <xf numFmtId="10" fontId="5" fillId="3" borderId="0" xfId="3" applyNumberFormat="1" applyFont="1" applyFill="1" applyAlignment="1">
      <alignment horizontal="center" vertical="center"/>
    </xf>
    <xf numFmtId="165" fontId="5" fillId="0" borderId="0" xfId="2" applyNumberFormat="1" applyFont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right" vertical="center"/>
    </xf>
    <xf numFmtId="207" fontId="5" fillId="0" borderId="0" xfId="3" applyNumberFormat="1" applyFont="1" applyAlignment="1">
      <alignment vertical="center"/>
    </xf>
    <xf numFmtId="165" fontId="5" fillId="0" borderId="118" xfId="2" applyNumberFormat="1" applyFont="1" applyFill="1" applyBorder="1" applyAlignment="1">
      <alignment vertical="center"/>
    </xf>
    <xf numFmtId="213" fontId="5" fillId="0" borderId="118" xfId="2" applyNumberFormat="1" applyFont="1" applyBorder="1" applyAlignment="1">
      <alignment vertical="center"/>
    </xf>
    <xf numFmtId="213" fontId="5" fillId="0" borderId="0" xfId="2" applyNumberFormat="1" applyFont="1" applyAlignment="1">
      <alignment vertical="center"/>
    </xf>
    <xf numFmtId="214" fontId="5" fillId="0" borderId="0" xfId="0" applyNumberFormat="1" applyFont="1" applyAlignment="1">
      <alignment vertical="center"/>
    </xf>
    <xf numFmtId="0" fontId="160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165" fontId="5" fillId="0" borderId="8" xfId="21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vertical="center"/>
    </xf>
    <xf numFmtId="214" fontId="5" fillId="0" borderId="0" xfId="0" applyNumberFormat="1" applyFont="1" applyAlignment="1">
      <alignment horizontal="right" vertical="center"/>
    </xf>
    <xf numFmtId="184" fontId="5" fillId="0" borderId="0" xfId="0" quotePrefix="1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5" fillId="0" borderId="4" xfId="3856" applyFont="1" applyBorder="1" applyAlignment="1">
      <alignment horizontal="center" vertical="center"/>
    </xf>
    <xf numFmtId="0" fontId="5" fillId="0" borderId="3" xfId="3856" applyFont="1" applyBorder="1" applyAlignment="1">
      <alignment horizontal="center" vertical="center"/>
    </xf>
    <xf numFmtId="0" fontId="5" fillId="0" borderId="4" xfId="3856" applyFont="1" applyBorder="1"/>
    <xf numFmtId="0" fontId="6" fillId="0" borderId="0" xfId="3856" applyFont="1" applyAlignment="1">
      <alignment horizontal="center"/>
    </xf>
    <xf numFmtId="0" fontId="6" fillId="0" borderId="86" xfId="3856" applyFont="1" applyBorder="1" applyAlignment="1">
      <alignment horizontal="center"/>
    </xf>
    <xf numFmtId="0" fontId="5" fillId="0" borderId="0" xfId="3856" applyFont="1"/>
    <xf numFmtId="44" fontId="5" fillId="0" borderId="0" xfId="0" applyNumberFormat="1" applyFont="1"/>
    <xf numFmtId="0" fontId="5" fillId="0" borderId="0" xfId="3856" applyFont="1" applyAlignment="1">
      <alignment horizontal="center" vertical="center"/>
    </xf>
    <xf numFmtId="0" fontId="11" fillId="0" borderId="0" xfId="3856" applyFont="1" applyAlignment="1">
      <alignment horizontal="center" vertical="center"/>
    </xf>
    <xf numFmtId="41" fontId="5" fillId="0" borderId="0" xfId="3857" applyFont="1"/>
    <xf numFmtId="5" fontId="5" fillId="0" borderId="0" xfId="0" applyNumberFormat="1" applyFont="1" applyAlignment="1">
      <alignment horizontal="left" vertical="center"/>
    </xf>
    <xf numFmtId="0" fontId="6" fillId="0" borderId="0" xfId="1042" applyFont="1" applyAlignment="1">
      <alignment vertical="center"/>
    </xf>
    <xf numFmtId="0" fontId="6" fillId="0" borderId="0" xfId="1042" applyFont="1"/>
    <xf numFmtId="0" fontId="5" fillId="0" borderId="0" xfId="1042" applyFont="1" applyAlignment="1">
      <alignment horizontal="center" vertical="center"/>
    </xf>
    <xf numFmtId="0" fontId="6" fillId="0" borderId="114" xfId="1042" applyFont="1" applyBorder="1" applyAlignment="1">
      <alignment horizontal="center"/>
    </xf>
    <xf numFmtId="0" fontId="6" fillId="0" borderId="6" xfId="1042" applyFont="1" applyBorder="1"/>
    <xf numFmtId="0" fontId="6" fillId="0" borderId="110" xfId="1042" applyFont="1" applyBorder="1" applyAlignment="1">
      <alignment horizontal="center"/>
    </xf>
    <xf numFmtId="0" fontId="5" fillId="0" borderId="7" xfId="1042" applyFont="1" applyBorder="1" applyAlignment="1">
      <alignment horizontal="left"/>
    </xf>
    <xf numFmtId="0" fontId="5" fillId="0" borderId="86" xfId="1042" applyFont="1" applyBorder="1"/>
    <xf numFmtId="0" fontId="5" fillId="0" borderId="7" xfId="1042" applyFont="1" applyBorder="1"/>
    <xf numFmtId="0" fontId="5" fillId="0" borderId="4" xfId="1042" applyFont="1" applyBorder="1"/>
    <xf numFmtId="0" fontId="6" fillId="0" borderId="7" xfId="1042" applyFont="1" applyBorder="1"/>
    <xf numFmtId="0" fontId="6" fillId="0" borderId="86" xfId="1042" applyFont="1" applyBorder="1"/>
    <xf numFmtId="165" fontId="6" fillId="0" borderId="112" xfId="38092" applyNumberFormat="1" applyFont="1" applyBorder="1" applyAlignment="1">
      <alignment vertical="center"/>
    </xf>
    <xf numFmtId="0" fontId="6" fillId="0" borderId="50" xfId="1042" applyFont="1" applyBorder="1" applyAlignment="1">
      <alignment horizontal="right"/>
    </xf>
    <xf numFmtId="0" fontId="6" fillId="0" borderId="113" xfId="1042" applyFont="1" applyBorder="1" applyAlignment="1">
      <alignment horizontal="right"/>
    </xf>
    <xf numFmtId="43" fontId="5" fillId="0" borderId="111" xfId="1042" applyNumberFormat="1" applyFont="1" applyBorder="1"/>
    <xf numFmtId="0" fontId="6" fillId="0" borderId="0" xfId="1042" applyFont="1" applyAlignment="1">
      <alignment horizontal="center" vertical="center"/>
    </xf>
    <xf numFmtId="43" fontId="6" fillId="0" borderId="0" xfId="1042" applyNumberFormat="1" applyFont="1"/>
    <xf numFmtId="0" fontId="11" fillId="0" borderId="0" xfId="1042" applyFont="1" applyAlignment="1">
      <alignment horizontal="center" vertical="center"/>
    </xf>
    <xf numFmtId="0" fontId="5" fillId="0" borderId="0" xfId="1042" applyFont="1"/>
    <xf numFmtId="172" fontId="6" fillId="0" borderId="0" xfId="0" applyNumberFormat="1" applyFont="1"/>
    <xf numFmtId="37" fontId="6" fillId="0" borderId="86" xfId="12" applyNumberFormat="1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0" xfId="1962" applyFont="1" applyAlignment="1">
      <alignment horizontal="center" vertical="center"/>
    </xf>
    <xf numFmtId="0" fontId="6" fillId="0" borderId="0" xfId="1962" applyFont="1"/>
    <xf numFmtId="0" fontId="11" fillId="0" borderId="0" xfId="1962" applyFont="1" applyAlignment="1">
      <alignment horizontal="center" vertical="center"/>
    </xf>
    <xf numFmtId="0" fontId="5" fillId="0" borderId="0" xfId="1962" applyFont="1"/>
    <xf numFmtId="0" fontId="17" fillId="0" borderId="0" xfId="0" applyFont="1" applyAlignment="1">
      <alignment horizontal="center" vertical="center"/>
    </xf>
    <xf numFmtId="0" fontId="157" fillId="0" borderId="0" xfId="4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5" fontId="6" fillId="0" borderId="112" xfId="2" applyNumberFormat="1" applyFont="1" applyBorder="1"/>
    <xf numFmtId="0" fontId="5" fillId="0" borderId="111" xfId="0" applyFont="1" applyBorder="1"/>
    <xf numFmtId="0" fontId="5" fillId="0" borderId="11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0" fontId="5" fillId="0" borderId="86" xfId="0" applyNumberFormat="1" applyFont="1" applyBorder="1" applyAlignment="1">
      <alignment vertical="center"/>
    </xf>
    <xf numFmtId="6" fontId="5" fillId="0" borderId="86" xfId="0" applyNumberFormat="1" applyFont="1" applyBorder="1" applyAlignment="1">
      <alignment vertical="center"/>
    </xf>
    <xf numFmtId="10" fontId="5" fillId="0" borderId="86" xfId="3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8" fillId="0" borderId="0" xfId="4" applyFont="1" applyAlignment="1">
      <alignment horizontal="left"/>
    </xf>
    <xf numFmtId="41" fontId="6" fillId="0" borderId="0" xfId="21" applyNumberFormat="1" applyFont="1" applyFill="1" applyBorder="1" applyAlignment="1">
      <alignment horizontal="center"/>
    </xf>
    <xf numFmtId="165" fontId="5" fillId="0" borderId="4" xfId="48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86" xfId="1" applyNumberFormat="1" applyFont="1" applyBorder="1"/>
    <xf numFmtId="0" fontId="9" fillId="0" borderId="0" xfId="2012" applyFont="1" applyAlignment="1">
      <alignment horizontal="center"/>
    </xf>
    <xf numFmtId="0" fontId="9" fillId="0" borderId="0" xfId="1965" applyFont="1"/>
    <xf numFmtId="0" fontId="9" fillId="0" borderId="0" xfId="2012" applyFont="1"/>
    <xf numFmtId="0" fontId="8" fillId="0" borderId="0" xfId="2012" applyFont="1"/>
    <xf numFmtId="0" fontId="9" fillId="0" borderId="0" xfId="4" applyFont="1" applyAlignment="1">
      <alignment horizontal="left"/>
    </xf>
    <xf numFmtId="0" fontId="6" fillId="0" borderId="119" xfId="3856" applyFont="1" applyBorder="1"/>
    <xf numFmtId="0" fontId="6" fillId="0" borderId="2" xfId="4" applyFont="1" applyBorder="1" applyAlignment="1">
      <alignment horizontal="center" vertical="center"/>
    </xf>
    <xf numFmtId="0" fontId="163" fillId="0" borderId="0" xfId="0" applyFont="1" applyAlignment="1">
      <alignment vertical="center"/>
    </xf>
    <xf numFmtId="168" fontId="5" fillId="0" borderId="0" xfId="4" applyNumberFormat="1" applyFont="1" applyAlignment="1">
      <alignment vertical="center" wrapText="1"/>
    </xf>
    <xf numFmtId="0" fontId="162" fillId="0" borderId="7" xfId="1604" applyFont="1" applyBorder="1" applyAlignment="1">
      <alignment horizontal="center"/>
    </xf>
    <xf numFmtId="0" fontId="9" fillId="0" borderId="0" xfId="0" applyFont="1"/>
    <xf numFmtId="0" fontId="164" fillId="0" borderId="0" xfId="4" applyFont="1" applyAlignment="1">
      <alignment vertical="center"/>
    </xf>
    <xf numFmtId="0" fontId="5" fillId="0" borderId="0" xfId="6107" applyFont="1" applyAlignment="1">
      <alignment vertical="center"/>
    </xf>
    <xf numFmtId="165" fontId="8" fillId="0" borderId="0" xfId="48" applyNumberFormat="1" applyFont="1"/>
    <xf numFmtId="166" fontId="165" fillId="0" borderId="0" xfId="22" applyNumberFormat="1" applyFont="1" applyBorder="1" applyAlignment="1">
      <alignment vertical="center"/>
    </xf>
    <xf numFmtId="166" fontId="165" fillId="0" borderId="0" xfId="22" applyNumberFormat="1" applyFont="1" applyBorder="1"/>
    <xf numFmtId="165" fontId="9" fillId="0" borderId="0" xfId="48" applyNumberFormat="1" applyFont="1" applyAlignment="1">
      <alignment vertical="center"/>
    </xf>
    <xf numFmtId="10" fontId="161" fillId="0" borderId="0" xfId="61" applyNumberFormat="1" applyFont="1" applyBorder="1" applyAlignment="1" applyProtection="1">
      <alignment vertical="center"/>
    </xf>
    <xf numFmtId="10" fontId="161" fillId="0" borderId="0" xfId="61" applyNumberFormat="1" applyFont="1" applyBorder="1" applyProtection="1"/>
    <xf numFmtId="165" fontId="9" fillId="0" borderId="0" xfId="48" applyNumberFormat="1" applyFont="1" applyBorder="1" applyAlignment="1">
      <alignment horizontal="right" vertical="center"/>
    </xf>
    <xf numFmtId="165" fontId="8" fillId="0" borderId="0" xfId="48" applyNumberFormat="1" applyFont="1" applyBorder="1" applyAlignment="1">
      <alignment horizontal="right"/>
    </xf>
    <xf numFmtId="10" fontId="8" fillId="0" borderId="0" xfId="1043" applyNumberFormat="1" applyFont="1" applyBorder="1" applyAlignment="1">
      <alignment horizontal="right"/>
    </xf>
    <xf numFmtId="10" fontId="5" fillId="2" borderId="0" xfId="2012" applyNumberFormat="1" applyFont="1" applyFill="1" applyAlignment="1">
      <alignment vertical="center"/>
    </xf>
    <xf numFmtId="0" fontId="5" fillId="0" borderId="0" xfId="6107" applyFont="1" applyAlignment="1">
      <alignment vertical="top"/>
    </xf>
    <xf numFmtId="167" fontId="5" fillId="0" borderId="0" xfId="2012" applyNumberFormat="1" applyFont="1" applyAlignment="1">
      <alignment horizontal="right"/>
    </xf>
    <xf numFmtId="165" fontId="5" fillId="0" borderId="0" xfId="2039" applyNumberFormat="1" applyFont="1" applyBorder="1" applyAlignment="1">
      <alignment horizontal="right" vertical="center"/>
    </xf>
    <xf numFmtId="43" fontId="6" fillId="0" borderId="0" xfId="6107" applyNumberFormat="1" applyFont="1" applyAlignment="1">
      <alignment vertical="center"/>
    </xf>
    <xf numFmtId="1" fontId="6" fillId="0" borderId="0" xfId="6107" applyNumberFormat="1" applyFont="1" applyAlignment="1">
      <alignment vertical="center"/>
    </xf>
    <xf numFmtId="0" fontId="5" fillId="0" borderId="0" xfId="6107" applyFont="1" applyAlignment="1">
      <alignment horizontal="center" vertical="top" wrapText="1"/>
    </xf>
    <xf numFmtId="165" fontId="5" fillId="0" borderId="86" xfId="4" applyNumberFormat="1" applyFont="1" applyBorder="1" applyAlignment="1">
      <alignment horizontal="right" vertical="center"/>
    </xf>
    <xf numFmtId="165" fontId="5" fillId="0" borderId="86" xfId="4" applyNumberFormat="1" applyFont="1" applyBorder="1" applyAlignment="1">
      <alignment vertical="center"/>
    </xf>
    <xf numFmtId="0" fontId="6" fillId="0" borderId="4" xfId="4" applyFont="1" applyBorder="1" applyAlignment="1">
      <alignment horizontal="left" indent="2"/>
    </xf>
    <xf numFmtId="166" fontId="5" fillId="0" borderId="86" xfId="1" applyNumberFormat="1" applyFont="1" applyFill="1" applyBorder="1" applyAlignment="1">
      <alignment horizontal="right" vertical="center"/>
    </xf>
    <xf numFmtId="165" fontId="5" fillId="0" borderId="1" xfId="1965" applyNumberFormat="1" applyFont="1" applyBorder="1" applyAlignment="1">
      <alignment horizontal="right" vertical="center"/>
    </xf>
    <xf numFmtId="0" fontId="8" fillId="0" borderId="0" xfId="2012" applyFont="1" applyAlignment="1">
      <alignment vertical="center"/>
    </xf>
    <xf numFmtId="0" fontId="13" fillId="0" borderId="0" xfId="6107" applyFont="1"/>
    <xf numFmtId="41" fontId="6" fillId="0" borderId="0" xfId="21" applyNumberFormat="1" applyFont="1" applyBorder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16" fontId="5" fillId="0" borderId="0" xfId="2" applyNumberFormat="1" applyFont="1" applyFill="1" applyAlignment="1">
      <alignment vertical="center"/>
    </xf>
    <xf numFmtId="165" fontId="6" fillId="0" borderId="118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41" fontId="5" fillId="0" borderId="0" xfId="38096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centerContinuous" vertical="center"/>
    </xf>
    <xf numFmtId="43" fontId="5" fillId="2" borderId="0" xfId="2408" applyFont="1" applyFill="1" applyBorder="1" applyAlignment="1" applyProtection="1">
      <alignment horizontal="center" vertical="center"/>
    </xf>
    <xf numFmtId="165" fontId="5" fillId="3" borderId="0" xfId="2039" applyNumberFormat="1" applyFont="1" applyFill="1" applyAlignment="1">
      <alignment vertical="center"/>
    </xf>
    <xf numFmtId="181" fontId="5" fillId="0" borderId="4" xfId="48" applyNumberFormat="1" applyFont="1" applyFill="1" applyBorder="1" applyAlignment="1">
      <alignment horizontal="right"/>
    </xf>
    <xf numFmtId="170" fontId="5" fillId="0" borderId="4" xfId="1" applyNumberFormat="1" applyFont="1" applyFill="1" applyBorder="1" applyAlignment="1">
      <alignment horizontal="right"/>
    </xf>
    <xf numFmtId="0" fontId="5" fillId="0" borderId="4" xfId="4" applyFont="1" applyBorder="1" applyAlignment="1">
      <alignment horizontal="left"/>
    </xf>
    <xf numFmtId="181" fontId="6" fillId="0" borderId="48" xfId="2" applyNumberFormat="1" applyFont="1" applyFill="1" applyBorder="1"/>
    <xf numFmtId="166" fontId="5" fillId="2" borderId="51" xfId="1" applyNumberFormat="1" applyFont="1" applyFill="1" applyBorder="1" applyAlignment="1">
      <alignment horizontal="center" vertical="center"/>
    </xf>
    <xf numFmtId="165" fontId="5" fillId="0" borderId="0" xfId="48" applyNumberFormat="1" applyFont="1" applyAlignment="1">
      <alignment vertical="center"/>
    </xf>
    <xf numFmtId="165" fontId="5" fillId="0" borderId="0" xfId="48" applyNumberFormat="1" applyFont="1" applyBorder="1" applyAlignment="1">
      <alignment horizontal="right" vertical="center"/>
    </xf>
    <xf numFmtId="10" fontId="5" fillId="0" borderId="1" xfId="1043" applyNumberFormat="1" applyFont="1" applyBorder="1" applyAlignment="1">
      <alignment horizontal="right" vertical="center"/>
    </xf>
    <xf numFmtId="166" fontId="5" fillId="3" borderId="0" xfId="1" applyNumberFormat="1" applyFont="1" applyFill="1" applyAlignment="1">
      <alignment vertical="center"/>
    </xf>
    <xf numFmtId="165" fontId="5" fillId="2" borderId="86" xfId="48" applyNumberFormat="1" applyFont="1" applyFill="1" applyBorder="1" applyAlignment="1">
      <alignment horizontal="right" vertical="center"/>
    </xf>
    <xf numFmtId="165" fontId="5" fillId="3" borderId="0" xfId="2" applyNumberFormat="1" applyFont="1" applyFill="1" applyBorder="1" applyAlignment="1">
      <alignment horizontal="right" vertical="center"/>
    </xf>
    <xf numFmtId="0" fontId="6" fillId="0" borderId="120" xfId="4" applyFont="1" applyBorder="1" applyAlignment="1">
      <alignment vertical="center"/>
    </xf>
    <xf numFmtId="0" fontId="6" fillId="0" borderId="121" xfId="4" quotePrefix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/>
    </xf>
    <xf numFmtId="166" fontId="6" fillId="0" borderId="121" xfId="4" applyNumberFormat="1" applyFont="1" applyBorder="1" applyAlignment="1">
      <alignment vertical="center"/>
    </xf>
    <xf numFmtId="168" fontId="6" fillId="0" borderId="120" xfId="4" applyNumberFormat="1" applyFont="1" applyBorder="1" applyAlignment="1">
      <alignment vertical="center"/>
    </xf>
    <xf numFmtId="168" fontId="5" fillId="0" borderId="86" xfId="4" applyNumberFormat="1" applyFont="1" applyBorder="1" applyAlignment="1">
      <alignment vertical="center"/>
    </xf>
    <xf numFmtId="168" fontId="5" fillId="0" borderId="0" xfId="4" applyNumberFormat="1" applyFont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>
      <alignment vertical="center"/>
    </xf>
    <xf numFmtId="165" fontId="5" fillId="0" borderId="86" xfId="37039" applyNumberFormat="1" applyFont="1" applyFill="1" applyBorder="1" applyAlignment="1">
      <alignment vertical="center"/>
    </xf>
    <xf numFmtId="41" fontId="5" fillId="0" borderId="86" xfId="3857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5" fontId="6" fillId="0" borderId="9" xfId="2" applyNumberFormat="1" applyFont="1" applyBorder="1" applyAlignment="1">
      <alignment vertical="center"/>
    </xf>
    <xf numFmtId="165" fontId="5" fillId="0" borderId="9" xfId="2" applyNumberFormat="1" applyFont="1" applyBorder="1" applyAlignment="1">
      <alignment horizontal="center" vertical="center"/>
    </xf>
    <xf numFmtId="165" fontId="5" fillId="0" borderId="0" xfId="21" applyNumberFormat="1" applyFont="1" applyFill="1" applyBorder="1" applyAlignment="1" applyProtection="1">
      <alignment horizontal="right"/>
    </xf>
    <xf numFmtId="165" fontId="6" fillId="0" borderId="122" xfId="21" applyNumberFormat="1" applyFont="1" applyFill="1" applyBorder="1" applyAlignment="1" applyProtection="1">
      <alignment horizontal="right" vertical="center"/>
    </xf>
    <xf numFmtId="165" fontId="5" fillId="111" borderId="0" xfId="21" applyNumberFormat="1" applyFont="1" applyFill="1" applyBorder="1" applyAlignment="1" applyProtection="1">
      <alignment horizontal="right" vertical="center"/>
    </xf>
    <xf numFmtId="165" fontId="5" fillId="0" borderId="0" xfId="21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176" fontId="5" fillId="0" borderId="9" xfId="3" applyNumberFormat="1" applyFont="1" applyBorder="1" applyAlignment="1">
      <alignment horizontal="right" vertical="center"/>
    </xf>
    <xf numFmtId="165" fontId="5" fillId="0" borderId="118" xfId="0" applyNumberFormat="1" applyFont="1" applyBorder="1" applyAlignment="1">
      <alignment vertical="center"/>
    </xf>
    <xf numFmtId="165" fontId="5" fillId="111" borderId="0" xfId="2" applyNumberFormat="1" applyFont="1" applyFill="1" applyAlignment="1">
      <alignment horizontal="right" vertical="center"/>
    </xf>
    <xf numFmtId="10" fontId="5" fillId="0" borderId="0" xfId="3" applyNumberFormat="1" applyFont="1" applyFill="1" applyBorder="1" applyAlignment="1">
      <alignment horizontal="right" vertical="center"/>
    </xf>
    <xf numFmtId="165" fontId="5" fillId="111" borderId="1" xfId="2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Border="1" applyAlignment="1">
      <alignment vertical="center"/>
    </xf>
    <xf numFmtId="166" fontId="5" fillId="3" borderId="0" xfId="2408" applyNumberFormat="1" applyFont="1" applyFill="1" applyAlignment="1">
      <alignment vertical="center"/>
    </xf>
    <xf numFmtId="10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Fill="1" applyBorder="1" applyAlignment="1" applyProtection="1">
      <alignment horizontal="right" vertical="center"/>
      <protection locked="0"/>
    </xf>
    <xf numFmtId="165" fontId="5" fillId="111" borderId="0" xfId="21" applyNumberFormat="1" applyFont="1" applyFill="1" applyBorder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Alignment="1">
      <alignment vertical="center"/>
    </xf>
    <xf numFmtId="166" fontId="5" fillId="111" borderId="0" xfId="1" applyNumberFormat="1" applyFont="1" applyFill="1" applyAlignment="1">
      <alignment vertical="center"/>
    </xf>
    <xf numFmtId="10" fontId="5" fillId="111" borderId="0" xfId="3" applyNumberFormat="1" applyFont="1" applyFill="1" applyAlignment="1">
      <alignment horizontal="right" vertical="center"/>
    </xf>
    <xf numFmtId="10" fontId="5" fillId="111" borderId="0" xfId="0" applyNumberFormat="1" applyFont="1" applyFill="1" applyAlignment="1">
      <alignment horizontal="right" vertical="center"/>
    </xf>
    <xf numFmtId="10" fontId="5" fillId="111" borderId="0" xfId="0" applyNumberFormat="1" applyFont="1" applyFill="1" applyAlignment="1">
      <alignment vertical="center"/>
    </xf>
    <xf numFmtId="165" fontId="5" fillId="111" borderId="0" xfId="2" applyNumberFormat="1" applyFont="1" applyFill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horizontal="right" vertical="center"/>
    </xf>
    <xf numFmtId="166" fontId="27" fillId="0" borderId="0" xfId="1" applyNumberFormat="1" applyFont="1" applyFill="1" applyBorder="1" applyAlignment="1">
      <alignment horizontal="right" vertical="center"/>
    </xf>
    <xf numFmtId="166" fontId="27" fillId="0" borderId="0" xfId="1" applyNumberFormat="1" applyFont="1" applyFill="1" applyBorder="1" applyAlignment="1">
      <alignment vertical="center"/>
    </xf>
    <xf numFmtId="166" fontId="5" fillId="0" borderId="0" xfId="1" quotePrefix="1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horizontal="right" vertical="center"/>
    </xf>
    <xf numFmtId="181" fontId="5" fillId="0" borderId="4" xfId="2" applyNumberFormat="1" applyFont="1" applyFill="1" applyBorder="1" applyAlignment="1">
      <alignment horizontal="right"/>
    </xf>
    <xf numFmtId="165" fontId="5" fillId="2" borderId="0" xfId="2039" applyNumberFormat="1" applyFont="1" applyFill="1" applyBorder="1" applyAlignment="1">
      <alignment vertical="center"/>
    </xf>
    <xf numFmtId="0" fontId="5" fillId="0" borderId="0" xfId="37887" quotePrefix="1" applyNumberFormat="1" applyFont="1" applyFill="1" applyBorder="1" applyAlignment="1">
      <alignment vertical="center"/>
    </xf>
    <xf numFmtId="0" fontId="27" fillId="0" borderId="0" xfId="1962" applyFont="1"/>
    <xf numFmtId="166" fontId="5" fillId="0" borderId="123" xfId="1" applyNumberFormat="1" applyFont="1" applyFill="1" applyBorder="1" applyAlignment="1">
      <alignment vertical="center"/>
    </xf>
    <xf numFmtId="0" fontId="27" fillId="0" borderId="0" xfId="0" applyFont="1" applyAlignment="1">
      <alignment horizontal="left"/>
    </xf>
    <xf numFmtId="166" fontId="5" fillId="0" borderId="3" xfId="4" applyNumberFormat="1" applyFont="1" applyBorder="1"/>
    <xf numFmtId="0" fontId="5" fillId="0" borderId="50" xfId="0" applyFont="1" applyBorder="1" applyAlignment="1">
      <alignment horizontal="left"/>
    </xf>
    <xf numFmtId="165" fontId="5" fillId="0" borderId="0" xfId="0" applyNumberFormat="1" applyFont="1" applyAlignment="1">
      <alignment vertical="center"/>
    </xf>
    <xf numFmtId="0" fontId="158" fillId="0" borderId="0" xfId="3856" applyFont="1"/>
    <xf numFmtId="37" fontId="5" fillId="0" borderId="7" xfId="4" applyNumberFormat="1" applyFont="1" applyBorder="1" applyAlignment="1">
      <alignment horizontal="center"/>
    </xf>
    <xf numFmtId="37" fontId="5" fillId="0" borderId="0" xfId="0" applyNumberFormat="1" applyFont="1"/>
    <xf numFmtId="37" fontId="5" fillId="0" borderId="0" xfId="0" applyNumberFormat="1" applyFont="1" applyAlignment="1">
      <alignment vertical="top"/>
    </xf>
    <xf numFmtId="173" fontId="5" fillId="0" borderId="7" xfId="4" applyNumberFormat="1" applyFont="1" applyBorder="1" applyAlignment="1">
      <alignment horizontal="center" wrapText="1"/>
    </xf>
    <xf numFmtId="37" fontId="5" fillId="0" borderId="0" xfId="0" applyNumberFormat="1" applyFont="1" applyAlignment="1">
      <alignment vertical="center" wrapText="1"/>
    </xf>
    <xf numFmtId="37" fontId="6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horizontal="right" vertical="center"/>
    </xf>
    <xf numFmtId="38" fontId="5" fillId="0" borderId="123" xfId="1" applyNumberFormat="1" applyFont="1" applyBorder="1" applyAlignment="1">
      <alignment horizontal="center" vertical="center"/>
    </xf>
    <xf numFmtId="0" fontId="5" fillId="0" borderId="123" xfId="1962" applyFont="1" applyBorder="1" applyAlignment="1">
      <alignment vertical="center"/>
    </xf>
    <xf numFmtId="43" fontId="5" fillId="0" borderId="123" xfId="1962" applyNumberFormat="1" applyFont="1" applyBorder="1" applyAlignment="1">
      <alignment vertical="center"/>
    </xf>
    <xf numFmtId="44" fontId="6" fillId="0" borderId="0" xfId="37887" quotePrefix="1" applyNumberFormat="1" applyFont="1" applyFill="1" applyBorder="1" applyAlignment="1">
      <alignment vertical="center"/>
    </xf>
    <xf numFmtId="0" fontId="27" fillId="0" borderId="50" xfId="0" applyFont="1" applyBorder="1" applyAlignment="1">
      <alignment horizontal="left"/>
    </xf>
    <xf numFmtId="166" fontId="5" fillId="0" borderId="111" xfId="4" applyNumberFormat="1" applyFont="1" applyBorder="1"/>
    <xf numFmtId="0" fontId="167" fillId="0" borderId="0" xfId="1965" quotePrefix="1" applyFont="1" applyAlignment="1">
      <alignment horizontal="center" vertical="center"/>
    </xf>
    <xf numFmtId="0" fontId="158" fillId="0" borderId="0" xfId="1965" applyFont="1"/>
    <xf numFmtId="0" fontId="158" fillId="0" borderId="0" xfId="0" applyFont="1" applyAlignment="1">
      <alignment horizontal="center" vertical="center"/>
    </xf>
    <xf numFmtId="0" fontId="162" fillId="0" borderId="0" xfId="0" applyFont="1" applyAlignment="1">
      <alignment horizontal="center" vertical="center"/>
    </xf>
    <xf numFmtId="0" fontId="6" fillId="0" borderId="121" xfId="4" applyFont="1" applyBorder="1" applyAlignment="1">
      <alignment vertical="center"/>
    </xf>
    <xf numFmtId="165" fontId="5" fillId="0" borderId="0" xfId="1" applyNumberFormat="1" applyFont="1" applyFill="1" applyBorder="1"/>
    <xf numFmtId="0" fontId="6" fillId="0" borderId="121" xfId="4" applyFont="1" applyBorder="1"/>
    <xf numFmtId="181" fontId="6" fillId="0" borderId="86" xfId="4" applyNumberFormat="1" applyFont="1" applyBorder="1" applyAlignment="1">
      <alignment vertical="center"/>
    </xf>
    <xf numFmtId="0" fontId="6" fillId="0" borderId="113" xfId="4" applyFont="1" applyBorder="1"/>
    <xf numFmtId="0" fontId="5" fillId="0" borderId="9" xfId="1965" applyFont="1" applyBorder="1"/>
    <xf numFmtId="44" fontId="6" fillId="0" borderId="9" xfId="4" applyNumberFormat="1" applyFont="1" applyBorder="1"/>
    <xf numFmtId="181" fontId="6" fillId="0" borderId="86" xfId="22" applyNumberFormat="1" applyFont="1" applyBorder="1"/>
    <xf numFmtId="0" fontId="6" fillId="0" borderId="9" xfId="4" applyFont="1" applyBorder="1"/>
    <xf numFmtId="165" fontId="5" fillId="0" borderId="1" xfId="1963" applyNumberFormat="1" applyFont="1" applyBorder="1" applyAlignment="1">
      <alignment horizontal="right" vertical="center"/>
    </xf>
    <xf numFmtId="183" fontId="5" fillId="0" borderId="2" xfId="2012" applyNumberFormat="1" applyFont="1" applyBorder="1" applyAlignment="1" applyProtection="1">
      <alignment horizontal="right" vertical="center"/>
      <protection locked="0"/>
    </xf>
    <xf numFmtId="10" fontId="5" fillId="0" borderId="124" xfId="3" quotePrefix="1" applyNumberFormat="1" applyFont="1" applyBorder="1" applyAlignment="1">
      <alignment horizontal="right" vertical="center"/>
    </xf>
    <xf numFmtId="183" fontId="6" fillId="0" borderId="2" xfId="2012" quotePrefix="1" applyNumberFormat="1" applyFont="1" applyBorder="1" applyAlignment="1">
      <alignment horizontal="right" vertical="center"/>
    </xf>
    <xf numFmtId="10" fontId="13" fillId="0" borderId="2" xfId="2012" applyNumberFormat="1" applyFont="1" applyBorder="1" applyAlignment="1">
      <alignment horizontal="right" vertical="center"/>
    </xf>
    <xf numFmtId="165" fontId="5" fillId="2" borderId="124" xfId="21" applyNumberFormat="1" applyFont="1" applyFill="1" applyBorder="1" applyAlignment="1" applyProtection="1">
      <alignment vertical="center"/>
      <protection locked="0"/>
    </xf>
    <xf numFmtId="165" fontId="5" fillId="2" borderId="124" xfId="2012" applyNumberFormat="1" applyFont="1" applyFill="1" applyBorder="1" applyAlignment="1" applyProtection="1">
      <alignment horizontal="right" vertical="center"/>
      <protection locked="0"/>
    </xf>
    <xf numFmtId="167" fontId="5" fillId="0" borderId="124" xfId="3" applyNumberFormat="1" applyFont="1" applyFill="1" applyBorder="1" applyAlignment="1">
      <alignment vertical="center"/>
    </xf>
    <xf numFmtId="165" fontId="5" fillId="2" borderId="124" xfId="2" applyNumberFormat="1" applyFont="1" applyFill="1" applyBorder="1" applyAlignment="1">
      <alignment horizontal="right" vertical="center"/>
    </xf>
    <xf numFmtId="0" fontId="5" fillId="0" borderId="124" xfId="1965" applyFont="1" applyBorder="1" applyAlignment="1">
      <alignment horizontal="center"/>
    </xf>
    <xf numFmtId="167" fontId="5" fillId="2" borderId="124" xfId="1043" applyNumberFormat="1" applyFont="1" applyFill="1" applyBorder="1" applyAlignment="1">
      <alignment horizontal="right" vertical="center"/>
    </xf>
    <xf numFmtId="166" fontId="5" fillId="3" borderId="124" xfId="1" applyNumberFormat="1" applyFont="1" applyFill="1" applyBorder="1" applyAlignment="1">
      <alignment vertical="center"/>
    </xf>
    <xf numFmtId="166" fontId="5" fillId="0" borderId="124" xfId="1" applyNumberFormat="1" applyFont="1" applyFill="1" applyBorder="1" applyAlignment="1">
      <alignment vertical="center"/>
    </xf>
    <xf numFmtId="166" fontId="5" fillId="0" borderId="124" xfId="1" applyNumberFormat="1" applyFont="1" applyBorder="1" applyAlignment="1">
      <alignment vertical="center"/>
    </xf>
    <xf numFmtId="0" fontId="5" fillId="0" borderId="124" xfId="4" applyFont="1" applyBorder="1" applyAlignment="1">
      <alignment horizontal="left" vertical="center"/>
    </xf>
    <xf numFmtId="1" fontId="5" fillId="0" borderId="124" xfId="4" applyNumberFormat="1" applyFont="1" applyBorder="1" applyAlignment="1">
      <alignment horizontal="center" vertical="center"/>
    </xf>
    <xf numFmtId="166" fontId="5" fillId="0" borderId="124" xfId="1" applyNumberFormat="1" applyFont="1" applyFill="1" applyBorder="1" applyAlignment="1">
      <alignment horizontal="right" vertical="center"/>
    </xf>
    <xf numFmtId="10" fontId="5" fillId="3" borderId="124" xfId="3" applyNumberFormat="1" applyFont="1" applyFill="1" applyBorder="1" applyAlignment="1">
      <alignment horizontal="center" vertical="center"/>
    </xf>
    <xf numFmtId="166" fontId="5" fillId="0" borderId="124" xfId="1" applyNumberFormat="1" applyFont="1" applyBorder="1" applyAlignment="1">
      <alignment horizontal="center" vertical="center"/>
    </xf>
    <xf numFmtId="0" fontId="6" fillId="0" borderId="125" xfId="4" applyFont="1" applyBorder="1" applyAlignment="1">
      <alignment horizontal="center"/>
    </xf>
    <xf numFmtId="0" fontId="6" fillId="0" borderId="126" xfId="4" applyFont="1" applyBorder="1" applyAlignment="1">
      <alignment horizontal="center"/>
    </xf>
    <xf numFmtId="0" fontId="6" fillId="0" borderId="121" xfId="4" applyFont="1" applyBorder="1" applyAlignment="1">
      <alignment horizontal="center" vertical="center"/>
    </xf>
    <xf numFmtId="0" fontId="6" fillId="0" borderId="120" xfId="4" applyFont="1" applyBorder="1" applyAlignment="1">
      <alignment horizontal="center" vertical="center"/>
    </xf>
    <xf numFmtId="166" fontId="6" fillId="0" borderId="120" xfId="2408" quotePrefix="1" applyNumberFormat="1" applyFont="1" applyFill="1" applyBorder="1" applyAlignment="1">
      <alignment horizontal="center" vertical="center"/>
    </xf>
    <xf numFmtId="166" fontId="6" fillId="0" borderId="120" xfId="2408" quotePrefix="1" applyNumberFormat="1" applyFont="1" applyBorder="1" applyAlignment="1">
      <alignment horizontal="center" vertical="center"/>
    </xf>
    <xf numFmtId="165" fontId="6" fillId="0" borderId="119" xfId="2" applyNumberFormat="1" applyFont="1" applyFill="1" applyBorder="1" applyAlignment="1">
      <alignment vertical="center"/>
    </xf>
    <xf numFmtId="0" fontId="5" fillId="0" borderId="119" xfId="4" applyFont="1" applyBorder="1" applyAlignment="1">
      <alignment horizontal="center" vertical="center"/>
    </xf>
    <xf numFmtId="0" fontId="6" fillId="0" borderId="122" xfId="4" applyFont="1" applyBorder="1" applyAlignment="1">
      <alignment horizontal="center" vertical="center"/>
    </xf>
    <xf numFmtId="165" fontId="6" fillId="0" borderId="119" xfId="21" applyNumberFormat="1" applyFont="1" applyFill="1" applyBorder="1" applyAlignment="1">
      <alignment horizontal="center" vertical="center"/>
    </xf>
    <xf numFmtId="0" fontId="6" fillId="0" borderId="120" xfId="4" applyFont="1" applyBorder="1" applyAlignment="1">
      <alignment horizontal="centerContinuous" vertical="center"/>
    </xf>
    <xf numFmtId="0" fontId="6" fillId="0" borderId="121" xfId="4" quotePrefix="1" applyFont="1" applyBorder="1" applyAlignment="1">
      <alignment vertical="center"/>
    </xf>
    <xf numFmtId="0" fontId="6" fillId="0" borderId="120" xfId="4" quotePrefix="1" applyFont="1" applyBorder="1" applyAlignment="1">
      <alignment vertical="center"/>
    </xf>
    <xf numFmtId="0" fontId="5" fillId="0" borderId="3" xfId="4" applyFont="1" applyBorder="1" applyAlignment="1">
      <alignment horizontal="right" vertical="center"/>
    </xf>
    <xf numFmtId="0" fontId="5" fillId="0" borderId="120" xfId="4" applyFont="1" applyBorder="1" applyAlignment="1">
      <alignment horizontal="center" vertical="center"/>
    </xf>
    <xf numFmtId="166" fontId="6" fillId="0" borderId="121" xfId="2408" quotePrefix="1" applyNumberFormat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Continuous" vertical="center"/>
    </xf>
    <xf numFmtId="165" fontId="5" fillId="0" borderId="3" xfId="2" applyNumberFormat="1" applyFont="1" applyFill="1" applyBorder="1" applyAlignment="1">
      <alignment horizontal="left" vertical="center"/>
    </xf>
    <xf numFmtId="0" fontId="5" fillId="0" borderId="121" xfId="3856" applyFont="1" applyBorder="1"/>
    <xf numFmtId="0" fontId="6" fillId="0" borderId="120" xfId="3856" applyFont="1" applyBorder="1" applyAlignment="1">
      <alignment horizontal="center"/>
    </xf>
    <xf numFmtId="0" fontId="6" fillId="0" borderId="120" xfId="3856" applyFont="1" applyBorder="1"/>
    <xf numFmtId="37" fontId="6" fillId="0" borderId="120" xfId="4" applyNumberFormat="1" applyFont="1" applyBorder="1" applyAlignment="1">
      <alignment horizontal="center" vertical="center"/>
    </xf>
    <xf numFmtId="165" fontId="6" fillId="0" borderId="120" xfId="21" applyNumberFormat="1" applyFont="1" applyBorder="1" applyAlignment="1">
      <alignment vertical="center"/>
    </xf>
    <xf numFmtId="165" fontId="5" fillId="0" borderId="120" xfId="21" applyNumberFormat="1" applyFont="1" applyBorder="1" applyAlignment="1">
      <alignment vertical="center"/>
    </xf>
    <xf numFmtId="17" fontId="5" fillId="0" borderId="120" xfId="4" applyNumberFormat="1" applyFont="1" applyBorder="1" applyAlignment="1">
      <alignment horizontal="left" vertical="center"/>
    </xf>
    <xf numFmtId="165" fontId="5" fillId="0" borderId="120" xfId="2" applyNumberFormat="1" applyFont="1" applyFill="1" applyBorder="1" applyAlignment="1">
      <alignment vertical="center"/>
    </xf>
    <xf numFmtId="165" fontId="5" fillId="0" borderId="120" xfId="2" applyNumberFormat="1" applyFont="1" applyBorder="1" applyAlignment="1">
      <alignment vertical="center"/>
    </xf>
    <xf numFmtId="165" fontId="5" fillId="0" borderId="120" xfId="21" applyNumberFormat="1" applyFont="1" applyFill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166" fontId="5" fillId="0" borderId="123" xfId="2406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166" fontId="5" fillId="0" borderId="127" xfId="1" applyNumberFormat="1" applyFont="1" applyFill="1" applyBorder="1" applyAlignment="1">
      <alignment vertical="center"/>
    </xf>
    <xf numFmtId="166" fontId="5" fillId="0" borderId="120" xfId="1" applyNumberFormat="1" applyFont="1" applyFill="1" applyBorder="1" applyAlignment="1">
      <alignment vertical="center"/>
    </xf>
    <xf numFmtId="165" fontId="6" fillId="0" borderId="120" xfId="2" applyNumberFormat="1" applyFont="1" applyFill="1" applyBorder="1" applyAlignment="1">
      <alignment vertical="center"/>
    </xf>
    <xf numFmtId="166" fontId="5" fillId="0" borderId="124" xfId="1" applyNumberFormat="1" applyFont="1" applyFill="1" applyBorder="1"/>
    <xf numFmtId="0" fontId="5" fillId="0" borderId="2" xfId="0" applyFont="1" applyBorder="1"/>
    <xf numFmtId="166" fontId="5" fillId="0" borderId="125" xfId="1" applyNumberFormat="1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15" fontId="5" fillId="0" borderId="12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3" borderId="124" xfId="1" applyNumberFormat="1" applyFont="1" applyFill="1" applyBorder="1" applyProtection="1">
      <protection locked="0"/>
    </xf>
    <xf numFmtId="0" fontId="6" fillId="0" borderId="127" xfId="37811" quotePrefix="1" applyNumberFormat="1" applyFont="1" applyFill="1" applyBorder="1" applyAlignment="1">
      <alignment horizontal="center" vertical="center"/>
    </xf>
    <xf numFmtId="0" fontId="29" fillId="0" borderId="127" xfId="1962" applyFont="1" applyBorder="1" applyAlignment="1">
      <alignment horizontal="center"/>
    </xf>
    <xf numFmtId="0" fontId="29" fillId="0" borderId="128" xfId="1962" applyFont="1" applyBorder="1" applyAlignment="1">
      <alignment horizontal="center"/>
    </xf>
    <xf numFmtId="165" fontId="5" fillId="0" borderId="123" xfId="38092" applyNumberFormat="1" applyFont="1" applyFill="1" applyBorder="1" applyAlignment="1">
      <alignment vertical="center"/>
    </xf>
    <xf numFmtId="166" fontId="5" fillId="0" borderId="123" xfId="1962" applyNumberFormat="1" applyFont="1" applyBorder="1" applyAlignment="1">
      <alignment vertical="center"/>
    </xf>
    <xf numFmtId="0" fontId="5" fillId="0" borderId="127" xfId="37887" quotePrefix="1" applyNumberFormat="1" applyFont="1" applyFill="1" applyBorder="1" applyAlignment="1">
      <alignment vertical="center"/>
    </xf>
    <xf numFmtId="166" fontId="5" fillId="0" borderId="127" xfId="1962" applyNumberFormat="1" applyFont="1" applyBorder="1" applyAlignment="1">
      <alignment vertical="center"/>
    </xf>
    <xf numFmtId="0" fontId="5" fillId="0" borderId="129" xfId="1962" applyFont="1" applyBorder="1" applyAlignment="1">
      <alignment vertical="center"/>
    </xf>
    <xf numFmtId="0" fontId="29" fillId="0" borderId="123" xfId="1962" applyFont="1" applyBorder="1" applyAlignment="1">
      <alignment vertical="center"/>
    </xf>
    <xf numFmtId="0" fontId="29" fillId="0" borderId="9" xfId="1962" applyFont="1" applyBorder="1" applyAlignment="1">
      <alignment vertical="center"/>
    </xf>
    <xf numFmtId="15" fontId="5" fillId="0" borderId="124" xfId="4" applyNumberFormat="1" applyFont="1" applyBorder="1" applyAlignment="1">
      <alignment horizontal="center" vertical="center"/>
    </xf>
    <xf numFmtId="0" fontId="5" fillId="0" borderId="124" xfId="4" applyFont="1" applyBorder="1" applyAlignment="1">
      <alignment horizontal="center" vertical="center"/>
    </xf>
    <xf numFmtId="10" fontId="5" fillId="2" borderId="124" xfId="4" applyNumberFormat="1" applyFont="1" applyFill="1" applyBorder="1" applyAlignment="1" applyProtection="1">
      <alignment horizontal="right" vertical="center"/>
      <protection locked="0"/>
    </xf>
    <xf numFmtId="166" fontId="5" fillId="0" borderId="124" xfId="2408" applyNumberFormat="1" applyFont="1" applyFill="1" applyBorder="1" applyAlignment="1" applyProtection="1">
      <alignment vertical="center"/>
      <protection locked="0"/>
    </xf>
    <xf numFmtId="0" fontId="6" fillId="0" borderId="127" xfId="4" applyFont="1" applyBorder="1" applyAlignment="1">
      <alignment horizontal="center" vertical="center"/>
    </xf>
    <xf numFmtId="0" fontId="6" fillId="0" borderId="127" xfId="4" applyFont="1" applyBorder="1" applyAlignment="1">
      <alignment vertical="center"/>
    </xf>
    <xf numFmtId="166" fontId="6" fillId="0" borderId="127" xfId="4" applyNumberFormat="1" applyFont="1" applyBorder="1" applyAlignment="1">
      <alignment vertical="center"/>
    </xf>
    <xf numFmtId="0" fontId="6" fillId="0" borderId="126" xfId="4" applyFont="1" applyBorder="1" applyAlignment="1">
      <alignment horizontal="center" vertical="center"/>
    </xf>
    <xf numFmtId="10" fontId="5" fillId="0" borderId="127" xfId="3" applyNumberFormat="1" applyFont="1" applyFill="1" applyBorder="1" applyAlignment="1">
      <alignment horizontal="right" vertical="center"/>
    </xf>
    <xf numFmtId="17" fontId="5" fillId="0" borderId="126" xfId="4" applyNumberFormat="1" applyFont="1" applyBorder="1" applyAlignment="1">
      <alignment horizontal="left" vertical="center"/>
    </xf>
    <xf numFmtId="3" fontId="5" fillId="0" borderId="127" xfId="4" applyNumberFormat="1" applyFont="1" applyBorder="1" applyAlignment="1">
      <alignment horizontal="centerContinuous" vertical="center"/>
    </xf>
    <xf numFmtId="166" fontId="5" fillId="3" borderId="124" xfId="1" applyNumberFormat="1" applyFont="1" applyFill="1" applyBorder="1" applyAlignment="1" applyProtection="1">
      <alignment vertical="center"/>
      <protection locked="0"/>
    </xf>
    <xf numFmtId="166" fontId="5" fillId="0" borderId="2" xfId="2408" applyNumberFormat="1" applyFont="1" applyFill="1" applyBorder="1" applyAlignment="1" applyProtection="1">
      <alignment vertical="center"/>
      <protection locked="0"/>
    </xf>
    <xf numFmtId="10" fontId="5" fillId="2" borderId="124" xfId="4" applyNumberFormat="1" applyFont="1" applyFill="1" applyBorder="1" applyAlignment="1">
      <alignment vertical="center"/>
    </xf>
    <xf numFmtId="10" fontId="5" fillId="2" borderId="124" xfId="4" applyNumberFormat="1" applyFont="1" applyFill="1" applyBorder="1" applyAlignment="1">
      <alignment horizontal="right" vertical="center"/>
    </xf>
    <xf numFmtId="165" fontId="5" fillId="3" borderId="124" xfId="21" applyNumberFormat="1" applyFont="1" applyFill="1" applyBorder="1" applyAlignment="1" applyProtection="1">
      <alignment horizontal="center" vertical="center"/>
      <protection locked="0"/>
    </xf>
    <xf numFmtId="166" fontId="5" fillId="2" borderId="124" xfId="1" applyNumberFormat="1" applyFont="1" applyFill="1" applyBorder="1" applyAlignment="1" applyProtection="1">
      <alignment vertical="center"/>
      <protection locked="0"/>
    </xf>
    <xf numFmtId="10" fontId="5" fillId="3" borderId="124" xfId="3853" applyNumberFormat="1" applyFont="1" applyFill="1" applyBorder="1" applyAlignment="1">
      <alignment vertical="center"/>
    </xf>
    <xf numFmtId="0" fontId="5" fillId="0" borderId="124" xfId="4" applyFont="1" applyBorder="1" applyAlignment="1">
      <alignment vertical="center"/>
    </xf>
    <xf numFmtId="166" fontId="6" fillId="0" borderId="124" xfId="2408" applyNumberFormat="1" applyFont="1" applyBorder="1" applyAlignment="1">
      <alignment vertical="center"/>
    </xf>
    <xf numFmtId="165" fontId="27" fillId="0" borderId="120" xfId="21" applyNumberFormat="1" applyFont="1" applyBorder="1" applyAlignment="1">
      <alignment vertical="center"/>
    </xf>
    <xf numFmtId="17" fontId="5" fillId="0" borderId="127" xfId="4" applyNumberFormat="1" applyFont="1" applyBorder="1" applyAlignment="1">
      <alignment horizontal="left" vertical="center"/>
    </xf>
    <xf numFmtId="166" fontId="5" fillId="0" borderId="127" xfId="2408" applyNumberFormat="1" applyFont="1" applyBorder="1" applyAlignment="1">
      <alignment vertical="center"/>
    </xf>
    <xf numFmtId="166" fontId="5" fillId="0" borderId="127" xfId="4" applyNumberFormat="1" applyFont="1" applyBorder="1" applyAlignment="1">
      <alignment horizontal="center" vertical="center"/>
    </xf>
    <xf numFmtId="17" fontId="6" fillId="0" borderId="120" xfId="4" applyNumberFormat="1" applyFont="1" applyBorder="1" applyAlignment="1">
      <alignment horizontal="left" vertical="center"/>
    </xf>
    <xf numFmtId="166" fontId="159" fillId="0" borderId="120" xfId="2408" applyNumberFormat="1" applyFont="1" applyBorder="1" applyAlignment="1">
      <alignment vertical="center"/>
    </xf>
    <xf numFmtId="166" fontId="6" fillId="0" borderId="120" xfId="4" applyNumberFormat="1" applyFont="1" applyBorder="1" applyAlignment="1">
      <alignment horizontal="center" vertical="center"/>
    </xf>
    <xf numFmtId="166" fontId="6" fillId="0" borderId="127" xfId="2408" applyNumberFormat="1" applyFont="1" applyBorder="1" applyAlignment="1">
      <alignment vertical="center"/>
    </xf>
    <xf numFmtId="166" fontId="6" fillId="0" borderId="120" xfId="2408" applyNumberFormat="1" applyFont="1" applyBorder="1" applyAlignment="1">
      <alignment vertical="center"/>
    </xf>
    <xf numFmtId="166" fontId="5" fillId="0" borderId="120" xfId="4" applyNumberFormat="1" applyFont="1" applyBorder="1" applyAlignment="1">
      <alignment horizontal="center" vertical="center"/>
    </xf>
    <xf numFmtId="165" fontId="6" fillId="0" borderId="127" xfId="21" applyNumberFormat="1" applyFont="1" applyBorder="1" applyAlignment="1">
      <alignment vertical="center"/>
    </xf>
    <xf numFmtId="165" fontId="5" fillId="0" borderId="127" xfId="21" applyNumberFormat="1" applyFont="1" applyBorder="1" applyAlignment="1">
      <alignment horizontal="center" vertical="center"/>
    </xf>
    <xf numFmtId="0" fontId="6" fillId="0" borderId="124" xfId="4" applyFont="1" applyBorder="1" applyAlignment="1">
      <alignment horizontal="centerContinuous" vertical="center"/>
    </xf>
    <xf numFmtId="0" fontId="6" fillId="0" borderId="120" xfId="4" applyFont="1" applyBorder="1" applyAlignment="1">
      <alignment horizontal="left" vertical="center"/>
    </xf>
    <xf numFmtId="166" fontId="27" fillId="0" borderId="127" xfId="1" applyNumberFormat="1" applyFont="1" applyBorder="1" applyAlignment="1">
      <alignment vertical="center"/>
    </xf>
    <xf numFmtId="166" fontId="6" fillId="0" borderId="120" xfId="1" applyNumberFormat="1" applyFont="1" applyBorder="1" applyAlignment="1">
      <alignment vertical="center"/>
    </xf>
    <xf numFmtId="166" fontId="6" fillId="0" borderId="127" xfId="4" applyNumberFormat="1" applyFont="1" applyBorder="1" applyAlignment="1">
      <alignment horizontal="center" vertical="center"/>
    </xf>
    <xf numFmtId="164" fontId="6" fillId="0" borderId="124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wrapText="1"/>
    </xf>
    <xf numFmtId="165" fontId="5" fillId="0" borderId="122" xfId="2" applyNumberFormat="1" applyFont="1" applyBorder="1" applyAlignment="1" applyProtection="1">
      <alignment vertical="center"/>
      <protection locked="0"/>
    </xf>
    <xf numFmtId="165" fontId="5" fillId="3" borderId="124" xfId="2" applyNumberFormat="1" applyFont="1" applyFill="1" applyBorder="1" applyAlignment="1" applyProtection="1">
      <alignment vertical="center"/>
      <protection locked="0"/>
    </xf>
    <xf numFmtId="165" fontId="5" fillId="0" borderId="118" xfId="2" applyNumberFormat="1" applyFont="1" applyBorder="1" applyAlignment="1" applyProtection="1">
      <alignment vertical="center"/>
    </xf>
    <xf numFmtId="10" fontId="5" fillId="0" borderId="124" xfId="3" applyNumberFormat="1" applyFont="1" applyFill="1" applyBorder="1" applyAlignment="1">
      <alignment horizontal="right" vertical="center"/>
    </xf>
    <xf numFmtId="10" fontId="5" fillId="0" borderId="124" xfId="3" applyNumberFormat="1" applyFont="1" applyBorder="1" applyAlignment="1">
      <alignment horizontal="right" vertical="center"/>
    </xf>
    <xf numFmtId="10" fontId="5" fillId="111" borderId="124" xfId="3" applyNumberFormat="1" applyFont="1" applyFill="1" applyBorder="1" applyAlignment="1">
      <alignment horizontal="right" vertical="center"/>
    </xf>
    <xf numFmtId="9" fontId="5" fillId="3" borderId="124" xfId="3" applyFont="1" applyFill="1" applyBorder="1" applyAlignment="1">
      <alignment horizontal="right" vertical="center"/>
    </xf>
    <xf numFmtId="0" fontId="5" fillId="3" borderId="124" xfId="3" applyNumberFormat="1" applyFont="1" applyFill="1" applyBorder="1" applyAlignment="1">
      <alignment horizontal="right" vertical="center"/>
    </xf>
    <xf numFmtId="167" fontId="5" fillId="0" borderId="124" xfId="3" applyNumberFormat="1" applyFont="1" applyBorder="1" applyAlignment="1">
      <alignment horizontal="right" vertical="center"/>
    </xf>
    <xf numFmtId="167" fontId="5" fillId="2" borderId="124" xfId="3" applyNumberFormat="1" applyFont="1" applyFill="1" applyBorder="1" applyAlignment="1">
      <alignment horizontal="right" vertical="center"/>
    </xf>
    <xf numFmtId="9" fontId="5" fillId="2" borderId="124" xfId="3" applyFont="1" applyFill="1" applyBorder="1" applyAlignment="1">
      <alignment horizontal="right" vertical="center"/>
    </xf>
    <xf numFmtId="10" fontId="5" fillId="2" borderId="124" xfId="3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5" fontId="6" fillId="0" borderId="12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43" fontId="5" fillId="0" borderId="123" xfId="1442" applyFont="1" applyFill="1" applyBorder="1"/>
    <xf numFmtId="166" fontId="5" fillId="0" borderId="123" xfId="1442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166" fontId="5" fillId="0" borderId="129" xfId="1442" applyNumberFormat="1" applyFont="1" applyBorder="1"/>
    <xf numFmtId="166" fontId="5" fillId="0" borderId="123" xfId="1" applyNumberFormat="1" applyFont="1" applyBorder="1"/>
    <xf numFmtId="165" fontId="6" fillId="0" borderId="123" xfId="2" applyNumberFormat="1" applyFont="1" applyBorder="1"/>
    <xf numFmtId="166" fontId="5" fillId="0" borderId="129" xfId="1" applyNumberFormat="1" applyFont="1" applyBorder="1"/>
    <xf numFmtId="0" fontId="5" fillId="0" borderId="9" xfId="0" applyFont="1" applyBorder="1"/>
    <xf numFmtId="0" fontId="6" fillId="0" borderId="123" xfId="0" applyFont="1" applyBorder="1" applyAlignment="1">
      <alignment vertical="center"/>
    </xf>
    <xf numFmtId="10" fontId="5" fillId="0" borderId="127" xfId="0" applyNumberFormat="1" applyFont="1" applyBorder="1" applyAlignment="1">
      <alignment vertical="center"/>
    </xf>
    <xf numFmtId="10" fontId="5" fillId="0" borderId="127" xfId="3" applyNumberFormat="1" applyFont="1" applyBorder="1" applyAlignment="1">
      <alignment vertical="center"/>
    </xf>
    <xf numFmtId="5" fontId="5" fillId="0" borderId="124" xfId="4" applyNumberFormat="1" applyFont="1" applyBorder="1" applyAlignment="1">
      <alignment horizontal="center"/>
    </xf>
    <xf numFmtId="0" fontId="5" fillId="0" borderId="124" xfId="4" applyFont="1" applyBorder="1" applyAlignment="1">
      <alignment horizontal="center"/>
    </xf>
    <xf numFmtId="166" fontId="5" fillId="2" borderId="124" xfId="2408" applyNumberFormat="1" applyFont="1" applyFill="1" applyBorder="1" applyAlignment="1" applyProtection="1">
      <alignment horizontal="right" vertical="center"/>
      <protection locked="0"/>
    </xf>
    <xf numFmtId="165" fontId="5" fillId="0" borderId="122" xfId="21" applyNumberFormat="1" applyFont="1" applyFill="1" applyBorder="1" applyAlignment="1" applyProtection="1">
      <alignment horizontal="right" vertical="center"/>
    </xf>
    <xf numFmtId="165" fontId="5" fillId="0" borderId="122" xfId="21" applyNumberFormat="1" applyFont="1" applyFill="1" applyBorder="1" applyAlignment="1" applyProtection="1">
      <alignment horizontal="center" vertical="center"/>
    </xf>
    <xf numFmtId="166" fontId="6" fillId="2" borderId="124" xfId="2408" applyNumberFormat="1" applyFont="1" applyFill="1" applyBorder="1" applyAlignment="1" applyProtection="1">
      <alignment horizontal="center" vertical="center"/>
    </xf>
    <xf numFmtId="166" fontId="5" fillId="111" borderId="124" xfId="2408" applyNumberFormat="1" applyFont="1" applyFill="1" applyBorder="1" applyAlignment="1" applyProtection="1">
      <alignment horizontal="right" vertical="center"/>
    </xf>
    <xf numFmtId="166" fontId="5" fillId="2" borderId="124" xfId="2408" applyNumberFormat="1" applyFont="1" applyFill="1" applyBorder="1" applyAlignment="1" applyProtection="1">
      <alignment horizontal="right" vertical="center"/>
    </xf>
    <xf numFmtId="166" fontId="5" fillId="0" borderId="124" xfId="2408" applyNumberFormat="1" applyFont="1" applyFill="1" applyBorder="1" applyAlignment="1" applyProtection="1">
      <alignment horizontal="right" vertical="center"/>
    </xf>
    <xf numFmtId="165" fontId="5" fillId="0" borderId="118" xfId="21" applyNumberFormat="1" applyFont="1" applyFill="1" applyBorder="1" applyAlignment="1" applyProtection="1">
      <alignment horizontal="right" vertical="center"/>
    </xf>
    <xf numFmtId="0" fontId="6" fillId="0" borderId="0" xfId="1965" quotePrefix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6" fillId="0" borderId="0" xfId="4" quotePrefix="1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4" quotePrefix="1" applyFont="1" applyAlignment="1">
      <alignment horizontal="center"/>
    </xf>
    <xf numFmtId="166" fontId="5" fillId="2" borderId="127" xfId="1" applyNumberFormat="1" applyFont="1" applyFill="1" applyBorder="1" applyAlignment="1">
      <alignment horizontal="right" vertical="center"/>
    </xf>
    <xf numFmtId="166" fontId="5" fillId="3" borderId="127" xfId="1" applyNumberFormat="1" applyFont="1" applyFill="1" applyBorder="1" applyAlignment="1">
      <alignment vertical="center"/>
    </xf>
    <xf numFmtId="170" fontId="5" fillId="0" borderId="127" xfId="1" applyNumberFormat="1" applyFont="1" applyFill="1" applyBorder="1" applyAlignment="1">
      <alignment horizontal="right"/>
    </xf>
    <xf numFmtId="166" fontId="5" fillId="3" borderId="127" xfId="2030" applyNumberFormat="1" applyFont="1" applyFill="1" applyBorder="1"/>
    <xf numFmtId="10" fontId="5" fillId="3" borderId="124" xfId="1043" applyNumberFormat="1" applyFont="1" applyFill="1" applyBorder="1" applyAlignment="1">
      <alignment vertical="center"/>
    </xf>
    <xf numFmtId="165" fontId="5" fillId="0" borderId="124" xfId="1963" applyNumberFormat="1" applyFont="1" applyBorder="1" applyAlignment="1">
      <alignment horizontal="right" vertical="center"/>
    </xf>
    <xf numFmtId="0" fontId="5" fillId="0" borderId="130" xfId="2012" applyFont="1" applyBorder="1" applyAlignment="1">
      <alignment horizontal="center"/>
    </xf>
    <xf numFmtId="184" fontId="5" fillId="0" borderId="124" xfId="0" applyNumberFormat="1" applyFont="1" applyBorder="1" applyAlignment="1">
      <alignment horizontal="right" vertical="center"/>
    </xf>
    <xf numFmtId="10" fontId="5" fillId="2" borderId="124" xfId="0" applyNumberFormat="1" applyFont="1" applyFill="1" applyBorder="1" applyAlignment="1">
      <alignment vertical="center"/>
    </xf>
    <xf numFmtId="1" fontId="5" fillId="0" borderId="124" xfId="55" applyNumberFormat="1" applyFont="1" applyBorder="1" applyAlignment="1">
      <alignment horizontal="center" vertical="center"/>
    </xf>
    <xf numFmtId="10" fontId="27" fillId="0" borderId="124" xfId="0" applyNumberFormat="1" applyFont="1" applyBorder="1" applyAlignment="1">
      <alignment vertical="center"/>
    </xf>
    <xf numFmtId="166" fontId="27" fillId="0" borderId="124" xfId="1" applyNumberFormat="1" applyFont="1" applyFill="1" applyBorder="1" applyAlignment="1">
      <alignment horizontal="right" vertical="center"/>
    </xf>
    <xf numFmtId="166" fontId="27" fillId="0" borderId="124" xfId="1" applyNumberFormat="1" applyFont="1" applyFill="1" applyBorder="1" applyAlignment="1">
      <alignment vertical="center"/>
    </xf>
    <xf numFmtId="166" fontId="5" fillId="0" borderId="124" xfId="1" quotePrefix="1" applyNumberFormat="1" applyFont="1" applyBorder="1" applyAlignment="1">
      <alignment horizontal="center" vertical="center"/>
    </xf>
    <xf numFmtId="164" fontId="5" fillId="3" borderId="124" xfId="4" applyNumberFormat="1" applyFont="1" applyFill="1" applyBorder="1" applyAlignment="1">
      <alignment horizontal="center" vertical="center"/>
    </xf>
    <xf numFmtId="15" fontId="5" fillId="3" borderId="124" xfId="4" applyNumberFormat="1" applyFont="1" applyFill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vertical="center"/>
      <protection locked="0"/>
    </xf>
    <xf numFmtId="166" fontId="5" fillId="0" borderId="124" xfId="2408" applyNumberFormat="1" applyFont="1" applyBorder="1" applyAlignment="1">
      <alignment horizontal="right" vertical="center"/>
    </xf>
    <xf numFmtId="0" fontId="6" fillId="0" borderId="124" xfId="4" applyFont="1" applyBorder="1" applyAlignment="1">
      <alignment horizontal="center" vertical="center"/>
    </xf>
    <xf numFmtId="0" fontId="6" fillId="0" borderId="125" xfId="4" applyFont="1" applyBorder="1" applyAlignment="1">
      <alignment horizontal="center" vertical="center"/>
    </xf>
    <xf numFmtId="166" fontId="5" fillId="0" borderId="125" xfId="4" applyNumberFormat="1" applyFont="1" applyBorder="1" applyAlignment="1">
      <alignment vertical="center"/>
    </xf>
    <xf numFmtId="165" fontId="6" fillId="0" borderId="125" xfId="21" applyNumberFormat="1" applyFont="1" applyBorder="1" applyAlignment="1">
      <alignment vertical="center"/>
    </xf>
    <xf numFmtId="37" fontId="6" fillId="0" borderId="125" xfId="4" applyNumberFormat="1" applyFont="1" applyBorder="1" applyAlignment="1">
      <alignment vertical="center"/>
    </xf>
    <xf numFmtId="0" fontId="5" fillId="0" borderId="127" xfId="4" applyFont="1" applyBorder="1" applyAlignment="1">
      <alignment horizontal="centerContinuous" vertical="center"/>
    </xf>
    <xf numFmtId="166" fontId="5" fillId="0" borderId="127" xfId="1" applyNumberFormat="1" applyFont="1" applyBorder="1" applyAlignment="1">
      <alignment vertical="center"/>
    </xf>
    <xf numFmtId="166" fontId="6" fillId="0" borderId="125" xfId="4" applyNumberFormat="1" applyFont="1" applyBorder="1" applyAlignment="1">
      <alignment vertical="center"/>
    </xf>
    <xf numFmtId="166" fontId="5" fillId="0" borderId="127" xfId="4" applyNumberFormat="1" applyFont="1" applyBorder="1" applyAlignment="1">
      <alignment vertical="center"/>
    </xf>
    <xf numFmtId="168" fontId="6" fillId="0" borderId="127" xfId="4" applyNumberFormat="1" applyFont="1" applyBorder="1" applyAlignment="1">
      <alignment vertical="center"/>
    </xf>
    <xf numFmtId="0" fontId="5" fillId="0" borderId="127" xfId="4" applyFont="1" applyBorder="1" applyAlignment="1">
      <alignment vertical="center"/>
    </xf>
    <xf numFmtId="17" fontId="6" fillId="0" borderId="127" xfId="4" applyNumberFormat="1" applyFont="1" applyBorder="1" applyAlignment="1">
      <alignment horizontal="left" vertical="center"/>
    </xf>
    <xf numFmtId="3" fontId="6" fillId="0" borderId="127" xfId="4" applyNumberFormat="1" applyFont="1" applyBorder="1" applyAlignment="1">
      <alignment horizontal="centerContinuous" vertical="center"/>
    </xf>
    <xf numFmtId="3" fontId="6" fillId="0" borderId="127" xfId="4" applyNumberFormat="1" applyFont="1" applyBorder="1" applyAlignment="1">
      <alignment vertical="center"/>
    </xf>
    <xf numFmtId="166" fontId="5" fillId="0" borderId="127" xfId="2408" applyNumberFormat="1" applyFont="1" applyBorder="1" applyAlignment="1">
      <alignment horizontal="center" vertical="center"/>
    </xf>
    <xf numFmtId="3" fontId="5" fillId="0" borderId="127" xfId="4" applyNumberFormat="1" applyFont="1" applyBorder="1" applyAlignment="1">
      <alignment vertical="center"/>
    </xf>
    <xf numFmtId="165" fontId="5" fillId="0" borderId="124" xfId="2" applyNumberFormat="1" applyFont="1" applyFill="1" applyBorder="1" applyAlignment="1">
      <alignment vertical="center"/>
    </xf>
    <xf numFmtId="166" fontId="6" fillId="0" borderId="127" xfId="2408" applyNumberFormat="1" applyFont="1" applyFill="1" applyBorder="1" applyAlignment="1">
      <alignment horizontal="center" vertical="center"/>
    </xf>
    <xf numFmtId="166" fontId="6" fillId="0" borderId="127" xfId="2408" applyNumberFormat="1" applyFont="1" applyBorder="1" applyAlignment="1">
      <alignment horizontal="center" vertical="center"/>
    </xf>
    <xf numFmtId="166" fontId="6" fillId="0" borderId="124" xfId="2408" applyNumberFormat="1" applyFont="1" applyBorder="1" applyAlignment="1">
      <alignment horizontal="center" vertical="center"/>
    </xf>
    <xf numFmtId="166" fontId="5" fillId="0" borderId="125" xfId="2408" applyNumberFormat="1" applyFont="1" applyFill="1" applyBorder="1" applyAlignment="1">
      <alignment vertical="center"/>
    </xf>
    <xf numFmtId="166" fontId="5" fillId="0" borderId="127" xfId="1" applyNumberFormat="1" applyFont="1" applyBorder="1" applyAlignment="1">
      <alignment horizontal="center" vertical="center"/>
    </xf>
    <xf numFmtId="168" fontId="5" fillId="0" borderId="127" xfId="4" applyNumberFormat="1" applyFont="1" applyBorder="1" applyAlignment="1">
      <alignment vertical="center"/>
    </xf>
    <xf numFmtId="3" fontId="6" fillId="0" borderId="125" xfId="4" applyNumberFormat="1" applyFont="1" applyBorder="1" applyAlignment="1">
      <alignment vertical="center"/>
    </xf>
    <xf numFmtId="0" fontId="6" fillId="0" borderId="126" xfId="4" applyFont="1" applyBorder="1" applyAlignment="1">
      <alignment vertical="center"/>
    </xf>
    <xf numFmtId="165" fontId="6" fillId="0" borderId="127" xfId="21" applyNumberFormat="1" applyFont="1" applyFill="1" applyBorder="1" applyAlignment="1">
      <alignment vertical="center"/>
    </xf>
    <xf numFmtId="166" fontId="5" fillId="0" borderId="127" xfId="2408" applyNumberFormat="1" applyFont="1" applyFill="1" applyBorder="1" applyAlignment="1">
      <alignment horizontal="center" vertical="center"/>
    </xf>
    <xf numFmtId="0" fontId="6" fillId="0" borderId="124" xfId="4" applyFont="1" applyBorder="1" applyAlignment="1">
      <alignment vertical="center"/>
    </xf>
    <xf numFmtId="15" fontId="5" fillId="2" borderId="124" xfId="4" applyNumberFormat="1" applyFont="1" applyFill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horizontal="right" vertical="center"/>
      <protection locked="0"/>
    </xf>
    <xf numFmtId="165" fontId="6" fillId="0" borderId="125" xfId="21" applyNumberFormat="1" applyFont="1" applyFill="1" applyBorder="1" applyAlignment="1">
      <alignment vertical="center"/>
    </xf>
    <xf numFmtId="166" fontId="6" fillId="0" borderId="125" xfId="2408" applyNumberFormat="1" applyFont="1" applyFill="1" applyBorder="1" applyAlignment="1">
      <alignment horizontal="center" vertical="center"/>
    </xf>
    <xf numFmtId="166" fontId="5" fillId="0" borderId="125" xfId="2408" applyNumberFormat="1" applyFont="1" applyBorder="1" applyAlignment="1">
      <alignment vertical="center"/>
    </xf>
    <xf numFmtId="3" fontId="6" fillId="0" borderId="127" xfId="4" applyNumberFormat="1" applyFont="1" applyBorder="1" applyAlignment="1">
      <alignment horizontal="right" vertical="center"/>
    </xf>
    <xf numFmtId="165" fontId="5" fillId="0" borderId="127" xfId="21" applyNumberFormat="1" applyFont="1" applyFill="1" applyBorder="1" applyAlignment="1">
      <alignment horizontal="center" vertical="center"/>
    </xf>
    <xf numFmtId="41" fontId="5" fillId="0" borderId="124" xfId="0" applyNumberFormat="1" applyFont="1" applyBorder="1" applyAlignment="1">
      <alignment vertical="center"/>
    </xf>
    <xf numFmtId="0" fontId="6" fillId="0" borderId="125" xfId="3856" applyFont="1" applyBorder="1" applyAlignment="1">
      <alignment horizontal="center"/>
    </xf>
    <xf numFmtId="0" fontId="6" fillId="0" borderId="127" xfId="3856" applyFont="1" applyBorder="1" applyAlignment="1">
      <alignment horizontal="center"/>
    </xf>
    <xf numFmtId="0" fontId="6" fillId="0" borderId="124" xfId="3856" applyFont="1" applyBorder="1" applyAlignment="1">
      <alignment horizontal="center"/>
    </xf>
    <xf numFmtId="166" fontId="5" fillId="0" borderId="127" xfId="37038" applyNumberFormat="1" applyFont="1" applyFill="1" applyBorder="1" applyAlignment="1">
      <alignment vertical="center"/>
    </xf>
    <xf numFmtId="0" fontId="5" fillId="0" borderId="124" xfId="3856" applyFont="1" applyBorder="1"/>
    <xf numFmtId="0" fontId="5" fillId="0" borderId="127" xfId="3856" applyFont="1" applyBorder="1"/>
    <xf numFmtId="0" fontId="5" fillId="0" borderId="127" xfId="3856" applyFont="1" applyBorder="1" applyAlignment="1">
      <alignment horizontal="center"/>
    </xf>
    <xf numFmtId="0" fontId="6" fillId="0" borderId="127" xfId="4" applyFont="1" applyBorder="1" applyAlignment="1">
      <alignment horizontal="centerContinuous" vertical="center"/>
    </xf>
    <xf numFmtId="166" fontId="6" fillId="0" borderId="127" xfId="1" applyNumberFormat="1" applyFont="1" applyBorder="1" applyAlignment="1">
      <alignment vertical="center"/>
    </xf>
    <xf numFmtId="10" fontId="5" fillId="2" borderId="124" xfId="0" applyNumberFormat="1" applyFont="1" applyFill="1" applyBorder="1" applyAlignment="1">
      <alignment horizontal="right" vertical="center"/>
    </xf>
    <xf numFmtId="166" fontId="5" fillId="0" borderId="124" xfId="1" applyNumberFormat="1" applyFont="1" applyFill="1" applyBorder="1" applyAlignment="1" applyProtection="1">
      <alignment vertical="center"/>
      <protection locked="0"/>
    </xf>
    <xf numFmtId="166" fontId="5" fillId="2" borderId="124" xfId="1" applyNumberFormat="1" applyFont="1" applyFill="1" applyBorder="1" applyAlignment="1" applyProtection="1">
      <alignment horizontal="right" vertical="center"/>
    </xf>
    <xf numFmtId="166" fontId="5" fillId="2" borderId="124" xfId="1" applyNumberFormat="1" applyFont="1" applyFill="1" applyBorder="1" applyAlignment="1">
      <alignment vertical="center"/>
    </xf>
    <xf numFmtId="0" fontId="6" fillId="0" borderId="124" xfId="1042" applyFont="1" applyBorder="1" applyAlignment="1">
      <alignment horizontal="center"/>
    </xf>
    <xf numFmtId="0" fontId="6" fillId="0" borderId="129" xfId="1042" applyFont="1" applyBorder="1" applyAlignment="1">
      <alignment horizontal="center"/>
    </xf>
    <xf numFmtId="0" fontId="5" fillId="0" borderId="127" xfId="1042" applyFont="1" applyBorder="1"/>
    <xf numFmtId="166" fontId="5" fillId="0" borderId="129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right"/>
      <protection locked="0"/>
    </xf>
    <xf numFmtId="165" fontId="29" fillId="0" borderId="1" xfId="1962" applyNumberFormat="1" applyFont="1" applyBorder="1" applyAlignment="1">
      <alignment vertical="center"/>
    </xf>
    <xf numFmtId="165" fontId="5" fillId="0" borderId="1" xfId="21" applyNumberFormat="1" applyFont="1" applyFill="1" applyBorder="1" applyAlignment="1" applyProtection="1">
      <alignment horizontal="right" vertical="center"/>
      <protection locked="0"/>
    </xf>
    <xf numFmtId="165" fontId="5" fillId="3" borderId="1" xfId="2" applyNumberFormat="1" applyFont="1" applyFill="1" applyBorder="1" applyAlignment="1" applyProtection="1">
      <alignment vertical="center"/>
      <protection locked="0"/>
    </xf>
    <xf numFmtId="165" fontId="5" fillId="0" borderId="1" xfId="21" applyNumberFormat="1" applyFont="1" applyFill="1" applyBorder="1" applyAlignment="1" applyProtection="1">
      <alignment vertical="center"/>
      <protection locked="0"/>
    </xf>
    <xf numFmtId="165" fontId="5" fillId="0" borderId="1" xfId="2069" applyNumberFormat="1" applyFont="1" applyBorder="1" applyProtection="1">
      <protection locked="0"/>
    </xf>
    <xf numFmtId="165" fontId="5" fillId="0" borderId="1" xfId="21" applyNumberFormat="1" applyFont="1" applyBorder="1" applyAlignment="1">
      <alignment horizontal="right" vertical="center"/>
    </xf>
    <xf numFmtId="10" fontId="5" fillId="0" borderId="1" xfId="3" applyNumberFormat="1" applyFont="1" applyBorder="1" applyAlignment="1">
      <alignment horizontal="right" vertical="center"/>
    </xf>
    <xf numFmtId="10" fontId="5" fillId="3" borderId="1" xfId="3" applyNumberFormat="1" applyFont="1" applyFill="1" applyBorder="1" applyAlignment="1">
      <alignment vertical="center"/>
    </xf>
    <xf numFmtId="10" fontId="5" fillId="0" borderId="1" xfId="3" applyNumberFormat="1" applyFont="1" applyFill="1" applyBorder="1" applyAlignment="1">
      <alignment horizontal="right" vertical="center"/>
    </xf>
    <xf numFmtId="10" fontId="5" fillId="111" borderId="1" xfId="3" applyNumberFormat="1" applyFont="1" applyFill="1" applyBorder="1" applyAlignment="1">
      <alignment vertical="center"/>
    </xf>
    <xf numFmtId="167" fontId="5" fillId="0" borderId="1" xfId="3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5" fontId="5" fillId="0" borderId="1" xfId="21" applyNumberFormat="1" applyFont="1" applyFill="1" applyBorder="1" applyAlignment="1" applyProtection="1">
      <alignment horizontal="right" vertical="center"/>
    </xf>
    <xf numFmtId="165" fontId="5" fillId="111" borderId="1" xfId="21" applyNumberFormat="1" applyFont="1" applyFill="1" applyBorder="1" applyAlignment="1" applyProtection="1">
      <alignment horizontal="right" vertical="center"/>
    </xf>
    <xf numFmtId="165" fontId="5" fillId="3" borderId="1" xfId="21" applyNumberFormat="1" applyFont="1" applyFill="1" applyBorder="1" applyAlignment="1">
      <alignment vertical="center"/>
    </xf>
    <xf numFmtId="0" fontId="6" fillId="0" borderId="55" xfId="4" applyFont="1" applyBorder="1" applyAlignment="1">
      <alignment horizontal="center" vertical="center"/>
    </xf>
    <xf numFmtId="0" fontId="6" fillId="0" borderId="55" xfId="4" applyFont="1" applyBorder="1" applyAlignment="1">
      <alignment vertical="center"/>
    </xf>
    <xf numFmtId="165" fontId="6" fillId="0" borderId="55" xfId="2" applyNumberFormat="1" applyFont="1" applyFill="1" applyBorder="1" applyAlignment="1">
      <alignment vertical="center"/>
    </xf>
    <xf numFmtId="0" fontId="5" fillId="0" borderId="55" xfId="4" applyFont="1" applyBorder="1" applyAlignment="1">
      <alignment horizontal="center" vertical="center"/>
    </xf>
    <xf numFmtId="169" fontId="6" fillId="0" borderId="55" xfId="4" applyNumberFormat="1" applyFont="1" applyBorder="1" applyAlignment="1">
      <alignment horizontal="center" vertical="center"/>
    </xf>
    <xf numFmtId="169" fontId="5" fillId="0" borderId="55" xfId="4" applyNumberFormat="1" applyFont="1" applyBorder="1" applyAlignment="1">
      <alignment horizontal="center" vertical="center"/>
    </xf>
    <xf numFmtId="0" fontId="6" fillId="0" borderId="131" xfId="4" applyFont="1" applyBorder="1" applyAlignment="1">
      <alignment horizontal="left" vertical="center"/>
    </xf>
    <xf numFmtId="165" fontId="6" fillId="0" borderId="55" xfId="21" applyNumberFormat="1" applyFont="1" applyFill="1" applyBorder="1" applyAlignment="1">
      <alignment horizontal="center" vertical="center"/>
    </xf>
    <xf numFmtId="165" fontId="6" fillId="0" borderId="55" xfId="2" applyNumberFormat="1" applyFont="1" applyFill="1" applyBorder="1" applyAlignment="1">
      <alignment horizontal="center" vertical="center"/>
    </xf>
    <xf numFmtId="0" fontId="6" fillId="0" borderId="131" xfId="4" applyFont="1" applyBorder="1" applyAlignment="1">
      <alignment vertical="center"/>
    </xf>
    <xf numFmtId="14" fontId="6" fillId="0" borderId="55" xfId="3856" applyNumberFormat="1" applyFont="1" applyBorder="1" applyAlignment="1">
      <alignment horizontal="center"/>
    </xf>
    <xf numFmtId="0" fontId="6" fillId="0" borderId="132" xfId="1042" applyFont="1" applyBorder="1" applyAlignment="1">
      <alignment horizontal="center"/>
    </xf>
    <xf numFmtId="0" fontId="5" fillId="0" borderId="133" xfId="1042" applyFont="1" applyBorder="1" applyAlignment="1">
      <alignment horizontal="left"/>
    </xf>
    <xf numFmtId="49" fontId="6" fillId="0" borderId="132" xfId="0" applyNumberFormat="1" applyFont="1" applyBorder="1" applyAlignment="1">
      <alignment horizontal="center" vertical="center"/>
    </xf>
    <xf numFmtId="0" fontId="6" fillId="0" borderId="133" xfId="37811" quotePrefix="1" applyNumberFormat="1" applyFont="1" applyFill="1" applyBorder="1" applyAlignment="1">
      <alignment horizontal="center" vertical="center"/>
    </xf>
    <xf numFmtId="0" fontId="5" fillId="0" borderId="133" xfId="37887" quotePrefix="1" applyNumberFormat="1" applyFont="1" applyFill="1" applyBorder="1" applyAlignment="1">
      <alignment vertical="center"/>
    </xf>
    <xf numFmtId="0" fontId="29" fillId="0" borderId="8" xfId="1962" applyFont="1" applyBorder="1" applyAlignment="1">
      <alignment horizontal="center"/>
    </xf>
    <xf numFmtId="0" fontId="5" fillId="0" borderId="7" xfId="37811" quotePrefix="1" applyNumberFormat="1" applyFont="1" applyFill="1" applyBorder="1" applyAlignment="1">
      <alignment horizontal="left" vertical="center"/>
    </xf>
    <xf numFmtId="0" fontId="5" fillId="0" borderId="86" xfId="37811" quotePrefix="1" applyNumberFormat="1" applyFont="1" applyFill="1" applyBorder="1" applyAlignment="1">
      <alignment horizontal="left" vertical="center"/>
    </xf>
    <xf numFmtId="165" fontId="27" fillId="0" borderId="120" xfId="2" applyNumberFormat="1" applyFont="1" applyBorder="1" applyAlignment="1">
      <alignment horizontal="center"/>
    </xf>
    <xf numFmtId="37" fontId="6" fillId="0" borderId="6" xfId="12" applyNumberFormat="1" applyFont="1" applyBorder="1" applyAlignment="1">
      <alignment horizontal="left" vertical="center"/>
    </xf>
    <xf numFmtId="166" fontId="5" fillId="3" borderId="0" xfId="1" applyNumberFormat="1" applyFont="1" applyFill="1" applyBorder="1" applyAlignment="1">
      <alignment vertical="center"/>
    </xf>
    <xf numFmtId="165" fontId="8" fillId="0" borderId="0" xfId="4" applyNumberFormat="1" applyFont="1" applyAlignment="1">
      <alignment vertical="center"/>
    </xf>
    <xf numFmtId="166" fontId="8" fillId="0" borderId="0" xfId="1" applyNumberFormat="1" applyFont="1" applyAlignment="1">
      <alignment vertical="center"/>
    </xf>
    <xf numFmtId="165" fontId="6" fillId="0" borderId="0" xfId="4" applyNumberFormat="1" applyFont="1" applyAlignment="1">
      <alignment vertical="center"/>
    </xf>
    <xf numFmtId="166" fontId="6" fillId="0" borderId="0" xfId="0" applyNumberFormat="1" applyFont="1"/>
    <xf numFmtId="10" fontId="5" fillId="0" borderId="127" xfId="3" applyNumberFormat="1" applyFont="1" applyFill="1" applyBorder="1" applyAlignment="1">
      <alignment vertical="center"/>
    </xf>
    <xf numFmtId="43" fontId="5" fillId="0" borderId="127" xfId="1" applyFont="1" applyFill="1" applyBorder="1" applyAlignment="1">
      <alignment vertical="center"/>
    </xf>
    <xf numFmtId="172" fontId="5" fillId="0" borderId="118" xfId="2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4" applyNumberFormat="1" applyFont="1" applyAlignment="1">
      <alignment horizontal="left" vertical="center"/>
    </xf>
    <xf numFmtId="165" fontId="6" fillId="0" borderId="48" xfId="48" applyNumberFormat="1" applyFont="1" applyBorder="1" applyAlignment="1">
      <alignment horizontal="right"/>
    </xf>
    <xf numFmtId="0" fontId="5" fillId="0" borderId="0" xfId="6107" applyFont="1" applyAlignment="1">
      <alignment horizontal="center" vertical="center"/>
    </xf>
    <xf numFmtId="172" fontId="5" fillId="0" borderId="0" xfId="2" applyNumberFormat="1" applyFont="1" applyAlignment="1">
      <alignment horizontal="right" vertical="center"/>
    </xf>
    <xf numFmtId="168" fontId="5" fillId="0" borderId="0" xfId="1" applyNumberFormat="1" applyFont="1" applyAlignment="1">
      <alignment horizontal="right" vertical="center"/>
    </xf>
    <xf numFmtId="168" fontId="5" fillId="0" borderId="124" xfId="1" applyNumberFormat="1" applyFont="1" applyBorder="1" applyAlignment="1">
      <alignment horizontal="right" vertical="center"/>
    </xf>
    <xf numFmtId="168" fontId="5" fillId="0" borderId="118" xfId="1" applyNumberFormat="1" applyFont="1" applyBorder="1" applyAlignment="1">
      <alignment vertical="center"/>
    </xf>
    <xf numFmtId="172" fontId="5" fillId="0" borderId="0" xfId="2" applyNumberFormat="1" applyFont="1" applyFill="1" applyAlignment="1">
      <alignment horizontal="right" vertical="center"/>
    </xf>
    <xf numFmtId="172" fontId="27" fillId="0" borderId="0" xfId="2" applyNumberFormat="1" applyFont="1" applyAlignment="1">
      <alignment vertical="center"/>
    </xf>
    <xf numFmtId="168" fontId="27" fillId="0" borderId="0" xfId="1" applyNumberFormat="1" applyFont="1" applyAlignment="1">
      <alignment vertical="center"/>
    </xf>
    <xf numFmtId="168" fontId="27" fillId="0" borderId="124" xfId="1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68" fontId="5" fillId="0" borderId="0" xfId="1" applyNumberFormat="1" applyFont="1" applyFill="1" applyAlignment="1">
      <alignment horizontal="right" vertical="center"/>
    </xf>
    <xf numFmtId="168" fontId="5" fillId="0" borderId="124" xfId="1" applyNumberFormat="1" applyFont="1" applyFill="1" applyBorder="1" applyAlignment="1">
      <alignment horizontal="right" vertical="center"/>
    </xf>
    <xf numFmtId="172" fontId="27" fillId="0" borderId="118" xfId="2" applyNumberFormat="1" applyFont="1" applyBorder="1" applyAlignment="1">
      <alignment vertical="center"/>
    </xf>
    <xf numFmtId="44" fontId="5" fillId="0" borderId="0" xfId="2" applyFont="1" applyFill="1" applyBorder="1"/>
    <xf numFmtId="0" fontId="5" fillId="0" borderId="0" xfId="1604" applyFont="1" applyAlignment="1">
      <alignment wrapText="1"/>
    </xf>
    <xf numFmtId="37" fontId="5" fillId="0" borderId="7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right" vertical="center"/>
    </xf>
    <xf numFmtId="166" fontId="5" fillId="0" borderId="0" xfId="1" applyNumberFormat="1" applyFont="1" applyBorder="1" applyAlignment="1">
      <alignment horizontal="center" vertical="center"/>
    </xf>
    <xf numFmtId="37" fontId="5" fillId="0" borderId="7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center" wrapText="1"/>
    </xf>
    <xf numFmtId="43" fontId="8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5" fillId="0" borderId="8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217" fontId="5" fillId="0" borderId="0" xfId="38096" applyNumberFormat="1" applyFont="1" applyAlignment="1">
      <alignment vertical="center"/>
    </xf>
    <xf numFmtId="3" fontId="5" fillId="0" borderId="0" xfId="4" applyNumberFormat="1" applyFont="1" applyAlignment="1">
      <alignment horizontal="centerContinuous" vertical="center"/>
    </xf>
    <xf numFmtId="3" fontId="5" fillId="0" borderId="4" xfId="4" applyNumberFormat="1" applyFont="1" applyBorder="1" applyAlignment="1">
      <alignment horizontal="centerContinuous" vertical="center"/>
    </xf>
    <xf numFmtId="3" fontId="5" fillId="0" borderId="4" xfId="4" applyNumberFormat="1" applyFont="1" applyBorder="1" applyAlignment="1">
      <alignment vertical="center"/>
    </xf>
    <xf numFmtId="38" fontId="5" fillId="0" borderId="134" xfId="1" applyNumberFormat="1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3" fontId="5" fillId="0" borderId="5" xfId="4" applyNumberFormat="1" applyFont="1" applyBorder="1" applyAlignment="1">
      <alignment horizontal="centerContinuous" vertical="center"/>
    </xf>
    <xf numFmtId="165" fontId="5" fillId="0" borderId="5" xfId="2" applyNumberFormat="1" applyFont="1" applyFill="1" applyBorder="1" applyAlignment="1">
      <alignment horizontal="center" vertical="center"/>
    </xf>
    <xf numFmtId="10" fontId="5" fillId="0" borderId="5" xfId="3" applyNumberFormat="1" applyFont="1" applyFill="1" applyBorder="1" applyAlignment="1">
      <alignment horizontal="center" vertical="center"/>
    </xf>
    <xf numFmtId="43" fontId="5" fillId="0" borderId="0" xfId="0" applyNumberFormat="1" applyFont="1"/>
    <xf numFmtId="165" fontId="5" fillId="0" borderId="86" xfId="2" applyNumberFormat="1" applyFont="1" applyBorder="1" applyAlignment="1">
      <alignment horizontal="center" vertical="center"/>
    </xf>
    <xf numFmtId="165" fontId="5" fillId="0" borderId="0" xfId="2" applyNumberFormat="1" applyFont="1" applyFill="1"/>
    <xf numFmtId="165" fontId="27" fillId="0" borderId="86" xfId="2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37" fontId="5" fillId="0" borderId="124" xfId="0" applyNumberFormat="1" applyFont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center" vertical="center"/>
    </xf>
    <xf numFmtId="166" fontId="5" fillId="0" borderId="124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165" fontId="6" fillId="0" borderId="0" xfId="2" applyNumberFormat="1" applyFont="1" applyFill="1" applyAlignment="1">
      <alignment vertical="center"/>
    </xf>
    <xf numFmtId="0" fontId="168" fillId="0" borderId="0" xfId="0" applyFont="1" applyAlignment="1">
      <alignment horizontal="center"/>
    </xf>
    <xf numFmtId="165" fontId="6" fillId="0" borderId="0" xfId="2" applyNumberFormat="1" applyFont="1" applyAlignment="1">
      <alignment vertical="center"/>
    </xf>
    <xf numFmtId="0" fontId="6" fillId="0" borderId="2" xfId="4" quotePrefix="1" applyFont="1" applyBorder="1" applyAlignment="1">
      <alignment horizontal="center" vertical="center"/>
    </xf>
    <xf numFmtId="166" fontId="5" fillId="0" borderId="126" xfId="4" applyNumberFormat="1" applyFont="1" applyBorder="1" applyAlignment="1">
      <alignment vertical="center"/>
    </xf>
    <xf numFmtId="166" fontId="6" fillId="0" borderId="2" xfId="4" applyNumberFormat="1" applyFont="1" applyBorder="1" applyAlignment="1">
      <alignment vertical="center"/>
    </xf>
    <xf numFmtId="165" fontId="6" fillId="0" borderId="124" xfId="21" applyNumberFormat="1" applyFont="1" applyBorder="1" applyAlignment="1">
      <alignment vertical="center"/>
    </xf>
    <xf numFmtId="37" fontId="6" fillId="0" borderId="124" xfId="4" applyNumberFormat="1" applyFont="1" applyBorder="1" applyAlignment="1">
      <alignment vertical="center"/>
    </xf>
    <xf numFmtId="3" fontId="157" fillId="0" borderId="4" xfId="4" applyNumberFormat="1" applyFont="1" applyBorder="1" applyAlignment="1">
      <alignment horizontal="centerContinuous" vertical="center"/>
    </xf>
    <xf numFmtId="3" fontId="5" fillId="0" borderId="125" xfId="4" applyNumberFormat="1" applyFont="1" applyBorder="1" applyAlignment="1">
      <alignment horizontal="centerContinuous" vertical="center"/>
    </xf>
    <xf numFmtId="0" fontId="5" fillId="0" borderId="121" xfId="4" applyFont="1" applyBorder="1" applyAlignment="1">
      <alignment vertical="center"/>
    </xf>
    <xf numFmtId="3" fontId="5" fillId="0" borderId="125" xfId="4" applyNumberFormat="1" applyFont="1" applyBorder="1" applyAlignment="1">
      <alignment vertical="center"/>
    </xf>
    <xf numFmtId="166" fontId="5" fillId="0" borderId="126" xfId="2408" applyNumberFormat="1" applyFont="1" applyBorder="1" applyAlignment="1">
      <alignment horizontal="center" vertical="center"/>
    </xf>
    <xf numFmtId="166" fontId="5" fillId="0" borderId="125" xfId="2408" applyNumberFormat="1" applyFont="1" applyBorder="1" applyAlignment="1">
      <alignment horizontal="center" vertical="center"/>
    </xf>
    <xf numFmtId="166" fontId="11" fillId="0" borderId="4" xfId="1" applyNumberFormat="1" applyFont="1" applyBorder="1" applyAlignment="1">
      <alignment vertical="center"/>
    </xf>
    <xf numFmtId="166" fontId="5" fillId="0" borderId="0" xfId="2408" applyNumberFormat="1" applyFont="1" applyFill="1" applyBorder="1" applyAlignment="1">
      <alignment horizontal="center" vertical="center"/>
    </xf>
    <xf numFmtId="166" fontId="5" fillId="0" borderId="126" xfId="2408" applyNumberFormat="1" applyFont="1" applyFill="1" applyBorder="1" applyAlignment="1">
      <alignment horizontal="center" vertical="center"/>
    </xf>
    <xf numFmtId="37" fontId="5" fillId="0" borderId="4" xfId="4" applyNumberFormat="1" applyFont="1" applyBorder="1" applyAlignment="1">
      <alignment vertical="center"/>
    </xf>
    <xf numFmtId="166" fontId="5" fillId="0" borderId="3" xfId="4" applyNumberFormat="1" applyFont="1" applyBorder="1" applyAlignment="1">
      <alignment vertical="center"/>
    </xf>
    <xf numFmtId="165" fontId="6" fillId="0" borderId="124" xfId="21" applyNumberFormat="1" applyFont="1" applyFill="1" applyBorder="1" applyAlignment="1">
      <alignment vertical="center"/>
    </xf>
    <xf numFmtId="0" fontId="169" fillId="0" borderId="0" xfId="0" applyFont="1"/>
    <xf numFmtId="41" fontId="6" fillId="3" borderId="0" xfId="0" applyNumberFormat="1" applyFont="1" applyFill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0" fontId="6" fillId="3" borderId="0" xfId="4" applyFont="1" applyFill="1" applyAlignment="1">
      <alignment horizontal="center"/>
    </xf>
    <xf numFmtId="0" fontId="6" fillId="0" borderId="0" xfId="4" applyFont="1" applyAlignment="1">
      <alignment horizontal="center"/>
    </xf>
    <xf numFmtId="6" fontId="6" fillId="0" borderId="0" xfId="4" quotePrefix="1" applyNumberFormat="1" applyFont="1" applyAlignment="1">
      <alignment horizontal="center"/>
    </xf>
    <xf numFmtId="0" fontId="6" fillId="0" borderId="0" xfId="1965" applyFont="1" applyAlignment="1">
      <alignment horizontal="center" wrapText="1"/>
    </xf>
    <xf numFmtId="0" fontId="6" fillId="0" borderId="0" xfId="1965" applyFont="1" applyAlignment="1">
      <alignment horizontal="center"/>
    </xf>
    <xf numFmtId="0" fontId="6" fillId="3" borderId="0" xfId="1965" applyFont="1" applyFill="1" applyAlignment="1">
      <alignment horizontal="center"/>
    </xf>
    <xf numFmtId="0" fontId="6" fillId="0" borderId="0" xfId="1965" quotePrefix="1" applyFont="1" applyAlignment="1">
      <alignment horizontal="center"/>
    </xf>
    <xf numFmtId="0" fontId="6" fillId="0" borderId="0" xfId="2012" applyFont="1" applyAlignment="1">
      <alignment horizontal="center"/>
    </xf>
    <xf numFmtId="2" fontId="6" fillId="2" borderId="0" xfId="2012" applyNumberFormat="1" applyFont="1" applyFill="1" applyAlignment="1">
      <alignment horizontal="center"/>
    </xf>
    <xf numFmtId="49" fontId="6" fillId="0" borderId="0" xfId="4" applyNumberFormat="1" applyFont="1" applyAlignment="1">
      <alignment horizontal="center"/>
    </xf>
    <xf numFmtId="0" fontId="6" fillId="0" borderId="0" xfId="2012" applyFont="1" applyAlignment="1" applyProtection="1">
      <alignment horizontal="center"/>
      <protection locked="0"/>
    </xf>
    <xf numFmtId="2" fontId="6" fillId="2" borderId="0" xfId="1965" applyNumberFormat="1" applyFont="1" applyFill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6" fillId="3" borderId="0" xfId="1604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vertical="center"/>
    </xf>
    <xf numFmtId="0" fontId="6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3856" applyFont="1" applyAlignment="1">
      <alignment horizontal="center"/>
    </xf>
    <xf numFmtId="0" fontId="6" fillId="0" borderId="0" xfId="4" quotePrefix="1" applyFont="1" applyAlignment="1">
      <alignment horizontal="center" vertical="justify"/>
    </xf>
    <xf numFmtId="37" fontId="6" fillId="0" borderId="0" xfId="1604" applyNumberFormat="1" applyFont="1" applyAlignment="1">
      <alignment horizontal="center"/>
    </xf>
    <xf numFmtId="0" fontId="6" fillId="0" borderId="0" xfId="4" quotePrefix="1" applyFont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37" fontId="6" fillId="0" borderId="0" xfId="0" quotePrefix="1" applyNumberFormat="1" applyFont="1" applyAlignment="1">
      <alignment horizontal="center" vertical="center"/>
    </xf>
    <xf numFmtId="5" fontId="6" fillId="0" borderId="0" xfId="4" quotePrefix="1" applyNumberFormat="1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29" fillId="0" borderId="0" xfId="4" quotePrefix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5" fontId="6" fillId="0" borderId="0" xfId="0" applyNumberFormat="1" applyFont="1" applyAlignment="1">
      <alignment horizontal="center" vertical="center"/>
    </xf>
    <xf numFmtId="0" fontId="6" fillId="0" borderId="0" xfId="4" applyFont="1"/>
    <xf numFmtId="0" fontId="6" fillId="2" borderId="0" xfId="4" applyFont="1" applyFill="1" applyAlignment="1">
      <alignment horizontal="center"/>
    </xf>
    <xf numFmtId="0" fontId="6" fillId="2" borderId="0" xfId="4" applyFont="1" applyFill="1"/>
    <xf numFmtId="0" fontId="5" fillId="0" borderId="0" xfId="0" applyFont="1" applyAlignment="1">
      <alignment vertical="center"/>
    </xf>
    <xf numFmtId="166" fontId="5" fillId="0" borderId="125" xfId="2408" applyNumberFormat="1" applyFont="1" applyFill="1" applyBorder="1" applyAlignment="1">
      <alignment horizontal="center" vertical="center"/>
    </xf>
  </cellXfs>
  <cellStyles count="38103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" xfId="38096" builtinId="6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101" xr:uid="{00000000-0005-0000-0000-0000FE940000}"/>
    <cellStyle name="Comma 16" xfId="1452" xr:uid="{00000000-0005-0000-0000-0000ED050000}"/>
    <cellStyle name="Comma 164" xfId="38097" xr:uid="{7AB220A9-AC52-49D8-99B2-8E0F9AC44F2C}"/>
    <cellStyle name="Comma 165" xfId="38098" xr:uid="{E07A24B8-7FFD-4AF8-BC5B-CB73E4B5710D}"/>
    <cellStyle name="Comma 166" xfId="38099" xr:uid="{490B61AB-10B0-4BC5-9715-B60675D32BE6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102" xr:uid="{00000000-0005-0000-0000-0000FF94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100" xr:uid="{00000000-0005-0000-0000-000000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5B02C3C-29A3-4189-AE64-33C02680A550}"/>
  </tableStyles>
  <colors>
    <mruColors>
      <color rgb="FFCC99FF"/>
      <color rgb="FF0000FF"/>
      <color rgb="FF2A26E2"/>
      <color rgb="FF0C1DF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51</xdr:row>
      <xdr:rowOff>107156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238125" y="8612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SpPr txBox="1"/>
      </xdr:nvSpPr>
      <xdr:spPr>
        <a:xfrm>
          <a:off x="9702800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238125</xdr:colOff>
      <xdr:row>44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 txBox="1"/>
      </xdr:nvSpPr>
      <xdr:spPr>
        <a:xfrm>
          <a:off x="7527925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107156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3600-000007000000}"/>
            </a:ext>
          </a:extLst>
        </xdr:cNvPr>
        <xdr:cNvSpPr txBox="1"/>
      </xdr:nvSpPr>
      <xdr:spPr>
        <a:xfrm>
          <a:off x="238125" y="93083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3C00-00000A000000}"/>
            </a:ext>
          </a:extLst>
        </xdr:cNvPr>
        <xdr:cNvSpPr>
          <a:spLocks noChangeShapeType="1"/>
        </xdr:cNvSpPr>
      </xdr:nvSpPr>
      <xdr:spPr bwMode="auto">
        <a:xfrm>
          <a:off x="1900239" y="18494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3C00-00000B000000}"/>
            </a:ext>
          </a:extLst>
        </xdr:cNvPr>
        <xdr:cNvSpPr>
          <a:spLocks noChangeShapeType="1"/>
        </xdr:cNvSpPr>
      </xdr:nvSpPr>
      <xdr:spPr bwMode="auto">
        <a:xfrm>
          <a:off x="1757367" y="208470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AE0C551-8FBA-4573-88B7-522B0C64DEE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4DA71E-558B-4AF1-9A30-3B9ABF1B6AF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E6CAFC7-8228-4CF7-AEB1-3E5AC43A2814}"/>
            </a:ext>
          </a:extLst>
        </xdr:cNvPr>
        <xdr:cNvSpPr>
          <a:spLocks noChangeShapeType="1"/>
        </xdr:cNvSpPr>
      </xdr:nvSpPr>
      <xdr:spPr bwMode="auto">
        <a:xfrm>
          <a:off x="1741492" y="30822899"/>
          <a:ext cx="26190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zoomScale="80" zoomScaleNormal="80" workbookViewId="0"/>
  </sheetViews>
  <sheetFormatPr defaultColWidth="8.7109375" defaultRowHeight="15.75"/>
  <cols>
    <col min="1" max="1" width="5.140625" style="250" customWidth="1"/>
    <col min="2" max="2" width="73.140625" style="3" bestFit="1" customWidth="1"/>
    <col min="3" max="3" width="14.7109375" style="3" customWidth="1"/>
    <col min="4" max="4" width="51.28515625" style="3" bestFit="1" customWidth="1"/>
    <col min="5" max="5" width="5.140625" style="250" customWidth="1"/>
    <col min="6" max="6" width="8.7109375" style="3"/>
    <col min="7" max="7" width="8.7109375" style="3" customWidth="1"/>
    <col min="8" max="16384" width="8.7109375" style="3"/>
  </cols>
  <sheetData>
    <row r="1" spans="1:7">
      <c r="A1" s="567"/>
      <c r="B1" s="77"/>
      <c r="C1" s="77"/>
      <c r="D1" s="77"/>
      <c r="E1" s="567"/>
    </row>
    <row r="2" spans="1:7">
      <c r="A2" s="567"/>
      <c r="B2" s="1286" t="s">
        <v>0</v>
      </c>
      <c r="C2" s="1286"/>
      <c r="D2" s="1286"/>
      <c r="E2" s="77"/>
    </row>
    <row r="3" spans="1:7">
      <c r="B3" s="1286" t="s">
        <v>1</v>
      </c>
      <c r="C3" s="1286"/>
      <c r="D3" s="1286"/>
      <c r="E3" s="109"/>
    </row>
    <row r="4" spans="1:7">
      <c r="B4" s="1286" t="s">
        <v>2</v>
      </c>
      <c r="C4" s="1286"/>
      <c r="D4" s="1286"/>
      <c r="E4" s="109"/>
    </row>
    <row r="5" spans="1:7">
      <c r="A5" s="567"/>
      <c r="B5" s="1285" t="str">
        <f>"Rate Effective Period January 1, "&amp;Automation!B3+2 &amp;" to December 31, "&amp;Automation!B3+2</f>
        <v>Rate Effective Period January 1, 2024 to December 31, 2024</v>
      </c>
      <c r="C5" s="1285"/>
      <c r="D5" s="1285"/>
      <c r="E5" s="567"/>
    </row>
    <row r="6" spans="1:7">
      <c r="B6" s="1287" t="s">
        <v>3</v>
      </c>
      <c r="C6" s="1286"/>
      <c r="D6" s="1286"/>
      <c r="E6" s="109"/>
    </row>
    <row r="7" spans="1:7" ht="16.5" thickBot="1">
      <c r="A7" s="567"/>
      <c r="B7" s="77"/>
      <c r="C7" s="63"/>
      <c r="D7" s="63"/>
      <c r="E7" s="567"/>
    </row>
    <row r="8" spans="1:7">
      <c r="A8" s="568" t="s">
        <v>4</v>
      </c>
      <c r="B8" s="541"/>
      <c r="C8" s="542"/>
      <c r="D8" s="543"/>
      <c r="E8" s="569" t="s">
        <v>4</v>
      </c>
    </row>
    <row r="9" spans="1:7">
      <c r="A9" s="568" t="s">
        <v>5</v>
      </c>
      <c r="B9" s="960" t="s">
        <v>6</v>
      </c>
      <c r="C9" s="960" t="s">
        <v>7</v>
      </c>
      <c r="D9" s="961" t="s">
        <v>8</v>
      </c>
      <c r="E9" s="569" t="s">
        <v>5</v>
      </c>
    </row>
    <row r="10" spans="1:7">
      <c r="A10" s="568"/>
      <c r="B10" s="934"/>
      <c r="C10" s="56"/>
      <c r="D10" s="88"/>
      <c r="E10" s="569"/>
    </row>
    <row r="11" spans="1:7">
      <c r="A11" s="568">
        <v>1</v>
      </c>
      <c r="B11" s="853" t="s">
        <v>9</v>
      </c>
      <c r="C11" s="600">
        <f>'A. Sec.1 - Direct Maintenance'!E27</f>
        <v>0</v>
      </c>
      <c r="D11" s="89" t="str">
        <f>"Section 1; Page 1; Line "&amp;'A. Sec.1 - Direct Maintenance'!A27</f>
        <v>Section 1; Page 1; Line 17</v>
      </c>
      <c r="E11" s="569">
        <f>A11</f>
        <v>1</v>
      </c>
      <c r="G11" s="706"/>
    </row>
    <row r="12" spans="1:7">
      <c r="A12" s="568">
        <f>A11+1</f>
        <v>2</v>
      </c>
      <c r="B12" s="709"/>
      <c r="C12" s="601"/>
      <c r="D12" s="86"/>
      <c r="E12" s="569">
        <f>E11+1</f>
        <v>2</v>
      </c>
    </row>
    <row r="13" spans="1:7">
      <c r="A13" s="568">
        <f t="shared" ref="A13:A28" si="0">A12+1</f>
        <v>3</v>
      </c>
      <c r="B13" s="853" t="s">
        <v>10</v>
      </c>
      <c r="C13" s="602">
        <f>'B. Sec.2 - Non-Direct Expenses'!E35</f>
        <v>908.75746351082262</v>
      </c>
      <c r="D13" s="89" t="str">
        <f>"Section 2; Page 1; Line "&amp;'B. Sec.2 - Non-Direct Expenses'!A35</f>
        <v>Section 2; Page 1; Line 25</v>
      </c>
      <c r="E13" s="569">
        <f t="shared" ref="E13:E28" si="1">E12+1</f>
        <v>3</v>
      </c>
      <c r="G13" s="707"/>
    </row>
    <row r="14" spans="1:7">
      <c r="A14" s="568">
        <f t="shared" si="0"/>
        <v>4</v>
      </c>
      <c r="B14" s="709"/>
      <c r="C14" s="601"/>
      <c r="D14" s="90"/>
      <c r="E14" s="569">
        <f t="shared" si="1"/>
        <v>4</v>
      </c>
    </row>
    <row r="15" spans="1:7">
      <c r="A15" s="568">
        <f t="shared" si="0"/>
        <v>5</v>
      </c>
      <c r="B15" s="17" t="s">
        <v>11</v>
      </c>
      <c r="C15" s="1100">
        <f>'C. Sec.3 - Other Costs'!G42</f>
        <v>-35.964090541623818</v>
      </c>
      <c r="D15" s="663" t="str">
        <f>"Section 3; Page 1; Line "&amp;'C. Sec.3 - Other Costs'!A42</f>
        <v>Section 3; Page 1; Line 31</v>
      </c>
      <c r="E15" s="569">
        <f t="shared" si="1"/>
        <v>5</v>
      </c>
      <c r="G15" s="707"/>
    </row>
    <row r="16" spans="1:7">
      <c r="A16" s="568">
        <f t="shared" si="0"/>
        <v>6</v>
      </c>
      <c r="B16" s="57"/>
      <c r="C16" s="836"/>
      <c r="D16" s="663"/>
      <c r="E16" s="569">
        <f t="shared" si="1"/>
        <v>6</v>
      </c>
      <c r="G16" s="707"/>
    </row>
    <row r="17" spans="1:9">
      <c r="A17" s="568">
        <f t="shared" si="0"/>
        <v>7</v>
      </c>
      <c r="B17" s="835" t="s">
        <v>12</v>
      </c>
      <c r="C17" s="904">
        <f>C11+C13+C15</f>
        <v>872.7933729691988</v>
      </c>
      <c r="D17" s="94" t="str">
        <f>"Sum Lines "&amp;A11&amp;", "&amp;A13&amp;", "&amp;A15</f>
        <v>Sum Lines 1, 3, 5</v>
      </c>
      <c r="E17" s="569">
        <f t="shared" si="1"/>
        <v>7</v>
      </c>
      <c r="G17" s="707"/>
    </row>
    <row r="18" spans="1:9">
      <c r="A18" s="568">
        <f t="shared" si="0"/>
        <v>8</v>
      </c>
      <c r="B18" s="87"/>
      <c r="C18" s="601"/>
      <c r="D18" s="91"/>
      <c r="E18" s="569">
        <f t="shared" si="1"/>
        <v>8</v>
      </c>
    </row>
    <row r="19" spans="1:9">
      <c r="A19" s="568">
        <f t="shared" si="0"/>
        <v>9</v>
      </c>
      <c r="B19" s="853" t="s">
        <v>13</v>
      </c>
      <c r="C19" s="665">
        <f>'D. Sec.4 - TU'!M30</f>
        <v>91.594927477197942</v>
      </c>
      <c r="D19" s="663" t="str">
        <f>"Section 4; Page TU; Col. 11; Line "&amp;'D. Sec.4 - TU'!A30</f>
        <v>Section 4; Page TU; Col. 11; Line 21</v>
      </c>
      <c r="E19" s="569">
        <f t="shared" si="1"/>
        <v>9</v>
      </c>
    </row>
    <row r="20" spans="1:9">
      <c r="A20" s="568">
        <f t="shared" si="0"/>
        <v>10</v>
      </c>
      <c r="B20" s="853"/>
      <c r="C20" s="601"/>
      <c r="D20" s="92"/>
      <c r="E20" s="569">
        <f t="shared" si="1"/>
        <v>10</v>
      </c>
    </row>
    <row r="21" spans="1:9">
      <c r="A21" s="568">
        <f t="shared" si="0"/>
        <v>11</v>
      </c>
      <c r="B21" s="853" t="s">
        <v>14</v>
      </c>
      <c r="C21" s="1100">
        <f>'E1. Sec.5 - Interest TU (CY)'!H30</f>
        <v>1.5414350816416671</v>
      </c>
      <c r="D21" s="94" t="str">
        <f>"Section 5; Page Interest TU (CY); Col. 6; Line "&amp;'E1. Sec.5 - Interest TU (CY)'!A30</f>
        <v>Section 5; Page Interest TU (CY); Col. 6; Line 20</v>
      </c>
      <c r="E21" s="569">
        <f t="shared" si="1"/>
        <v>11</v>
      </c>
    </row>
    <row r="22" spans="1:9">
      <c r="A22" s="568">
        <f t="shared" si="0"/>
        <v>12</v>
      </c>
      <c r="B22" s="57"/>
      <c r="C22" s="834"/>
      <c r="D22" s="93"/>
      <c r="E22" s="569">
        <f t="shared" si="1"/>
        <v>12</v>
      </c>
    </row>
    <row r="23" spans="1:9">
      <c r="A23" s="568">
        <f t="shared" si="0"/>
        <v>13</v>
      </c>
      <c r="B23" s="57" t="s">
        <v>15</v>
      </c>
      <c r="C23" s="176">
        <f>C17+C19+C21+1</f>
        <v>966.92973552803846</v>
      </c>
      <c r="D23" s="94" t="str">
        <f>"Sum Lines "&amp;A17&amp;", "&amp;A19&amp;", "&amp;A21</f>
        <v>Sum Lines 7, 9, 11</v>
      </c>
      <c r="E23" s="569">
        <f t="shared" si="1"/>
        <v>13</v>
      </c>
      <c r="G23" s="707"/>
    </row>
    <row r="24" spans="1:9">
      <c r="A24" s="568">
        <f t="shared" si="0"/>
        <v>14</v>
      </c>
      <c r="B24" s="798"/>
      <c r="C24" s="178"/>
      <c r="D24" s="94"/>
      <c r="E24" s="569">
        <f t="shared" si="1"/>
        <v>14</v>
      </c>
      <c r="G24" s="707"/>
    </row>
    <row r="25" spans="1:9">
      <c r="A25" s="568">
        <f t="shared" si="0"/>
        <v>15</v>
      </c>
      <c r="B25" s="17" t="s">
        <v>16</v>
      </c>
      <c r="C25" s="1101">
        <f>38-13</f>
        <v>25</v>
      </c>
      <c r="D25" s="94" t="s">
        <v>17</v>
      </c>
      <c r="E25" s="569">
        <f t="shared" si="1"/>
        <v>15</v>
      </c>
      <c r="G25" s="1282"/>
    </row>
    <row r="26" spans="1:9">
      <c r="A26" s="568">
        <f t="shared" si="0"/>
        <v>16</v>
      </c>
      <c r="B26" s="63"/>
      <c r="C26" s="935"/>
      <c r="D26" s="93"/>
      <c r="E26" s="569">
        <f t="shared" si="1"/>
        <v>16</v>
      </c>
    </row>
    <row r="27" spans="1:9" ht="16.5" thickBot="1">
      <c r="A27" s="568">
        <f t="shared" si="0"/>
        <v>17</v>
      </c>
      <c r="B27" s="835" t="s">
        <v>18</v>
      </c>
      <c r="C27" s="603">
        <f>C23+C25</f>
        <v>991.92973552803846</v>
      </c>
      <c r="D27" s="93" t="str">
        <f>"Line "&amp;A23&amp;" + Line "&amp;A25</f>
        <v>Line 13 + Line 15</v>
      </c>
      <c r="E27" s="569">
        <f t="shared" si="1"/>
        <v>17</v>
      </c>
      <c r="H27" s="706"/>
      <c r="I27" s="708"/>
    </row>
    <row r="28" spans="1:9" ht="17.25" thickTop="1" thickBot="1">
      <c r="A28" s="568">
        <f t="shared" si="0"/>
        <v>18</v>
      </c>
      <c r="B28" s="936"/>
      <c r="C28" s="936"/>
      <c r="D28" s="96"/>
      <c r="E28" s="569">
        <f t="shared" si="1"/>
        <v>18</v>
      </c>
    </row>
    <row r="30" spans="1:9" ht="16.5" thickBot="1">
      <c r="A30" s="567"/>
      <c r="B30" s="937"/>
      <c r="C30" s="938"/>
      <c r="D30" s="938"/>
      <c r="E30" s="567"/>
    </row>
    <row r="31" spans="1:9">
      <c r="A31" s="568" t="s">
        <v>4</v>
      </c>
      <c r="B31" s="55"/>
      <c r="C31" s="55"/>
      <c r="D31" s="86"/>
      <c r="E31" s="569" t="s">
        <v>4</v>
      </c>
    </row>
    <row r="32" spans="1:9">
      <c r="A32" s="568" t="s">
        <v>5</v>
      </c>
      <c r="B32" s="960" t="s">
        <v>19</v>
      </c>
      <c r="C32" s="960" t="str">
        <f>C9</f>
        <v>Amounts</v>
      </c>
      <c r="D32" s="961" t="str">
        <f>D9</f>
        <v>Reference</v>
      </c>
      <c r="E32" s="569" t="s">
        <v>5</v>
      </c>
    </row>
    <row r="33" spans="1:7">
      <c r="A33" s="568">
        <f>A28+1</f>
        <v>19</v>
      </c>
      <c r="B33" s="54"/>
      <c r="C33" s="56"/>
      <c r="D33" s="88"/>
      <c r="E33" s="569">
        <f>E28+1</f>
        <v>19</v>
      </c>
    </row>
    <row r="34" spans="1:7">
      <c r="A34" s="568">
        <f>A33+1</f>
        <v>20</v>
      </c>
      <c r="B34" s="853" t="str">
        <f>B11</f>
        <v>Section 1 - Direct Maintenance Expense Cost Component</v>
      </c>
      <c r="C34" s="851">
        <f>C11/12</f>
        <v>0</v>
      </c>
      <c r="D34" s="89" t="str">
        <f>"Line "&amp;A11&amp;" / "&amp;C50&amp;" Months"</f>
        <v>Line 1 / 12 Months</v>
      </c>
      <c r="E34" s="569">
        <f>E33+1</f>
        <v>20</v>
      </c>
    </row>
    <row r="35" spans="1:7">
      <c r="A35" s="568">
        <f t="shared" ref="A35:A53" si="2">A34+1</f>
        <v>21</v>
      </c>
      <c r="B35" s="709"/>
      <c r="C35" s="25"/>
      <c r="D35" s="85"/>
      <c r="E35" s="569">
        <f t="shared" ref="E35:E53" si="3">E34+1</f>
        <v>21</v>
      </c>
    </row>
    <row r="36" spans="1:7">
      <c r="A36" s="568">
        <f t="shared" si="2"/>
        <v>22</v>
      </c>
      <c r="B36" s="853" t="str">
        <f>B13</f>
        <v>Section 2 - Non-Direct Expense Cost Component</v>
      </c>
      <c r="C36" s="852">
        <f>C13/12</f>
        <v>75.72978862590189</v>
      </c>
      <c r="D36" s="89" t="str">
        <f>"Line "&amp;A13&amp;" / "&amp;C50&amp;" Months"</f>
        <v>Line 3 / 12 Months</v>
      </c>
      <c r="E36" s="569">
        <f t="shared" si="3"/>
        <v>22</v>
      </c>
    </row>
    <row r="37" spans="1:7">
      <c r="A37" s="568">
        <f t="shared" si="2"/>
        <v>23</v>
      </c>
      <c r="B37" s="709"/>
      <c r="C37" s="802"/>
      <c r="D37" s="97"/>
      <c r="E37" s="569">
        <f t="shared" si="3"/>
        <v>23</v>
      </c>
    </row>
    <row r="38" spans="1:7">
      <c r="A38" s="568">
        <f t="shared" si="2"/>
        <v>24</v>
      </c>
      <c r="B38" s="853" t="str">
        <f>B15</f>
        <v>Section 3 - Cost Component Containing Other Specific Expenses</v>
      </c>
      <c r="C38" s="1102">
        <f>C15/12</f>
        <v>-2.9970075451353182</v>
      </c>
      <c r="D38" s="89" t="str">
        <f>"Line "&amp;A15&amp;" / "&amp;C50&amp;" Months"</f>
        <v>Line 5 / 12 Months</v>
      </c>
      <c r="E38" s="569">
        <f t="shared" si="3"/>
        <v>24</v>
      </c>
    </row>
    <row r="39" spans="1:7">
      <c r="A39" s="568">
        <f t="shared" si="2"/>
        <v>25</v>
      </c>
      <c r="B39" s="87"/>
      <c r="C39" s="801"/>
      <c r="D39" s="89"/>
      <c r="E39" s="569">
        <f t="shared" si="3"/>
        <v>25</v>
      </c>
    </row>
    <row r="40" spans="1:7">
      <c r="A40" s="568">
        <f t="shared" si="2"/>
        <v>26</v>
      </c>
      <c r="B40" s="835" t="s">
        <v>20</v>
      </c>
      <c r="C40" s="905">
        <f>C34+C36+C38</f>
        <v>72.732781080766571</v>
      </c>
      <c r="D40" s="94" t="str">
        <f>"Sum Lines "&amp;A34&amp;", "&amp;A36&amp;", "&amp;A38</f>
        <v>Sum Lines 20, 22, 24</v>
      </c>
      <c r="E40" s="569">
        <f t="shared" si="3"/>
        <v>26</v>
      </c>
    </row>
    <row r="41" spans="1:7">
      <c r="A41" s="568">
        <f t="shared" si="2"/>
        <v>27</v>
      </c>
      <c r="B41" s="54"/>
      <c r="C41" s="802"/>
      <c r="D41" s="90"/>
      <c r="E41" s="569">
        <f t="shared" si="3"/>
        <v>27</v>
      </c>
    </row>
    <row r="42" spans="1:7">
      <c r="A42" s="568">
        <f t="shared" si="2"/>
        <v>28</v>
      </c>
      <c r="B42" s="853" t="str">
        <f>LEFT(B19,45)</f>
        <v>Section 4 - True-Up Adjustment Cost Component</v>
      </c>
      <c r="C42" s="852">
        <f>C19/12</f>
        <v>7.6329106230998285</v>
      </c>
      <c r="D42" s="89" t="str">
        <f>"Line "&amp;A19&amp;" / "&amp;C50&amp;" Months"</f>
        <v>Line 9 / 12 Months</v>
      </c>
      <c r="E42" s="569">
        <f t="shared" si="3"/>
        <v>28</v>
      </c>
    </row>
    <row r="43" spans="1:7">
      <c r="A43" s="568">
        <f t="shared" si="2"/>
        <v>29</v>
      </c>
      <c r="B43" s="853"/>
      <c r="C43" s="802"/>
      <c r="D43" s="98"/>
      <c r="E43" s="569">
        <f t="shared" si="3"/>
        <v>29</v>
      </c>
    </row>
    <row r="44" spans="1:7">
      <c r="A44" s="568">
        <f t="shared" si="2"/>
        <v>30</v>
      </c>
      <c r="B44" s="853" t="str">
        <f>B21</f>
        <v>Section 5 - Interest True-Up Adjustment Cost Component</v>
      </c>
      <c r="C44" s="852">
        <f>C21/12</f>
        <v>0.12845292347013892</v>
      </c>
      <c r="D44" s="93" t="str">
        <f>"Line "&amp;A21&amp;" / "&amp;C50&amp;" Months"</f>
        <v>Line 11 / 12 Months</v>
      </c>
      <c r="E44" s="569">
        <f t="shared" si="3"/>
        <v>30</v>
      </c>
    </row>
    <row r="45" spans="1:7">
      <c r="A45" s="568">
        <f t="shared" si="2"/>
        <v>31</v>
      </c>
      <c r="B45" s="87"/>
      <c r="C45" s="803"/>
      <c r="D45" s="95"/>
      <c r="E45" s="569">
        <f t="shared" si="3"/>
        <v>31</v>
      </c>
    </row>
    <row r="46" spans="1:7">
      <c r="A46" s="568">
        <f t="shared" si="2"/>
        <v>32</v>
      </c>
      <c r="B46" s="17" t="str">
        <f>B25</f>
        <v>Other Adjustments</v>
      </c>
      <c r="C46" s="1102">
        <f>C25/12</f>
        <v>2.0833333333333335</v>
      </c>
      <c r="D46" s="93" t="str">
        <f>"Line "&amp;A25&amp;" / "&amp;C50&amp;" Months"</f>
        <v>Line 15 / 12 Months</v>
      </c>
      <c r="E46" s="569">
        <f t="shared" si="3"/>
        <v>32</v>
      </c>
      <c r="G46" s="1253"/>
    </row>
    <row r="47" spans="1:7">
      <c r="A47" s="568">
        <f t="shared" si="2"/>
        <v>33</v>
      </c>
      <c r="B47" s="57"/>
      <c r="C47" s="803"/>
      <c r="D47" s="799"/>
      <c r="E47" s="569">
        <f t="shared" si="3"/>
        <v>33</v>
      </c>
    </row>
    <row r="48" spans="1:7" ht="16.5" thickBot="1">
      <c r="A48" s="568">
        <f t="shared" si="2"/>
        <v>34</v>
      </c>
      <c r="B48" s="57" t="s">
        <v>21</v>
      </c>
      <c r="C48" s="854">
        <f>C27/12</f>
        <v>82.66081129400321</v>
      </c>
      <c r="D48" s="94" t="str">
        <f>"Sum Lines "&amp;A40&amp;", "&amp;A42&amp;", "&amp;A44&amp;", "&amp;A46</f>
        <v>Sum Lines 26, 28, 30, 32</v>
      </c>
      <c r="E48" s="569">
        <f t="shared" si="3"/>
        <v>34</v>
      </c>
      <c r="G48" s="741"/>
    </row>
    <row r="49" spans="1:5" ht="16.5" thickTop="1">
      <c r="A49" s="568">
        <f t="shared" si="2"/>
        <v>35</v>
      </c>
      <c r="B49" s="54"/>
      <c r="C49" s="939"/>
      <c r="D49" s="99"/>
      <c r="E49" s="569">
        <f t="shared" si="3"/>
        <v>35</v>
      </c>
    </row>
    <row r="50" spans="1:5">
      <c r="A50" s="568">
        <f t="shared" si="2"/>
        <v>36</v>
      </c>
      <c r="B50" s="709" t="s">
        <v>22</v>
      </c>
      <c r="C50" s="1103">
        <v>12</v>
      </c>
      <c r="D50" s="99"/>
      <c r="E50" s="569">
        <f t="shared" si="3"/>
        <v>36</v>
      </c>
    </row>
    <row r="51" spans="1:5">
      <c r="A51" s="568">
        <f t="shared" si="2"/>
        <v>37</v>
      </c>
      <c r="B51" s="54"/>
      <c r="C51" s="939"/>
      <c r="D51" s="100"/>
      <c r="E51" s="569">
        <f t="shared" si="3"/>
        <v>37</v>
      </c>
    </row>
    <row r="52" spans="1:5" ht="16.5" thickBot="1">
      <c r="A52" s="568">
        <f t="shared" si="2"/>
        <v>38</v>
      </c>
      <c r="B52" s="835" t="str">
        <f>B27</f>
        <v>Total Annual Costs</v>
      </c>
      <c r="C52" s="1219">
        <f>C48*C50</f>
        <v>991.92973552803846</v>
      </c>
      <c r="D52" s="93" t="str">
        <f>"Line "&amp;A48&amp;" x Line "&amp;A50</f>
        <v>Line 34 x Line 36</v>
      </c>
      <c r="E52" s="569">
        <f t="shared" si="3"/>
        <v>38</v>
      </c>
    </row>
    <row r="53" spans="1:5" ht="17.25" thickTop="1" thickBot="1">
      <c r="A53" s="568">
        <f t="shared" si="2"/>
        <v>39</v>
      </c>
      <c r="B53" s="940"/>
      <c r="C53" s="24"/>
      <c r="D53" s="101"/>
      <c r="E53" s="569">
        <f t="shared" si="3"/>
        <v>39</v>
      </c>
    </row>
  </sheetData>
  <mergeCells count="5">
    <mergeCell ref="B5:D5"/>
    <mergeCell ref="B3:D3"/>
    <mergeCell ref="B4:D4"/>
    <mergeCell ref="B6:D6"/>
    <mergeCell ref="B2:D2"/>
  </mergeCells>
  <printOptions horizontalCentered="1"/>
  <pageMargins left="0.5" right="0.5" top="0.5" bottom="0.5" header="0.25" footer="0.25"/>
  <pageSetup scale="64" orientation="portrait" r:id="rId1"/>
  <headerFooter scaleWithDoc="0">
    <oddFooter xml:space="preserve">&amp;C&amp;"Times New Roman,Regular"&amp;10Summary of Cost Components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13D5-7380-43D3-A9B8-8937A84C3B3D}">
  <dimension ref="A1"/>
  <sheetViews>
    <sheetView zoomScale="80" zoomScaleNormal="80"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7"/>
  <sheetViews>
    <sheetView topLeftCell="A12" zoomScale="80" zoomScaleNormal="80" zoomScalePageLayoutView="80" workbookViewId="0"/>
  </sheetViews>
  <sheetFormatPr defaultColWidth="8.7109375" defaultRowHeight="15.75"/>
  <cols>
    <col min="1" max="1" width="5.140625" style="119" bestFit="1" customWidth="1"/>
    <col min="2" max="2" width="55.7109375" style="136" customWidth="1"/>
    <col min="3" max="3" width="40.28515625" style="119" bestFit="1" customWidth="1"/>
    <col min="4" max="4" width="1.5703125" style="136" customWidth="1"/>
    <col min="5" max="5" width="16.7109375" style="136" customWidth="1"/>
    <col min="6" max="6" width="1.5703125" style="136" customWidth="1"/>
    <col min="7" max="7" width="16.7109375" style="136" customWidth="1"/>
    <col min="8" max="8" width="1.5703125" style="136" customWidth="1"/>
    <col min="9" max="9" width="16.7109375" style="136" customWidth="1"/>
    <col min="10" max="10" width="1.5703125" style="136" customWidth="1"/>
    <col min="11" max="11" width="34.5703125" style="136" customWidth="1"/>
    <col min="12" max="12" width="5.140625" style="119" bestFit="1" customWidth="1"/>
    <col min="13" max="13" width="8.7109375" style="136"/>
    <col min="14" max="14" width="38.140625" style="136" customWidth="1"/>
    <col min="15" max="16384" width="8.7109375" style="136"/>
  </cols>
  <sheetData>
    <row r="1" spans="1:14">
      <c r="A1" s="119" t="s">
        <v>186</v>
      </c>
    </row>
    <row r="2" spans="1:14">
      <c r="A2" s="136"/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N2" s="440"/>
    </row>
    <row r="3" spans="1:14">
      <c r="A3" s="136"/>
      <c r="B3" s="1305" t="s">
        <v>187</v>
      </c>
      <c r="C3" s="1305"/>
      <c r="D3" s="1305"/>
      <c r="E3" s="1305"/>
      <c r="F3" s="1305"/>
      <c r="G3" s="1305"/>
      <c r="H3" s="1305"/>
      <c r="I3" s="1305"/>
      <c r="J3" s="1305"/>
      <c r="K3" s="1305"/>
      <c r="N3" s="440"/>
    </row>
    <row r="4" spans="1:14">
      <c r="A4" s="136"/>
      <c r="B4" s="1305" t="s">
        <v>188</v>
      </c>
      <c r="C4" s="1305"/>
      <c r="D4" s="1305"/>
      <c r="E4" s="1305"/>
      <c r="F4" s="1305"/>
      <c r="G4" s="1305"/>
      <c r="H4" s="1306"/>
      <c r="I4" s="1306"/>
      <c r="J4" s="1306"/>
      <c r="K4" s="1306"/>
    </row>
    <row r="5" spans="1:14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  <c r="H5" s="1308"/>
      <c r="I5" s="1308"/>
      <c r="J5" s="1308"/>
      <c r="K5" s="1308"/>
      <c r="N5" s="110"/>
    </row>
    <row r="6" spans="1:14">
      <c r="B6" s="1309" t="s">
        <v>3</v>
      </c>
      <c r="C6" s="1306"/>
      <c r="D6" s="1306"/>
      <c r="E6" s="1306"/>
      <c r="F6" s="1306"/>
      <c r="G6" s="1306"/>
      <c r="H6" s="1306"/>
      <c r="I6" s="1306"/>
      <c r="J6" s="1306"/>
      <c r="K6" s="1306"/>
      <c r="N6" s="440"/>
    </row>
    <row r="7" spans="1:14">
      <c r="B7" s="1095"/>
      <c r="C7" s="109"/>
      <c r="D7" s="110"/>
      <c r="E7" s="110"/>
      <c r="F7" s="110"/>
      <c r="G7" s="110"/>
      <c r="H7" s="110"/>
      <c r="I7" s="110"/>
      <c r="J7" s="110"/>
      <c r="K7" s="110"/>
      <c r="N7" s="440"/>
    </row>
    <row r="8" spans="1:14">
      <c r="A8" s="119" t="s">
        <v>4</v>
      </c>
      <c r="B8" s="109"/>
      <c r="C8" s="250" t="s">
        <v>189</v>
      </c>
      <c r="D8" s="109"/>
      <c r="E8" s="346" t="s">
        <v>77</v>
      </c>
      <c r="F8" s="119"/>
      <c r="G8" s="346" t="s">
        <v>78</v>
      </c>
      <c r="H8" s="119"/>
      <c r="I8" s="346" t="s">
        <v>190</v>
      </c>
      <c r="J8" s="109"/>
      <c r="L8" s="119" t="s">
        <v>4</v>
      </c>
    </row>
    <row r="9" spans="1:14">
      <c r="A9" s="119" t="s">
        <v>5</v>
      </c>
      <c r="B9" s="109"/>
      <c r="C9" s="1003" t="s">
        <v>191</v>
      </c>
      <c r="D9" s="109"/>
      <c r="E9" s="1114" t="str">
        <f>"31-Dec-"&amp;RIGHT(Automation!$B$3-1,2)</f>
        <v>31-Dec-21</v>
      </c>
      <c r="F9" s="109"/>
      <c r="G9" s="1115" t="str">
        <f>"31-Dec-"&amp;RIGHT(Automation!$B$3,2)</f>
        <v>31-Dec-22</v>
      </c>
      <c r="H9" s="109"/>
      <c r="I9" s="1017" t="s">
        <v>192</v>
      </c>
      <c r="J9" s="109"/>
      <c r="K9" s="1018" t="s">
        <v>8</v>
      </c>
      <c r="L9" s="119" t="s">
        <v>5</v>
      </c>
      <c r="N9" s="219"/>
    </row>
    <row r="10" spans="1:14">
      <c r="E10" s="441"/>
      <c r="G10" s="441"/>
      <c r="H10" s="441"/>
      <c r="I10" s="441"/>
      <c r="J10" s="441"/>
      <c r="K10" s="441"/>
    </row>
    <row r="11" spans="1:14" ht="18.75">
      <c r="A11" s="119">
        <v>1</v>
      </c>
      <c r="B11" s="136" t="s">
        <v>910</v>
      </c>
      <c r="C11" s="119" t="s">
        <v>926</v>
      </c>
      <c r="E11" s="366"/>
      <c r="G11" s="366"/>
      <c r="H11" s="436"/>
      <c r="I11" s="399">
        <f>'AD-1'!E31</f>
        <v>573458.27988615376</v>
      </c>
      <c r="J11" s="357"/>
      <c r="K11" s="442" t="str">
        <f>"AD-1; Line "&amp;'AD-1'!A31</f>
        <v>AD-1; Line 18</v>
      </c>
      <c r="L11" s="119">
        <f>A11</f>
        <v>1</v>
      </c>
    </row>
    <row r="12" spans="1:14">
      <c r="A12" s="119">
        <f t="shared" ref="A12:A45" si="0">+A11+1</f>
        <v>2</v>
      </c>
      <c r="B12" s="136" t="s">
        <v>186</v>
      </c>
      <c r="E12" s="366"/>
      <c r="G12" s="366"/>
      <c r="H12" s="360"/>
      <c r="I12" s="366"/>
      <c r="J12" s="360"/>
      <c r="K12" s="442"/>
      <c r="L12" s="119">
        <f t="shared" ref="L12:L45" si="1">+L11+1</f>
        <v>2</v>
      </c>
    </row>
    <row r="13" spans="1:14" ht="18.75">
      <c r="A13" s="119">
        <f t="shared" si="0"/>
        <v>3</v>
      </c>
      <c r="B13" s="136" t="s">
        <v>911</v>
      </c>
      <c r="C13" s="119" t="s">
        <v>926</v>
      </c>
      <c r="E13" s="366"/>
      <c r="G13" s="366"/>
      <c r="H13" s="436"/>
      <c r="I13" s="402">
        <f>'AD-2'!E31</f>
        <v>0</v>
      </c>
      <c r="J13" s="357"/>
      <c r="K13" s="442" t="str">
        <f>"AD-2; Line "&amp;'AD-2'!A31</f>
        <v>AD-2; Line 18</v>
      </c>
      <c r="L13" s="119">
        <f t="shared" si="1"/>
        <v>3</v>
      </c>
    </row>
    <row r="14" spans="1:14">
      <c r="A14" s="119">
        <f t="shared" si="0"/>
        <v>4</v>
      </c>
      <c r="E14" s="366"/>
      <c r="F14" s="110"/>
      <c r="G14" s="366"/>
      <c r="H14" s="360"/>
      <c r="I14" s="366"/>
      <c r="J14" s="360"/>
      <c r="K14" s="442"/>
      <c r="L14" s="119">
        <f t="shared" si="1"/>
        <v>4</v>
      </c>
    </row>
    <row r="15" spans="1:14" ht="18.75">
      <c r="A15" s="119">
        <f t="shared" si="0"/>
        <v>5</v>
      </c>
      <c r="B15" s="136" t="s">
        <v>912</v>
      </c>
      <c r="E15" s="366"/>
      <c r="F15" s="110"/>
      <c r="G15" s="366"/>
      <c r="H15" s="436"/>
      <c r="I15" s="402">
        <f>'AD-3'!E31</f>
        <v>0</v>
      </c>
      <c r="J15" s="360"/>
      <c r="K15" s="442" t="str">
        <f>"AD-3; Line "&amp;'AD-3'!A31</f>
        <v>AD-3; Line 18</v>
      </c>
      <c r="L15" s="119">
        <f t="shared" si="1"/>
        <v>5</v>
      </c>
    </row>
    <row r="16" spans="1:14">
      <c r="A16" s="119">
        <f t="shared" si="0"/>
        <v>6</v>
      </c>
      <c r="E16" s="366"/>
      <c r="F16" s="110"/>
      <c r="G16" s="366"/>
      <c r="H16" s="360"/>
      <c r="I16" s="366"/>
      <c r="J16" s="360"/>
      <c r="K16" s="442"/>
      <c r="L16" s="119">
        <f t="shared" si="1"/>
        <v>6</v>
      </c>
    </row>
    <row r="17" spans="1:13" ht="18.75">
      <c r="A17" s="119">
        <f t="shared" si="0"/>
        <v>7</v>
      </c>
      <c r="B17" s="136" t="s">
        <v>913</v>
      </c>
      <c r="C17" s="119" t="s">
        <v>926</v>
      </c>
      <c r="E17" s="365"/>
      <c r="F17" s="110"/>
      <c r="G17" s="365"/>
      <c r="H17" s="431"/>
      <c r="I17" s="394">
        <f>'AD-4'!E31</f>
        <v>539341.99986846163</v>
      </c>
      <c r="J17" s="357"/>
      <c r="K17" s="442" t="str">
        <f>"AD-4; Line "&amp;'AD-4'!A31</f>
        <v>AD-4; Line 18</v>
      </c>
      <c r="L17" s="119">
        <f t="shared" si="1"/>
        <v>7</v>
      </c>
    </row>
    <row r="18" spans="1:13">
      <c r="A18" s="119">
        <f t="shared" si="0"/>
        <v>8</v>
      </c>
      <c r="E18" s="365"/>
      <c r="F18" s="110"/>
      <c r="G18" s="365"/>
      <c r="H18" s="360"/>
      <c r="I18" s="365"/>
      <c r="J18" s="360"/>
      <c r="K18" s="442"/>
      <c r="L18" s="119">
        <f t="shared" si="1"/>
        <v>8</v>
      </c>
    </row>
    <row r="19" spans="1:13" ht="18.75">
      <c r="A19" s="119">
        <f>+A18+1</f>
        <v>9</v>
      </c>
      <c r="B19" s="136" t="s">
        <v>914</v>
      </c>
      <c r="C19" s="119" t="s">
        <v>927</v>
      </c>
      <c r="E19" s="434">
        <f>'AD-5'!E15</f>
        <v>8919066.8144000024</v>
      </c>
      <c r="F19" s="328"/>
      <c r="G19" s="434">
        <f>'AD-5'!E17</f>
        <v>9750399.0658500008</v>
      </c>
      <c r="H19" s="431"/>
      <c r="I19" s="365">
        <f>(E19+G19)/2</f>
        <v>9334732.9401250016</v>
      </c>
      <c r="J19" s="360"/>
      <c r="K19" s="443" t="str">
        <f>"AD-5; Line "&amp;'AD-5'!A20</f>
        <v>AD-5; Line 6</v>
      </c>
      <c r="L19" s="119">
        <f>+L18+1</f>
        <v>9</v>
      </c>
    </row>
    <row r="20" spans="1:13">
      <c r="A20" s="119">
        <f t="shared" si="0"/>
        <v>10</v>
      </c>
      <c r="E20" s="365"/>
      <c r="G20" s="365"/>
      <c r="H20" s="360"/>
      <c r="I20" s="365"/>
      <c r="J20" s="360"/>
      <c r="K20" s="444"/>
      <c r="L20" s="119">
        <f t="shared" si="1"/>
        <v>10</v>
      </c>
    </row>
    <row r="21" spans="1:13" ht="18.75">
      <c r="A21" s="119">
        <f t="shared" si="0"/>
        <v>11</v>
      </c>
      <c r="B21" s="136" t="s">
        <v>193</v>
      </c>
      <c r="C21" s="119" t="s">
        <v>926</v>
      </c>
      <c r="E21" s="431"/>
      <c r="G21" s="431"/>
      <c r="H21" s="431"/>
      <c r="I21" s="395">
        <f>'AD-6'!F36</f>
        <v>7503381.1074746149</v>
      </c>
      <c r="J21" s="357"/>
      <c r="K21" s="443" t="str">
        <f>"AD-6; Line "&amp;'AD-6'!A36</f>
        <v>AD-6; Line 23</v>
      </c>
      <c r="L21" s="119">
        <f t="shared" si="1"/>
        <v>11</v>
      </c>
    </row>
    <row r="22" spans="1:13">
      <c r="A22" s="119">
        <f t="shared" si="0"/>
        <v>12</v>
      </c>
      <c r="E22" s="431"/>
      <c r="G22" s="431"/>
      <c r="H22" s="431"/>
      <c r="I22" s="380"/>
      <c r="J22" s="357"/>
      <c r="K22" s="443"/>
      <c r="L22" s="119">
        <f t="shared" si="1"/>
        <v>12</v>
      </c>
    </row>
    <row r="23" spans="1:13" ht="18.75">
      <c r="A23" s="119">
        <f t="shared" si="0"/>
        <v>13</v>
      </c>
      <c r="B23" s="136" t="s">
        <v>194</v>
      </c>
      <c r="E23" s="431"/>
      <c r="G23" s="431"/>
      <c r="H23" s="431"/>
      <c r="I23" s="395">
        <f>'AD-7'!E32</f>
        <v>0</v>
      </c>
      <c r="J23" s="357"/>
      <c r="K23" s="445" t="str">
        <f>"AD-7; Line "&amp;'AD-7'!A32</f>
        <v>AD-7; Line 18</v>
      </c>
      <c r="L23" s="119">
        <f t="shared" si="1"/>
        <v>13</v>
      </c>
    </row>
    <row r="24" spans="1:13">
      <c r="A24" s="119">
        <f t="shared" si="0"/>
        <v>14</v>
      </c>
      <c r="E24" s="365"/>
      <c r="G24" s="365"/>
      <c r="H24" s="360"/>
      <c r="I24" s="365"/>
      <c r="J24" s="360"/>
      <c r="K24" s="444"/>
      <c r="L24" s="119">
        <f t="shared" si="1"/>
        <v>14</v>
      </c>
    </row>
    <row r="25" spans="1:13" ht="18.75">
      <c r="A25" s="119">
        <f t="shared" si="0"/>
        <v>15</v>
      </c>
      <c r="B25" s="136" t="s">
        <v>195</v>
      </c>
      <c r="C25" s="119" t="s">
        <v>927</v>
      </c>
      <c r="D25" s="193"/>
      <c r="E25" s="394">
        <f>'AD-8'!C14</f>
        <v>191893.59429000001</v>
      </c>
      <c r="F25" s="110"/>
      <c r="G25" s="394">
        <f>'AD-8'!C16</f>
        <v>112870.21666999999</v>
      </c>
      <c r="H25" s="360"/>
      <c r="I25" s="365">
        <f>(E25+G25)/2</f>
        <v>152381.90548000002</v>
      </c>
      <c r="J25" s="397"/>
      <c r="K25" s="445" t="str">
        <f>"AD-8; Line "&amp;'AD-8'!A19</f>
        <v>AD-8; Line 6</v>
      </c>
      <c r="L25" s="119">
        <f t="shared" si="1"/>
        <v>15</v>
      </c>
    </row>
    <row r="26" spans="1:13">
      <c r="A26" s="119">
        <f t="shared" si="0"/>
        <v>16</v>
      </c>
      <c r="E26" s="365"/>
      <c r="G26" s="365"/>
      <c r="H26" s="360"/>
      <c r="I26" s="365"/>
      <c r="J26" s="360"/>
      <c r="K26" s="444"/>
      <c r="L26" s="119">
        <f t="shared" si="1"/>
        <v>16</v>
      </c>
    </row>
    <row r="27" spans="1:13" ht="18.75">
      <c r="A27" s="119">
        <f t="shared" si="0"/>
        <v>17</v>
      </c>
      <c r="B27" s="136" t="s">
        <v>928</v>
      </c>
      <c r="C27" s="119" t="s">
        <v>927</v>
      </c>
      <c r="E27" s="394">
        <f>'AD-9'!C14</f>
        <v>518902.72382000007</v>
      </c>
      <c r="F27" s="110"/>
      <c r="G27" s="394">
        <f>'AD-9'!C16</f>
        <v>571823.00717</v>
      </c>
      <c r="H27" s="431"/>
      <c r="I27" s="365">
        <f>(E27+G27)/2</f>
        <v>545362.86549500003</v>
      </c>
      <c r="J27" s="360"/>
      <c r="K27" s="443" t="str">
        <f>"AD-9; Line "&amp;'AD-9'!A19</f>
        <v>AD-9; Line 6</v>
      </c>
      <c r="L27" s="119">
        <f t="shared" si="1"/>
        <v>17</v>
      </c>
    </row>
    <row r="28" spans="1:13">
      <c r="A28" s="119">
        <f t="shared" si="0"/>
        <v>18</v>
      </c>
      <c r="E28" s="366"/>
      <c r="F28" s="110"/>
      <c r="G28" s="366"/>
      <c r="H28" s="360"/>
      <c r="I28" s="366"/>
      <c r="J28" s="360"/>
      <c r="K28" s="443"/>
      <c r="L28" s="119">
        <f t="shared" si="1"/>
        <v>18</v>
      </c>
    </row>
    <row r="29" spans="1:13" ht="18.75">
      <c r="A29" s="119">
        <f t="shared" si="0"/>
        <v>19</v>
      </c>
      <c r="B29" s="136" t="s">
        <v>196</v>
      </c>
      <c r="E29" s="394">
        <f>'AD-10'!D15</f>
        <v>1504071.7826376001</v>
      </c>
      <c r="F29" s="110"/>
      <c r="G29" s="394">
        <f>'AD-10'!D19</f>
        <v>1555621.3643625001</v>
      </c>
      <c r="H29" s="431"/>
      <c r="I29" s="1116">
        <f>(E29+G29)/2</f>
        <v>1529846.5735000502</v>
      </c>
      <c r="J29" s="360"/>
      <c r="K29" s="443" t="str">
        <f>"AD-10; Line "&amp;'AD-10'!A22</f>
        <v>AD-10; Line 10</v>
      </c>
      <c r="L29" s="119">
        <f t="shared" si="1"/>
        <v>19</v>
      </c>
    </row>
    <row r="30" spans="1:13">
      <c r="A30" s="119">
        <f t="shared" si="0"/>
        <v>20</v>
      </c>
      <c r="E30" s="365"/>
      <c r="F30" s="110"/>
      <c r="G30" s="365"/>
      <c r="H30" s="360"/>
      <c r="I30" s="365"/>
      <c r="J30" s="360"/>
      <c r="K30" s="442"/>
      <c r="L30" s="119">
        <f t="shared" si="1"/>
        <v>20</v>
      </c>
    </row>
    <row r="31" spans="1:13" ht="16.5" thickBot="1">
      <c r="A31" s="119">
        <f t="shared" si="0"/>
        <v>21</v>
      </c>
      <c r="B31" s="136" t="s">
        <v>197</v>
      </c>
      <c r="E31" s="354"/>
      <c r="F31" s="446"/>
      <c r="G31" s="354"/>
      <c r="H31" s="352"/>
      <c r="I31" s="353">
        <f>I11+I13+I15+I17+I19+I21+I23+I25+I27+I29</f>
        <v>20178505.671829283</v>
      </c>
      <c r="J31" s="357"/>
      <c r="K31" s="442" t="str">
        <f>"Sum Lines "&amp;A11&amp;" thru "&amp;A29</f>
        <v>Sum Lines 1 thru 19</v>
      </c>
      <c r="L31" s="119">
        <f t="shared" si="1"/>
        <v>21</v>
      </c>
      <c r="M31" s="447"/>
    </row>
    <row r="32" spans="1:13" ht="16.5" thickTop="1">
      <c r="A32" s="119">
        <f t="shared" si="0"/>
        <v>22</v>
      </c>
      <c r="E32" s="448"/>
      <c r="G32" s="448"/>
      <c r="H32" s="359"/>
      <c r="I32" s="448"/>
      <c r="J32" s="359"/>
      <c r="K32" s="442" t="s">
        <v>186</v>
      </c>
      <c r="L32" s="119">
        <f t="shared" si="1"/>
        <v>22</v>
      </c>
    </row>
    <row r="33" spans="1:13">
      <c r="A33" s="119">
        <f t="shared" si="0"/>
        <v>23</v>
      </c>
      <c r="B33" s="136" t="s">
        <v>198</v>
      </c>
      <c r="E33" s="449"/>
      <c r="G33" s="449"/>
      <c r="H33" s="359"/>
      <c r="I33" s="1031">
        <f>'Stmt AI'!E27</f>
        <v>0.10215928815161097</v>
      </c>
      <c r="J33" s="359"/>
      <c r="K33" s="442" t="str">
        <f>"Statement AI; Line "&amp;'Stmt AI'!A27</f>
        <v>Statement AI; Line 17</v>
      </c>
      <c r="L33" s="119">
        <f t="shared" si="1"/>
        <v>23</v>
      </c>
    </row>
    <row r="34" spans="1:13">
      <c r="A34" s="119">
        <f t="shared" si="0"/>
        <v>24</v>
      </c>
      <c r="E34" s="448"/>
      <c r="G34" s="448"/>
      <c r="H34" s="359"/>
      <c r="I34" s="448"/>
      <c r="J34" s="359"/>
      <c r="K34" s="442"/>
      <c r="L34" s="119">
        <f t="shared" si="1"/>
        <v>24</v>
      </c>
    </row>
    <row r="35" spans="1:13">
      <c r="A35" s="119">
        <f t="shared" si="0"/>
        <v>25</v>
      </c>
      <c r="B35" s="136" t="s">
        <v>199</v>
      </c>
      <c r="E35" s="183"/>
      <c r="F35" s="183"/>
      <c r="G35" s="183"/>
      <c r="H35" s="450"/>
      <c r="I35" s="369">
        <f>I21+I23</f>
        <v>7503381.1074746149</v>
      </c>
      <c r="J35" s="357"/>
      <c r="K35" s="451" t="str">
        <f>"Line "&amp;A21&amp;" + Line "&amp;A23</f>
        <v>Line 11 + Line 13</v>
      </c>
      <c r="L35" s="119">
        <f t="shared" si="1"/>
        <v>25</v>
      </c>
    </row>
    <row r="36" spans="1:13">
      <c r="A36" s="119">
        <f t="shared" si="0"/>
        <v>26</v>
      </c>
      <c r="E36" s="448"/>
      <c r="G36" s="448"/>
      <c r="H36" s="359"/>
      <c r="I36" s="448"/>
      <c r="J36" s="359"/>
      <c r="K36" s="442"/>
      <c r="L36" s="119">
        <f t="shared" si="1"/>
        <v>26</v>
      </c>
    </row>
    <row r="37" spans="1:13">
      <c r="A37" s="119">
        <f t="shared" si="0"/>
        <v>27</v>
      </c>
      <c r="B37" s="136" t="s">
        <v>200</v>
      </c>
      <c r="E37" s="189"/>
      <c r="G37" s="189"/>
      <c r="H37" s="359"/>
      <c r="I37" s="452">
        <f>I25*I33</f>
        <v>15567.22699102287</v>
      </c>
      <c r="J37" s="357"/>
      <c r="K37" s="451" t="str">
        <f>"Line "&amp;A25&amp;" x Line "&amp;A33</f>
        <v>Line 15 x Line 23</v>
      </c>
      <c r="L37" s="119">
        <f t="shared" si="1"/>
        <v>27</v>
      </c>
      <c r="M37" s="447"/>
    </row>
    <row r="38" spans="1:13">
      <c r="A38" s="119">
        <f t="shared" si="0"/>
        <v>28</v>
      </c>
      <c r="E38" s="448"/>
      <c r="G38" s="448"/>
      <c r="H38" s="359"/>
      <c r="I38" s="453"/>
      <c r="J38" s="359"/>
      <c r="K38" s="442"/>
      <c r="L38" s="119">
        <f t="shared" si="1"/>
        <v>28</v>
      </c>
    </row>
    <row r="39" spans="1:13">
      <c r="A39" s="119">
        <f t="shared" si="0"/>
        <v>29</v>
      </c>
      <c r="B39" s="136" t="s">
        <v>201</v>
      </c>
      <c r="E39" s="189"/>
      <c r="G39" s="189"/>
      <c r="H39" s="359"/>
      <c r="I39" s="452">
        <f>I27*I33</f>
        <v>55713.882123291965</v>
      </c>
      <c r="J39" s="359"/>
      <c r="K39" s="451" t="str">
        <f>"Line "&amp;A27&amp;" x Line "&amp;A33</f>
        <v>Line 17 x Line 23</v>
      </c>
      <c r="L39" s="119">
        <f t="shared" si="1"/>
        <v>29</v>
      </c>
      <c r="M39" s="447"/>
    </row>
    <row r="40" spans="1:13">
      <c r="A40" s="119">
        <f t="shared" si="0"/>
        <v>30</v>
      </c>
      <c r="E40" s="189"/>
      <c r="G40" s="189"/>
      <c r="H40" s="359"/>
      <c r="I40" s="454"/>
      <c r="J40" s="359"/>
      <c r="K40" s="442"/>
      <c r="L40" s="119">
        <f t="shared" si="1"/>
        <v>30</v>
      </c>
      <c r="M40" s="447"/>
    </row>
    <row r="41" spans="1:13">
      <c r="A41" s="119">
        <f t="shared" si="0"/>
        <v>31</v>
      </c>
      <c r="B41" s="136" t="s">
        <v>202</v>
      </c>
      <c r="E41" s="189"/>
      <c r="G41" s="189"/>
      <c r="H41" s="359"/>
      <c r="I41" s="1117">
        <f>I29*I33</f>
        <v>156288.03692994633</v>
      </c>
      <c r="J41" s="359"/>
      <c r="K41" s="451" t="str">
        <f>"Line "&amp;A29&amp;" x Line "&amp;A33</f>
        <v>Line 19 x Line 23</v>
      </c>
      <c r="L41" s="119">
        <f t="shared" si="1"/>
        <v>31</v>
      </c>
      <c r="M41" s="447"/>
    </row>
    <row r="42" spans="1:13">
      <c r="A42" s="119">
        <f t="shared" si="0"/>
        <v>32</v>
      </c>
      <c r="B42" s="136" t="s">
        <v>186</v>
      </c>
      <c r="E42" s="455"/>
      <c r="G42" s="455"/>
      <c r="H42" s="359"/>
      <c r="I42" s="456"/>
      <c r="J42" s="359"/>
      <c r="K42" s="442"/>
      <c r="L42" s="119">
        <f t="shared" si="1"/>
        <v>32</v>
      </c>
    </row>
    <row r="43" spans="1:13" ht="16.5" thickBot="1">
      <c r="A43" s="119">
        <f t="shared" si="0"/>
        <v>33</v>
      </c>
      <c r="B43" s="136" t="s">
        <v>203</v>
      </c>
      <c r="E43" s="189"/>
      <c r="G43" s="189"/>
      <c r="H43" s="457"/>
      <c r="I43" s="458">
        <f>I35+I37+I39+I41</f>
        <v>7730950.2535188766</v>
      </c>
      <c r="J43" s="357"/>
      <c r="K43" s="451" t="str">
        <f>"Sum Lines "&amp;A35&amp;" thru "&amp;A41</f>
        <v>Sum Lines 25 thru 31</v>
      </c>
      <c r="L43" s="119">
        <f t="shared" si="1"/>
        <v>33</v>
      </c>
      <c r="M43" s="447"/>
    </row>
    <row r="44" spans="1:13" ht="16.5" thickTop="1">
      <c r="A44" s="119">
        <f t="shared" si="0"/>
        <v>34</v>
      </c>
      <c r="E44" s="459"/>
      <c r="G44" s="459"/>
      <c r="H44" s="457"/>
      <c r="I44" s="460"/>
      <c r="J44" s="457"/>
      <c r="K44" s="442"/>
      <c r="L44" s="119">
        <f t="shared" si="1"/>
        <v>34</v>
      </c>
    </row>
    <row r="45" spans="1:13" ht="19.5" thickBot="1">
      <c r="A45" s="119">
        <f t="shared" si="0"/>
        <v>35</v>
      </c>
      <c r="B45" s="136" t="s">
        <v>929</v>
      </c>
      <c r="E45" s="461"/>
      <c r="G45" s="461"/>
      <c r="H45" s="457"/>
      <c r="I45" s="462">
        <f>I43/I31</f>
        <v>0.38312798674244081</v>
      </c>
      <c r="J45" s="357"/>
      <c r="K45" s="451" t="str">
        <f>"Line "&amp;A43&amp;" / Line "&amp;A31</f>
        <v>Line 33 / Line 21</v>
      </c>
      <c r="L45" s="119">
        <f t="shared" si="1"/>
        <v>35</v>
      </c>
      <c r="M45" s="447"/>
    </row>
    <row r="46" spans="1:13" ht="16.5" thickTop="1">
      <c r="E46" s="109"/>
      <c r="G46" s="463"/>
      <c r="H46" s="337"/>
      <c r="I46" s="337"/>
      <c r="J46" s="337"/>
      <c r="K46" s="119"/>
    </row>
    <row r="47" spans="1:13">
      <c r="E47" s="109"/>
      <c r="G47" s="463"/>
      <c r="H47" s="337"/>
      <c r="I47" s="337"/>
      <c r="J47" s="337"/>
      <c r="K47" s="119"/>
    </row>
    <row r="48" spans="1:13" ht="18.75">
      <c r="A48" s="377">
        <v>1</v>
      </c>
      <c r="B48" s="16" t="s">
        <v>204</v>
      </c>
      <c r="E48" s="109"/>
      <c r="G48" s="463"/>
      <c r="H48" s="337"/>
      <c r="I48" s="337"/>
      <c r="J48" s="337"/>
      <c r="K48" s="119"/>
    </row>
    <row r="49" spans="1:11" ht="18.75">
      <c r="A49" s="135">
        <v>2</v>
      </c>
      <c r="B49" s="16" t="s">
        <v>205</v>
      </c>
      <c r="E49" s="109"/>
      <c r="G49" s="463"/>
      <c r="H49" s="337"/>
      <c r="I49" s="337"/>
      <c r="J49" s="337"/>
      <c r="K49" s="119"/>
    </row>
    <row r="50" spans="1:11" ht="18.75">
      <c r="A50" s="135">
        <v>3</v>
      </c>
      <c r="B50" s="16" t="s">
        <v>206</v>
      </c>
    </row>
    <row r="51" spans="1:11" ht="18.75">
      <c r="A51" s="135">
        <v>4</v>
      </c>
      <c r="B51" s="16" t="s">
        <v>207</v>
      </c>
    </row>
    <row r="52" spans="1:11" ht="18.75">
      <c r="A52" s="135">
        <v>5</v>
      </c>
      <c r="B52" s="16" t="s">
        <v>208</v>
      </c>
    </row>
    <row r="53" spans="1:11" ht="18.75">
      <c r="A53" s="135"/>
    </row>
    <row r="54" spans="1:11" ht="18.75">
      <c r="A54" s="135"/>
      <c r="B54" s="110"/>
    </row>
    <row r="55" spans="1:11" ht="18.75">
      <c r="A55" s="135"/>
    </row>
    <row r="77" spans="7:7">
      <c r="G77" s="119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8" orientation="portrait" r:id="rId1"/>
  <headerFooter scaleWithDoc="0">
    <oddFooter>&amp;C&amp;"Times New Roman,Regular"&amp;10AD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I4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5" customWidth="1"/>
    <col min="5" max="5" width="18.5703125" style="110" customWidth="1"/>
    <col min="6" max="6" width="62.5703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9">
      <c r="B2" s="1305" t="s">
        <v>0</v>
      </c>
      <c r="C2" s="1305"/>
      <c r="D2" s="1305"/>
      <c r="E2" s="1305"/>
      <c r="F2" s="1305"/>
    </row>
    <row r="3" spans="1:9">
      <c r="B3" s="1305" t="s">
        <v>209</v>
      </c>
      <c r="C3" s="1305"/>
      <c r="D3" s="1305"/>
      <c r="E3" s="1305"/>
      <c r="F3" s="1305"/>
    </row>
    <row r="4" spans="1:9">
      <c r="B4" s="1305" t="s">
        <v>210</v>
      </c>
      <c r="C4" s="1305"/>
      <c r="D4" s="1305"/>
      <c r="E4" s="1305"/>
      <c r="F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9">
      <c r="B6" s="1309" t="s">
        <v>3</v>
      </c>
      <c r="C6" s="1309"/>
      <c r="D6" s="1309"/>
      <c r="E6" s="1309"/>
      <c r="F6" s="1309"/>
    </row>
    <row r="7" spans="1:9">
      <c r="B7" s="111"/>
      <c r="C7" s="112"/>
      <c r="D7" s="113"/>
      <c r="E7" s="111"/>
      <c r="F7" s="111"/>
    </row>
    <row r="8" spans="1:9">
      <c r="B8" s="1305" t="s">
        <v>211</v>
      </c>
      <c r="C8" s="1305"/>
      <c r="D8" s="1305"/>
      <c r="E8" s="1305"/>
      <c r="F8" s="1305"/>
    </row>
    <row r="10" spans="1:9">
      <c r="B10" s="862"/>
      <c r="C10" s="863" t="s">
        <v>80</v>
      </c>
      <c r="D10" s="864"/>
      <c r="E10" s="863"/>
      <c r="F10" s="864"/>
    </row>
    <row r="11" spans="1:9">
      <c r="B11" s="116"/>
      <c r="C11" s="109" t="s">
        <v>212</v>
      </c>
      <c r="D11" s="116"/>
      <c r="E11" s="117" t="s">
        <v>212</v>
      </c>
      <c r="F11" s="118"/>
    </row>
    <row r="12" spans="1:9">
      <c r="A12" s="119" t="s">
        <v>4</v>
      </c>
      <c r="B12" s="120"/>
      <c r="C12" s="109" t="s">
        <v>213</v>
      </c>
      <c r="D12" s="116"/>
      <c r="E12" s="121" t="s">
        <v>213</v>
      </c>
      <c r="F12" s="118"/>
      <c r="G12" s="119" t="s">
        <v>4</v>
      </c>
    </row>
    <row r="13" spans="1:9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</row>
    <row r="14" spans="1:9">
      <c r="A14" s="119">
        <v>1</v>
      </c>
      <c r="B14" s="122" t="str">
        <f>"Dec-"&amp;RIGHT(Automation!$B$3-1,2)</f>
        <v>Dec-21</v>
      </c>
      <c r="C14" s="123">
        <v>555600.96037999995</v>
      </c>
      <c r="D14" s="124" t="s">
        <v>216</v>
      </c>
      <c r="E14" s="125">
        <v>571265.49594999989</v>
      </c>
      <c r="F14" s="124" t="s">
        <v>930</v>
      </c>
      <c r="G14" s="119">
        <f>A14</f>
        <v>1</v>
      </c>
      <c r="H14" s="126"/>
      <c r="I14" s="126"/>
    </row>
    <row r="15" spans="1:9">
      <c r="A15" s="119">
        <f>A14+1</f>
        <v>2</v>
      </c>
      <c r="B15" s="122" t="str">
        <f>"Jan-"&amp;RIGHT(Automation!$B$3,2)</f>
        <v>Jan-22</v>
      </c>
      <c r="C15" s="127">
        <v>555567.25159</v>
      </c>
      <c r="D15" s="128"/>
      <c r="E15" s="129">
        <v>571231.78715999995</v>
      </c>
      <c r="F15" s="128"/>
      <c r="G15" s="119">
        <f>G14+1</f>
        <v>2</v>
      </c>
    </row>
    <row r="16" spans="1:9">
      <c r="A16" s="119">
        <f t="shared" ref="A16:A32" si="0">A15+1</f>
        <v>3</v>
      </c>
      <c r="B16" s="122" t="s">
        <v>217</v>
      </c>
      <c r="C16" s="127">
        <v>555597.78162999998</v>
      </c>
      <c r="D16" s="128"/>
      <c r="E16" s="129">
        <v>571262.31719999993</v>
      </c>
      <c r="F16" s="128"/>
      <c r="G16" s="119">
        <f t="shared" ref="G16:G32" si="1">G15+1</f>
        <v>3</v>
      </c>
    </row>
    <row r="17" spans="1:9">
      <c r="A17" s="119">
        <f t="shared" si="0"/>
        <v>4</v>
      </c>
      <c r="B17" s="122" t="s">
        <v>218</v>
      </c>
      <c r="C17" s="127">
        <v>555632.81006000005</v>
      </c>
      <c r="D17" s="128"/>
      <c r="E17" s="129">
        <v>571297.34563</v>
      </c>
      <c r="F17" s="128"/>
      <c r="G17" s="119">
        <f t="shared" si="1"/>
        <v>4</v>
      </c>
    </row>
    <row r="18" spans="1:9">
      <c r="A18" s="119">
        <f t="shared" si="0"/>
        <v>5</v>
      </c>
      <c r="B18" s="122" t="s">
        <v>219</v>
      </c>
      <c r="C18" s="127">
        <v>555821.97386000003</v>
      </c>
      <c r="D18" s="128"/>
      <c r="E18" s="129">
        <v>571486.50942999998</v>
      </c>
      <c r="F18" s="128"/>
      <c r="G18" s="119">
        <f t="shared" si="1"/>
        <v>5</v>
      </c>
    </row>
    <row r="19" spans="1:9">
      <c r="A19" s="119">
        <f t="shared" si="0"/>
        <v>6</v>
      </c>
      <c r="B19" s="122" t="s">
        <v>161</v>
      </c>
      <c r="C19" s="127">
        <v>557110.76413000003</v>
      </c>
      <c r="D19" s="128"/>
      <c r="E19" s="129">
        <v>572775.29969999997</v>
      </c>
      <c r="F19" s="128"/>
      <c r="G19" s="119">
        <f t="shared" si="1"/>
        <v>6</v>
      </c>
    </row>
    <row r="20" spans="1:9">
      <c r="A20" s="119">
        <f>A19+1</f>
        <v>7</v>
      </c>
      <c r="B20" s="122" t="s">
        <v>220</v>
      </c>
      <c r="C20" s="127">
        <v>557348.22820000001</v>
      </c>
      <c r="D20" s="128"/>
      <c r="E20" s="129">
        <v>573012.76376999996</v>
      </c>
      <c r="F20" s="128"/>
      <c r="G20" s="119">
        <f>G19+1</f>
        <v>7</v>
      </c>
    </row>
    <row r="21" spans="1:9">
      <c r="A21" s="119">
        <f t="shared" si="0"/>
        <v>8</v>
      </c>
      <c r="B21" s="122" t="s">
        <v>221</v>
      </c>
      <c r="C21" s="127">
        <v>558730.63647000003</v>
      </c>
      <c r="D21" s="128"/>
      <c r="E21" s="129">
        <v>574395.17203999998</v>
      </c>
      <c r="F21" s="128"/>
      <c r="G21" s="119">
        <f t="shared" si="1"/>
        <v>8</v>
      </c>
    </row>
    <row r="22" spans="1:9">
      <c r="A22" s="119">
        <f t="shared" si="0"/>
        <v>9</v>
      </c>
      <c r="B22" s="122" t="s">
        <v>222</v>
      </c>
      <c r="C22" s="127">
        <v>558565.88648999995</v>
      </c>
      <c r="D22" s="128"/>
      <c r="E22" s="129">
        <v>574230.4220599999</v>
      </c>
      <c r="F22" s="128"/>
      <c r="G22" s="119">
        <f t="shared" si="1"/>
        <v>9</v>
      </c>
    </row>
    <row r="23" spans="1:9">
      <c r="A23" s="119">
        <f t="shared" si="0"/>
        <v>10</v>
      </c>
      <c r="B23" s="122" t="s">
        <v>223</v>
      </c>
      <c r="C23" s="127">
        <v>558566.52060000005</v>
      </c>
      <c r="D23" s="128"/>
      <c r="E23" s="129">
        <v>574231.05617</v>
      </c>
      <c r="F23" s="128"/>
      <c r="G23" s="119">
        <f t="shared" si="1"/>
        <v>10</v>
      </c>
    </row>
    <row r="24" spans="1:9">
      <c r="A24" s="119">
        <f t="shared" si="0"/>
        <v>11</v>
      </c>
      <c r="B24" s="122" t="s">
        <v>224</v>
      </c>
      <c r="C24" s="127">
        <v>558589.06221</v>
      </c>
      <c r="D24" s="128"/>
      <c r="E24" s="129">
        <v>574253.59777999995</v>
      </c>
      <c r="F24" s="128"/>
      <c r="G24" s="119">
        <f t="shared" si="1"/>
        <v>11</v>
      </c>
    </row>
    <row r="25" spans="1:9">
      <c r="A25" s="119">
        <f t="shared" si="0"/>
        <v>12</v>
      </c>
      <c r="B25" s="122" t="s">
        <v>225</v>
      </c>
      <c r="C25" s="127">
        <v>561777.84617000003</v>
      </c>
      <c r="D25" s="128"/>
      <c r="E25" s="129">
        <v>577442.38173999998</v>
      </c>
      <c r="F25" s="128"/>
      <c r="G25" s="119">
        <f t="shared" si="1"/>
        <v>12</v>
      </c>
    </row>
    <row r="26" spans="1:9">
      <c r="A26" s="119">
        <f t="shared" si="0"/>
        <v>13</v>
      </c>
      <c r="B26" s="1038" t="str">
        <f>"Dec-"&amp;RIGHT(Automation!$B$3,2)</f>
        <v>Dec-22</v>
      </c>
      <c r="C26" s="1120">
        <v>562408.95432000002</v>
      </c>
      <c r="D26" s="124" t="s">
        <v>216</v>
      </c>
      <c r="E26" s="1120">
        <v>578073.48988999997</v>
      </c>
      <c r="F26" s="124" t="s">
        <v>931</v>
      </c>
      <c r="G26" s="119">
        <f t="shared" si="1"/>
        <v>13</v>
      </c>
      <c r="I26" s="126"/>
    </row>
    <row r="27" spans="1:9">
      <c r="A27" s="119">
        <f t="shared" si="0"/>
        <v>14</v>
      </c>
      <c r="B27" s="130"/>
      <c r="C27" s="932"/>
      <c r="D27" s="862"/>
      <c r="E27" s="131"/>
      <c r="F27" s="862"/>
      <c r="G27" s="119">
        <f t="shared" si="1"/>
        <v>14</v>
      </c>
    </row>
    <row r="28" spans="1:9">
      <c r="A28" s="119">
        <f t="shared" si="0"/>
        <v>15</v>
      </c>
      <c r="B28" s="130" t="s">
        <v>226</v>
      </c>
      <c r="C28" s="132">
        <f>SUM(C14:C26)</f>
        <v>7251318.6761100013</v>
      </c>
      <c r="D28" s="158" t="str">
        <f>"Sum Lines "&amp;A14&amp;" thru "&amp;A26</f>
        <v>Sum Lines 1 thru 13</v>
      </c>
      <c r="E28" s="132">
        <f>SUM(E14:E26)</f>
        <v>7454957.6385199986</v>
      </c>
      <c r="F28" s="158" t="str">
        <f>"Sum Lines "&amp;A14&amp;" thru "&amp;A26</f>
        <v>Sum Lines 1 thru 13</v>
      </c>
      <c r="G28" s="119">
        <f t="shared" si="1"/>
        <v>15</v>
      </c>
    </row>
    <row r="29" spans="1:9">
      <c r="A29" s="119">
        <f t="shared" si="0"/>
        <v>16</v>
      </c>
      <c r="B29" s="1022"/>
      <c r="C29" s="1121"/>
      <c r="D29" s="1022"/>
      <c r="E29" s="1121"/>
      <c r="F29" s="1022"/>
      <c r="G29" s="119">
        <f t="shared" si="1"/>
        <v>16</v>
      </c>
    </row>
    <row r="30" spans="1:9">
      <c r="A30" s="119">
        <f t="shared" si="0"/>
        <v>17</v>
      </c>
      <c r="B30" s="130"/>
      <c r="C30" s="132"/>
      <c r="D30" s="130"/>
      <c r="E30" s="132"/>
      <c r="F30" s="130"/>
      <c r="G30" s="119">
        <f t="shared" si="1"/>
        <v>17</v>
      </c>
    </row>
    <row r="31" spans="1:9">
      <c r="A31" s="119">
        <f t="shared" si="0"/>
        <v>18</v>
      </c>
      <c r="B31" s="130" t="s">
        <v>227</v>
      </c>
      <c r="C31" s="132">
        <f>C28/13</f>
        <v>557793.74431615393</v>
      </c>
      <c r="D31" s="158" t="str">
        <f>"Average of Lines "&amp;A14&amp;" thru "&amp;A26</f>
        <v>Average of Lines 1 thru 13</v>
      </c>
      <c r="E31" s="132">
        <f>E28/13</f>
        <v>573458.27988615376</v>
      </c>
      <c r="F31" s="124" t="s">
        <v>932</v>
      </c>
      <c r="G31" s="119">
        <f t="shared" si="1"/>
        <v>18</v>
      </c>
      <c r="H31" s="126"/>
      <c r="I31" s="126"/>
    </row>
    <row r="32" spans="1:9">
      <c r="A32" s="119">
        <f t="shared" si="0"/>
        <v>19</v>
      </c>
      <c r="B32" s="1022"/>
      <c r="C32" s="1122"/>
      <c r="D32" s="1022"/>
      <c r="E32" s="1122"/>
      <c r="F32" s="1022"/>
      <c r="G32" s="119">
        <f t="shared" si="1"/>
        <v>19</v>
      </c>
    </row>
    <row r="33" spans="1:5">
      <c r="A33" s="119"/>
      <c r="C33" s="134"/>
      <c r="D33" s="110"/>
      <c r="E33" s="134"/>
    </row>
    <row r="34" spans="1:5">
      <c r="C34" s="134"/>
      <c r="D34" s="110"/>
      <c r="E34" s="134"/>
    </row>
    <row r="35" spans="1:5" ht="18.75">
      <c r="A35" s="135">
        <v>1</v>
      </c>
      <c r="B35" s="136" t="s">
        <v>228</v>
      </c>
      <c r="C35" s="134"/>
      <c r="D35" s="110"/>
      <c r="E35" s="134"/>
    </row>
    <row r="36" spans="1:5">
      <c r="B36" s="136" t="s">
        <v>229</v>
      </c>
      <c r="C36" s="134"/>
      <c r="D36" s="110"/>
      <c r="E36" s="134"/>
    </row>
    <row r="37" spans="1:5">
      <c r="C37" s="134"/>
      <c r="D37" s="110"/>
      <c r="E37" s="134"/>
    </row>
    <row r="38" spans="1:5">
      <c r="C38" s="134"/>
      <c r="D38" s="110"/>
      <c r="E38" s="134"/>
    </row>
    <row r="39" spans="1:5">
      <c r="C39" s="137"/>
      <c r="E39" s="134"/>
    </row>
    <row r="40" spans="1:5">
      <c r="C40" s="137"/>
      <c r="E40" s="134"/>
    </row>
    <row r="41" spans="1:5">
      <c r="C41" s="137"/>
      <c r="E41" s="134"/>
    </row>
    <row r="42" spans="1:5">
      <c r="C42" s="137"/>
      <c r="E42" s="134"/>
    </row>
    <row r="43" spans="1:5">
      <c r="C43" s="137"/>
      <c r="E43" s="134"/>
    </row>
    <row r="44" spans="1:5">
      <c r="C44" s="137"/>
      <c r="E44" s="134"/>
    </row>
    <row r="45" spans="1:5">
      <c r="C45" s="137"/>
      <c r="E45" s="134"/>
    </row>
    <row r="46" spans="1:5">
      <c r="C46" s="137"/>
      <c r="E46" s="134"/>
    </row>
    <row r="47" spans="1:5">
      <c r="C47" s="137"/>
      <c r="E47" s="134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5" orientation="landscape" r:id="rId1"/>
  <headerFooter scaleWithDoc="0">
    <oddFooter>&amp;C&amp;"Times New Roman,Regular"&amp;10&amp;A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H39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5" customWidth="1"/>
    <col min="5" max="5" width="18.5703125" style="110" customWidth="1"/>
    <col min="6" max="6" width="62.5703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8">
      <c r="B2" s="1305" t="s">
        <v>0</v>
      </c>
      <c r="C2" s="1305"/>
      <c r="D2" s="1305"/>
      <c r="E2" s="1305"/>
      <c r="F2" s="1305"/>
    </row>
    <row r="3" spans="1:8">
      <c r="B3" s="1305" t="s">
        <v>209</v>
      </c>
      <c r="C3" s="1305"/>
      <c r="D3" s="1305"/>
      <c r="E3" s="1305"/>
      <c r="F3" s="1305"/>
    </row>
    <row r="4" spans="1:8">
      <c r="B4" s="1305" t="s">
        <v>210</v>
      </c>
      <c r="C4" s="1305"/>
      <c r="D4" s="1305"/>
      <c r="E4" s="1305"/>
      <c r="F4" s="1305"/>
    </row>
    <row r="5" spans="1:8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8">
      <c r="B6" s="1309" t="s">
        <v>3</v>
      </c>
      <c r="C6" s="1309"/>
      <c r="D6" s="1309"/>
      <c r="E6" s="1309"/>
      <c r="F6" s="1309"/>
    </row>
    <row r="7" spans="1:8">
      <c r="B7" s="111"/>
      <c r="C7" s="112"/>
      <c r="D7" s="113"/>
      <c r="E7" s="111"/>
      <c r="F7" s="111"/>
    </row>
    <row r="8" spans="1:8">
      <c r="B8" s="1305" t="s">
        <v>230</v>
      </c>
      <c r="C8" s="1305"/>
      <c r="D8" s="1305"/>
      <c r="E8" s="1305"/>
      <c r="F8" s="1305"/>
    </row>
    <row r="10" spans="1:8">
      <c r="B10" s="862"/>
      <c r="C10" s="863" t="s">
        <v>80</v>
      </c>
      <c r="D10" s="864"/>
      <c r="E10" s="863"/>
      <c r="F10" s="864"/>
    </row>
    <row r="11" spans="1:8">
      <c r="B11" s="116"/>
      <c r="C11" s="121" t="s">
        <v>231</v>
      </c>
      <c r="D11" s="116"/>
      <c r="E11" s="121" t="s">
        <v>231</v>
      </c>
      <c r="F11" s="116"/>
      <c r="H11" s="140"/>
    </row>
    <row r="12" spans="1:8">
      <c r="A12" s="119" t="s">
        <v>4</v>
      </c>
      <c r="B12" s="120"/>
      <c r="C12" s="109" t="s">
        <v>213</v>
      </c>
      <c r="D12" s="116"/>
      <c r="E12" s="121" t="s">
        <v>213</v>
      </c>
      <c r="F12" s="116"/>
      <c r="G12" s="119" t="s">
        <v>4</v>
      </c>
      <c r="H12" s="140"/>
    </row>
    <row r="13" spans="1:8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  <c r="H13" s="140"/>
    </row>
    <row r="14" spans="1:8">
      <c r="A14" s="119">
        <v>1</v>
      </c>
      <c r="B14" s="122" t="str">
        <f>"Dec-"&amp;RIGHT(Automation!$B$3-1,2)</f>
        <v>Dec-21</v>
      </c>
      <c r="C14" s="141">
        <v>0</v>
      </c>
      <c r="D14" s="124" t="s">
        <v>216</v>
      </c>
      <c r="E14" s="141">
        <v>0</v>
      </c>
      <c r="F14" s="124" t="s">
        <v>930</v>
      </c>
      <c r="G14" s="119">
        <f>A14</f>
        <v>1</v>
      </c>
      <c r="H14" s="126"/>
    </row>
    <row r="15" spans="1:8">
      <c r="A15" s="119">
        <f>A14+1</f>
        <v>2</v>
      </c>
      <c r="B15" s="122" t="str">
        <f>"Jan-"&amp;RIGHT(Automation!$B$3,2)</f>
        <v>Jan-22</v>
      </c>
      <c r="C15" s="142">
        <v>0</v>
      </c>
      <c r="D15" s="128"/>
      <c r="E15" s="142">
        <v>0</v>
      </c>
      <c r="F15" s="128"/>
      <c r="G15" s="119">
        <f>G14+1</f>
        <v>2</v>
      </c>
    </row>
    <row r="16" spans="1:8">
      <c r="A16" s="119">
        <f t="shared" ref="A16:A32" si="0">A15+1</f>
        <v>3</v>
      </c>
      <c r="B16" s="122" t="s">
        <v>217</v>
      </c>
      <c r="C16" s="142">
        <v>0</v>
      </c>
      <c r="D16" s="128"/>
      <c r="E16" s="142">
        <v>0</v>
      </c>
      <c r="F16" s="128"/>
      <c r="G16" s="119">
        <f t="shared" ref="G16:G32" si="1">G15+1</f>
        <v>3</v>
      </c>
    </row>
    <row r="17" spans="1:8">
      <c r="A17" s="119">
        <f t="shared" si="0"/>
        <v>4</v>
      </c>
      <c r="B17" s="122" t="s">
        <v>218</v>
      </c>
      <c r="C17" s="142">
        <v>0</v>
      </c>
      <c r="D17" s="128"/>
      <c r="E17" s="142">
        <v>0</v>
      </c>
      <c r="F17" s="128"/>
      <c r="G17" s="119">
        <f t="shared" si="1"/>
        <v>4</v>
      </c>
    </row>
    <row r="18" spans="1:8">
      <c r="A18" s="119">
        <f t="shared" si="0"/>
        <v>5</v>
      </c>
      <c r="B18" s="122" t="s">
        <v>219</v>
      </c>
      <c r="C18" s="142">
        <v>0</v>
      </c>
      <c r="D18" s="128"/>
      <c r="E18" s="142">
        <v>0</v>
      </c>
      <c r="F18" s="128"/>
      <c r="G18" s="119">
        <f t="shared" si="1"/>
        <v>5</v>
      </c>
    </row>
    <row r="19" spans="1:8">
      <c r="A19" s="119">
        <f t="shared" si="0"/>
        <v>6</v>
      </c>
      <c r="B19" s="122" t="s">
        <v>161</v>
      </c>
      <c r="C19" s="142">
        <v>0</v>
      </c>
      <c r="D19" s="128"/>
      <c r="E19" s="142">
        <v>0</v>
      </c>
      <c r="F19" s="128"/>
      <c r="G19" s="119">
        <f t="shared" si="1"/>
        <v>6</v>
      </c>
    </row>
    <row r="20" spans="1:8">
      <c r="A20" s="119">
        <f>A19+1</f>
        <v>7</v>
      </c>
      <c r="B20" s="122" t="s">
        <v>220</v>
      </c>
      <c r="C20" s="142">
        <v>0</v>
      </c>
      <c r="D20" s="128"/>
      <c r="E20" s="142">
        <v>0</v>
      </c>
      <c r="F20" s="128"/>
      <c r="G20" s="119">
        <f>G19+1</f>
        <v>7</v>
      </c>
    </row>
    <row r="21" spans="1:8">
      <c r="A21" s="119">
        <f t="shared" si="0"/>
        <v>8</v>
      </c>
      <c r="B21" s="122" t="s">
        <v>221</v>
      </c>
      <c r="C21" s="142">
        <v>0</v>
      </c>
      <c r="D21" s="128"/>
      <c r="E21" s="142">
        <v>0</v>
      </c>
      <c r="F21" s="128"/>
      <c r="G21" s="119">
        <f t="shared" si="1"/>
        <v>8</v>
      </c>
    </row>
    <row r="22" spans="1:8">
      <c r="A22" s="119">
        <f t="shared" si="0"/>
        <v>9</v>
      </c>
      <c r="B22" s="122" t="s">
        <v>222</v>
      </c>
      <c r="C22" s="142">
        <v>0</v>
      </c>
      <c r="D22" s="128"/>
      <c r="E22" s="142">
        <v>0</v>
      </c>
      <c r="F22" s="128"/>
      <c r="G22" s="119">
        <f t="shared" si="1"/>
        <v>9</v>
      </c>
    </row>
    <row r="23" spans="1:8">
      <c r="A23" s="119">
        <f t="shared" si="0"/>
        <v>10</v>
      </c>
      <c r="B23" s="122" t="s">
        <v>223</v>
      </c>
      <c r="C23" s="142">
        <v>0</v>
      </c>
      <c r="D23" s="128"/>
      <c r="E23" s="142">
        <v>0</v>
      </c>
      <c r="F23" s="128"/>
      <c r="G23" s="119">
        <f t="shared" si="1"/>
        <v>10</v>
      </c>
    </row>
    <row r="24" spans="1:8">
      <c r="A24" s="119">
        <f t="shared" si="0"/>
        <v>11</v>
      </c>
      <c r="B24" s="122" t="s">
        <v>224</v>
      </c>
      <c r="C24" s="142">
        <v>0</v>
      </c>
      <c r="D24" s="128"/>
      <c r="E24" s="142">
        <v>0</v>
      </c>
      <c r="F24" s="128"/>
      <c r="G24" s="119">
        <f t="shared" si="1"/>
        <v>11</v>
      </c>
    </row>
    <row r="25" spans="1:8">
      <c r="A25" s="119">
        <f t="shared" si="0"/>
        <v>12</v>
      </c>
      <c r="B25" s="122" t="s">
        <v>225</v>
      </c>
      <c r="C25" s="142">
        <v>0</v>
      </c>
      <c r="D25" s="128"/>
      <c r="E25" s="142">
        <v>0</v>
      </c>
      <c r="F25" s="128"/>
      <c r="G25" s="119">
        <f t="shared" si="1"/>
        <v>12</v>
      </c>
    </row>
    <row r="26" spans="1:8">
      <c r="A26" s="119">
        <f t="shared" si="0"/>
        <v>13</v>
      </c>
      <c r="B26" s="1038" t="str">
        <f>"Dec-"&amp;RIGHT(Automation!$B$3,2)</f>
        <v>Dec-22</v>
      </c>
      <c r="C26" s="142">
        <v>0</v>
      </c>
      <c r="D26" s="1123" t="s">
        <v>216</v>
      </c>
      <c r="E26" s="1124">
        <v>0</v>
      </c>
      <c r="F26" s="124" t="s">
        <v>931</v>
      </c>
      <c r="G26" s="119">
        <f t="shared" si="1"/>
        <v>13</v>
      </c>
      <c r="H26" s="126"/>
    </row>
    <row r="27" spans="1:8">
      <c r="A27" s="119">
        <f t="shared" si="0"/>
        <v>14</v>
      </c>
      <c r="B27" s="130"/>
      <c r="C27" s="867"/>
      <c r="D27" s="130"/>
      <c r="E27" s="143"/>
      <c r="F27" s="862"/>
      <c r="G27" s="119">
        <f t="shared" si="1"/>
        <v>14</v>
      </c>
    </row>
    <row r="28" spans="1:8">
      <c r="A28" s="119">
        <f t="shared" si="0"/>
        <v>15</v>
      </c>
      <c r="B28" s="130" t="s">
        <v>226</v>
      </c>
      <c r="C28" s="144">
        <f>SUM(C14:C26)</f>
        <v>0</v>
      </c>
      <c r="D28" s="158" t="str">
        <f>"Sum Lines "&amp;A14&amp;" thru "&amp;A26</f>
        <v>Sum Lines 1 thru 13</v>
      </c>
      <c r="E28" s="144">
        <f>SUM(E14:E26)</f>
        <v>0</v>
      </c>
      <c r="F28" s="158" t="str">
        <f>"Sum Lines "&amp;A14&amp;" thru "&amp;A26</f>
        <v>Sum Lines 1 thru 13</v>
      </c>
      <c r="G28" s="119">
        <f t="shared" si="1"/>
        <v>15</v>
      </c>
    </row>
    <row r="29" spans="1:8">
      <c r="A29" s="119">
        <f t="shared" si="0"/>
        <v>16</v>
      </c>
      <c r="B29" s="1022"/>
      <c r="C29" s="1121"/>
      <c r="D29" s="1022"/>
      <c r="E29" s="1121"/>
      <c r="F29" s="1022"/>
      <c r="G29" s="119">
        <f t="shared" si="1"/>
        <v>16</v>
      </c>
    </row>
    <row r="30" spans="1:8">
      <c r="A30" s="119">
        <f t="shared" si="0"/>
        <v>17</v>
      </c>
      <c r="B30" s="130"/>
      <c r="C30" s="143"/>
      <c r="D30" s="130"/>
      <c r="E30" s="143"/>
      <c r="F30" s="130"/>
      <c r="G30" s="119">
        <f t="shared" si="1"/>
        <v>17</v>
      </c>
    </row>
    <row r="31" spans="1:8">
      <c r="A31" s="119">
        <f t="shared" si="0"/>
        <v>18</v>
      </c>
      <c r="B31" s="130" t="s">
        <v>227</v>
      </c>
      <c r="C31" s="144">
        <f>C28/13</f>
        <v>0</v>
      </c>
      <c r="D31" s="158" t="str">
        <f>"Average of Lines "&amp;A14&amp;" thru "&amp;A26</f>
        <v>Average of Lines 1 thru 13</v>
      </c>
      <c r="E31" s="144">
        <f>E28/13</f>
        <v>0</v>
      </c>
      <c r="F31" s="124" t="s">
        <v>932</v>
      </c>
      <c r="G31" s="119">
        <f t="shared" si="1"/>
        <v>18</v>
      </c>
      <c r="H31" s="126"/>
    </row>
    <row r="32" spans="1:8">
      <c r="A32" s="119">
        <f t="shared" si="0"/>
        <v>19</v>
      </c>
      <c r="B32" s="1022"/>
      <c r="C32" s="1125"/>
      <c r="D32" s="1022"/>
      <c r="E32" s="1125"/>
      <c r="F32" s="1022"/>
      <c r="G32" s="119">
        <f t="shared" si="1"/>
        <v>19</v>
      </c>
    </row>
    <row r="33" spans="1:7">
      <c r="B33" s="136"/>
      <c r="C33" s="145"/>
      <c r="D33" s="136"/>
      <c r="E33" s="145"/>
      <c r="F33" s="136"/>
      <c r="G33" s="580"/>
    </row>
    <row r="34" spans="1:7">
      <c r="C34" s="145"/>
      <c r="D34" s="136"/>
      <c r="E34" s="145"/>
      <c r="F34" s="136"/>
      <c r="G34" s="580"/>
    </row>
    <row r="35" spans="1:7" ht="18.75">
      <c r="A35" s="135">
        <v>1</v>
      </c>
      <c r="B35" s="136" t="s">
        <v>228</v>
      </c>
      <c r="C35" s="146"/>
      <c r="D35" s="136"/>
      <c r="E35" s="146"/>
      <c r="F35" s="136"/>
      <c r="G35" s="580"/>
    </row>
    <row r="36" spans="1:7">
      <c r="B36" s="136" t="s">
        <v>229</v>
      </c>
      <c r="C36" s="146"/>
      <c r="D36" s="136"/>
      <c r="E36" s="146"/>
      <c r="F36" s="136"/>
      <c r="G36" s="580"/>
    </row>
    <row r="37" spans="1:7">
      <c r="C37" s="146"/>
      <c r="D37" s="136"/>
      <c r="E37" s="146"/>
      <c r="F37" s="136"/>
      <c r="G37" s="580"/>
    </row>
    <row r="38" spans="1:7">
      <c r="C38" s="146"/>
      <c r="D38" s="136"/>
      <c r="E38" s="146"/>
      <c r="F38" s="136"/>
      <c r="G38" s="580"/>
    </row>
    <row r="39" spans="1:7">
      <c r="C39" s="147"/>
      <c r="E39" s="140"/>
      <c r="G39" s="580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5" orientation="landscape" r:id="rId1"/>
  <headerFooter scaleWithDoc="0">
    <oddFooter>&amp;C&amp;"Times New Roman,Regular"&amp;10&amp;A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I38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4" customWidth="1"/>
    <col min="5" max="5" width="18.5703125" style="110" customWidth="1"/>
    <col min="6" max="6" width="62.5703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9">
      <c r="B2" s="1305" t="s">
        <v>0</v>
      </c>
      <c r="C2" s="1305"/>
      <c r="D2" s="1305"/>
      <c r="E2" s="1305"/>
      <c r="F2" s="1305"/>
    </row>
    <row r="3" spans="1:9">
      <c r="B3" s="1305" t="s">
        <v>209</v>
      </c>
      <c r="C3" s="1305"/>
      <c r="D3" s="1305"/>
      <c r="E3" s="1305"/>
      <c r="F3" s="1305"/>
    </row>
    <row r="4" spans="1:9">
      <c r="B4" s="1305" t="s">
        <v>210</v>
      </c>
      <c r="C4" s="1305"/>
      <c r="D4" s="1305"/>
      <c r="E4" s="1305"/>
      <c r="F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9">
      <c r="B6" s="1309" t="s">
        <v>3</v>
      </c>
      <c r="C6" s="1309"/>
      <c r="D6" s="1309"/>
      <c r="E6" s="1309"/>
      <c r="F6" s="1309"/>
    </row>
    <row r="7" spans="1:9">
      <c r="B7" s="111"/>
      <c r="C7" s="112"/>
      <c r="D7" s="112"/>
      <c r="E7" s="111"/>
      <c r="F7" s="111"/>
    </row>
    <row r="8" spans="1:9">
      <c r="B8" s="1305" t="s">
        <v>232</v>
      </c>
      <c r="C8" s="1305"/>
      <c r="D8" s="1305"/>
      <c r="E8" s="1305"/>
      <c r="F8" s="1305"/>
    </row>
    <row r="10" spans="1:9">
      <c r="B10" s="862"/>
      <c r="C10" s="863" t="s">
        <v>80</v>
      </c>
      <c r="D10" s="864"/>
      <c r="E10" s="863"/>
      <c r="F10" s="864"/>
    </row>
    <row r="11" spans="1:9">
      <c r="B11" s="116"/>
      <c r="C11" s="121" t="s">
        <v>233</v>
      </c>
      <c r="D11" s="116"/>
      <c r="E11" s="121" t="s">
        <v>233</v>
      </c>
      <c r="F11" s="116"/>
    </row>
    <row r="12" spans="1:9">
      <c r="A12" s="119" t="s">
        <v>4</v>
      </c>
      <c r="B12" s="120"/>
      <c r="C12" s="109" t="s">
        <v>213</v>
      </c>
      <c r="D12" s="116"/>
      <c r="E12" s="121" t="s">
        <v>213</v>
      </c>
      <c r="F12" s="116"/>
      <c r="G12" s="119" t="s">
        <v>4</v>
      </c>
    </row>
    <row r="13" spans="1:9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  <c r="H13" s="140"/>
    </row>
    <row r="14" spans="1:9">
      <c r="A14" s="119">
        <v>1</v>
      </c>
      <c r="B14" s="122" t="str">
        <f>"Dec-"&amp;RIGHT(Automation!$B$3-1,2)</f>
        <v>Dec-21</v>
      </c>
      <c r="C14" s="141">
        <v>0</v>
      </c>
      <c r="D14" s="124" t="s">
        <v>216</v>
      </c>
      <c r="E14" s="141">
        <v>0</v>
      </c>
      <c r="F14" s="124" t="s">
        <v>216</v>
      </c>
      <c r="G14" s="119">
        <f>A14</f>
        <v>1</v>
      </c>
      <c r="H14" s="140"/>
      <c r="I14" s="140"/>
    </row>
    <row r="15" spans="1:9">
      <c r="A15" s="119">
        <f>A14+1</f>
        <v>2</v>
      </c>
      <c r="B15" s="122" t="str">
        <f>"Jan-"&amp;RIGHT(Automation!$B$3,2)</f>
        <v>Jan-22</v>
      </c>
      <c r="C15" s="142">
        <v>0</v>
      </c>
      <c r="D15" s="128"/>
      <c r="E15" s="142">
        <v>0</v>
      </c>
      <c r="F15" s="128"/>
      <c r="G15" s="119">
        <f>G14+1</f>
        <v>2</v>
      </c>
      <c r="H15" s="140"/>
    </row>
    <row r="16" spans="1:9">
      <c r="A16" s="119">
        <f t="shared" ref="A16:A32" si="0">A15+1</f>
        <v>3</v>
      </c>
      <c r="B16" s="122" t="s">
        <v>217</v>
      </c>
      <c r="C16" s="142">
        <v>0</v>
      </c>
      <c r="D16" s="128"/>
      <c r="E16" s="142">
        <v>0</v>
      </c>
      <c r="F16" s="128"/>
      <c r="G16" s="119">
        <f t="shared" ref="G16:G32" si="1">G15+1</f>
        <v>3</v>
      </c>
      <c r="H16" s="140"/>
    </row>
    <row r="17" spans="1:9">
      <c r="A17" s="119">
        <f t="shared" si="0"/>
        <v>4</v>
      </c>
      <c r="B17" s="122" t="s">
        <v>218</v>
      </c>
      <c r="C17" s="142">
        <v>0</v>
      </c>
      <c r="D17" s="128"/>
      <c r="E17" s="142">
        <v>0</v>
      </c>
      <c r="F17" s="128"/>
      <c r="G17" s="119">
        <f t="shared" si="1"/>
        <v>4</v>
      </c>
      <c r="H17" s="140"/>
    </row>
    <row r="18" spans="1:9">
      <c r="A18" s="119">
        <f t="shared" si="0"/>
        <v>5</v>
      </c>
      <c r="B18" s="122" t="s">
        <v>219</v>
      </c>
      <c r="C18" s="142">
        <v>0</v>
      </c>
      <c r="D18" s="128"/>
      <c r="E18" s="142">
        <v>0</v>
      </c>
      <c r="F18" s="128"/>
      <c r="G18" s="119">
        <f t="shared" si="1"/>
        <v>5</v>
      </c>
      <c r="H18" s="140"/>
    </row>
    <row r="19" spans="1:9">
      <c r="A19" s="119">
        <f t="shared" si="0"/>
        <v>6</v>
      </c>
      <c r="B19" s="122" t="s">
        <v>161</v>
      </c>
      <c r="C19" s="142">
        <v>0</v>
      </c>
      <c r="D19" s="128"/>
      <c r="E19" s="142">
        <v>0</v>
      </c>
      <c r="F19" s="128"/>
      <c r="G19" s="119">
        <f t="shared" si="1"/>
        <v>6</v>
      </c>
      <c r="H19" s="140"/>
    </row>
    <row r="20" spans="1:9">
      <c r="A20" s="119">
        <f>A19+1</f>
        <v>7</v>
      </c>
      <c r="B20" s="122" t="s">
        <v>220</v>
      </c>
      <c r="C20" s="142">
        <v>0</v>
      </c>
      <c r="D20" s="128"/>
      <c r="E20" s="142">
        <v>0</v>
      </c>
      <c r="F20" s="128"/>
      <c r="G20" s="119">
        <f>G19+1</f>
        <v>7</v>
      </c>
      <c r="H20" s="140"/>
    </row>
    <row r="21" spans="1:9">
      <c r="A21" s="119">
        <f t="shared" si="0"/>
        <v>8</v>
      </c>
      <c r="B21" s="122" t="s">
        <v>221</v>
      </c>
      <c r="C21" s="142">
        <v>0</v>
      </c>
      <c r="D21" s="128"/>
      <c r="E21" s="142">
        <v>0</v>
      </c>
      <c r="F21" s="128"/>
      <c r="G21" s="119">
        <f t="shared" si="1"/>
        <v>8</v>
      </c>
    </row>
    <row r="22" spans="1:9">
      <c r="A22" s="119">
        <f t="shared" si="0"/>
        <v>9</v>
      </c>
      <c r="B22" s="122" t="s">
        <v>222</v>
      </c>
      <c r="C22" s="142">
        <v>0</v>
      </c>
      <c r="D22" s="128"/>
      <c r="E22" s="142">
        <v>0</v>
      </c>
      <c r="F22" s="128"/>
      <c r="G22" s="119">
        <f t="shared" si="1"/>
        <v>9</v>
      </c>
    </row>
    <row r="23" spans="1:9">
      <c r="A23" s="119">
        <f t="shared" si="0"/>
        <v>10</v>
      </c>
      <c r="B23" s="122" t="s">
        <v>223</v>
      </c>
      <c r="C23" s="142">
        <v>0</v>
      </c>
      <c r="D23" s="128"/>
      <c r="E23" s="142">
        <v>0</v>
      </c>
      <c r="F23" s="128"/>
      <c r="G23" s="119">
        <f t="shared" si="1"/>
        <v>10</v>
      </c>
    </row>
    <row r="24" spans="1:9">
      <c r="A24" s="119">
        <f t="shared" si="0"/>
        <v>11</v>
      </c>
      <c r="B24" s="122" t="s">
        <v>224</v>
      </c>
      <c r="C24" s="142">
        <v>0</v>
      </c>
      <c r="D24" s="128"/>
      <c r="E24" s="142">
        <v>0</v>
      </c>
      <c r="F24" s="128"/>
      <c r="G24" s="119">
        <f t="shared" si="1"/>
        <v>11</v>
      </c>
    </row>
    <row r="25" spans="1:9">
      <c r="A25" s="119">
        <f t="shared" si="0"/>
        <v>12</v>
      </c>
      <c r="B25" s="122" t="s">
        <v>225</v>
      </c>
      <c r="C25" s="142">
        <v>0</v>
      </c>
      <c r="D25" s="128"/>
      <c r="E25" s="142">
        <v>0</v>
      </c>
      <c r="F25" s="128"/>
      <c r="G25" s="119">
        <f t="shared" si="1"/>
        <v>12</v>
      </c>
    </row>
    <row r="26" spans="1:9">
      <c r="A26" s="119">
        <f t="shared" si="0"/>
        <v>13</v>
      </c>
      <c r="B26" s="1038" t="str">
        <f>"Dec-"&amp;RIGHT(Automation!$B$3,2)</f>
        <v>Dec-22</v>
      </c>
      <c r="C26" s="142">
        <v>0</v>
      </c>
      <c r="D26" s="1123" t="s">
        <v>216</v>
      </c>
      <c r="E26" s="1124">
        <v>0</v>
      </c>
      <c r="F26" s="1123" t="s">
        <v>216</v>
      </c>
      <c r="G26" s="119">
        <f t="shared" si="1"/>
        <v>13</v>
      </c>
      <c r="I26" s="140"/>
    </row>
    <row r="27" spans="1:9">
      <c r="A27" s="119">
        <f t="shared" si="0"/>
        <v>14</v>
      </c>
      <c r="B27" s="130"/>
      <c r="C27" s="867"/>
      <c r="D27" s="148"/>
      <c r="E27" s="143"/>
      <c r="F27" s="868"/>
      <c r="G27" s="119">
        <f t="shared" si="1"/>
        <v>14</v>
      </c>
    </row>
    <row r="28" spans="1:9">
      <c r="A28" s="119">
        <f t="shared" si="0"/>
        <v>15</v>
      </c>
      <c r="B28" s="130" t="s">
        <v>226</v>
      </c>
      <c r="C28" s="144">
        <f>SUM(C14:C26)</f>
        <v>0</v>
      </c>
      <c r="D28" s="341" t="str">
        <f>"Sum Lines "&amp;A14&amp;" thru "&amp;A26</f>
        <v>Sum Lines 1 thru 13</v>
      </c>
      <c r="E28" s="144">
        <f>SUM(E14:E26)</f>
        <v>0</v>
      </c>
      <c r="F28" s="525" t="str">
        <f>"Sum Lines "&amp;A14&amp;" thru "&amp;A26</f>
        <v>Sum Lines 1 thru 13</v>
      </c>
      <c r="G28" s="119">
        <f t="shared" si="1"/>
        <v>15</v>
      </c>
    </row>
    <row r="29" spans="1:9">
      <c r="A29" s="119">
        <f t="shared" si="0"/>
        <v>16</v>
      </c>
      <c r="B29" s="1022"/>
      <c r="C29" s="1125"/>
      <c r="D29" s="1126"/>
      <c r="E29" s="1125"/>
      <c r="F29" s="1127"/>
      <c r="G29" s="119">
        <f t="shared" si="1"/>
        <v>16</v>
      </c>
    </row>
    <row r="30" spans="1:9">
      <c r="A30" s="119">
        <f t="shared" si="0"/>
        <v>17</v>
      </c>
      <c r="B30" s="130"/>
      <c r="C30" s="143"/>
      <c r="D30" s="149"/>
      <c r="E30" s="143"/>
      <c r="F30" s="150"/>
      <c r="G30" s="119">
        <f t="shared" si="1"/>
        <v>17</v>
      </c>
    </row>
    <row r="31" spans="1:9">
      <c r="A31" s="119">
        <f t="shared" si="0"/>
        <v>18</v>
      </c>
      <c r="B31" s="130" t="s">
        <v>227</v>
      </c>
      <c r="C31" s="151">
        <f>C28/13</f>
        <v>0</v>
      </c>
      <c r="D31" s="341" t="str">
        <f>"Average of Lines "&amp;A14&amp;" thru "&amp;A26</f>
        <v>Average of Lines 1 thru 13</v>
      </c>
      <c r="E31" s="151">
        <f>E28/13</f>
        <v>0</v>
      </c>
      <c r="F31" s="525" t="str">
        <f>"Average of Lines "&amp;A14&amp;" thru "&amp;A26</f>
        <v>Average of Lines 1 thru 13</v>
      </c>
      <c r="G31" s="119">
        <f t="shared" si="1"/>
        <v>18</v>
      </c>
      <c r="I31" s="140"/>
    </row>
    <row r="32" spans="1:9">
      <c r="A32" s="119">
        <f t="shared" si="0"/>
        <v>19</v>
      </c>
      <c r="B32" s="1022"/>
      <c r="C32" s="1125"/>
      <c r="D32" s="1023"/>
      <c r="E32" s="1125"/>
      <c r="F32" s="1127"/>
      <c r="G32" s="119">
        <f t="shared" si="1"/>
        <v>19</v>
      </c>
    </row>
    <row r="33" spans="1:7">
      <c r="A33" s="119"/>
      <c r="B33" s="136"/>
      <c r="C33" s="145"/>
      <c r="D33" s="145"/>
      <c r="E33" s="145"/>
      <c r="F33" s="146"/>
      <c r="G33" s="580"/>
    </row>
    <row r="34" spans="1:7">
      <c r="A34" s="119"/>
      <c r="C34" s="146"/>
      <c r="D34" s="146"/>
      <c r="E34" s="146"/>
      <c r="F34" s="146"/>
      <c r="G34" s="580"/>
    </row>
    <row r="35" spans="1:7" ht="18.75">
      <c r="A35" s="135">
        <v>1</v>
      </c>
      <c r="B35" s="136" t="s">
        <v>228</v>
      </c>
      <c r="C35" s="146"/>
      <c r="D35" s="146"/>
      <c r="E35" s="146"/>
      <c r="F35" s="146"/>
      <c r="G35" s="580"/>
    </row>
    <row r="36" spans="1:7">
      <c r="B36" s="136" t="s">
        <v>229</v>
      </c>
      <c r="C36" s="146"/>
      <c r="D36" s="146"/>
      <c r="E36" s="146"/>
      <c r="F36" s="146"/>
      <c r="G36" s="580"/>
    </row>
    <row r="37" spans="1:7">
      <c r="C37" s="146"/>
      <c r="D37" s="146"/>
      <c r="E37" s="146"/>
      <c r="F37" s="146"/>
      <c r="G37" s="580"/>
    </row>
    <row r="38" spans="1:7">
      <c r="C38" s="147"/>
      <c r="D38" s="147"/>
      <c r="E38" s="140"/>
      <c r="F38" s="140"/>
      <c r="G38" s="580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5" orientation="landscape" r:id="rId1"/>
  <headerFooter scaleWithDoc="0">
    <oddFooter>&amp;C&amp;"Times New Roman,Regular"&amp;10&amp;A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H44"/>
  <sheetViews>
    <sheetView topLeftCell="A7" zoomScale="80" zoomScaleNormal="80" workbookViewId="0">
      <selection activeCell="A4" sqref="A4"/>
    </sheetView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53" customWidth="1"/>
    <col min="5" max="5" width="18.5703125" style="110" customWidth="1"/>
    <col min="6" max="6" width="62.5703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8">
      <c r="B2" s="1305" t="s">
        <v>0</v>
      </c>
      <c r="C2" s="1305"/>
      <c r="D2" s="1305"/>
      <c r="E2" s="1305"/>
      <c r="F2" s="1305"/>
    </row>
    <row r="3" spans="1:8">
      <c r="B3" s="1305" t="s">
        <v>209</v>
      </c>
      <c r="C3" s="1305"/>
      <c r="D3" s="1305"/>
      <c r="E3" s="1305"/>
      <c r="F3" s="1305"/>
    </row>
    <row r="4" spans="1:8">
      <c r="B4" s="1305" t="s">
        <v>210</v>
      </c>
      <c r="C4" s="1305"/>
      <c r="D4" s="1305"/>
      <c r="E4" s="1305"/>
      <c r="F4" s="1305"/>
    </row>
    <row r="5" spans="1:8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8">
      <c r="B6" s="1309" t="s">
        <v>3</v>
      </c>
      <c r="C6" s="1309"/>
      <c r="D6" s="1309"/>
      <c r="E6" s="1309"/>
      <c r="F6" s="1309"/>
    </row>
    <row r="7" spans="1:8">
      <c r="B7" s="111"/>
      <c r="C7" s="112"/>
      <c r="D7" s="152"/>
      <c r="E7" s="111"/>
      <c r="F7" s="111"/>
    </row>
    <row r="8" spans="1:8">
      <c r="B8" s="1305" t="s">
        <v>234</v>
      </c>
      <c r="C8" s="1305"/>
      <c r="D8" s="1305"/>
      <c r="E8" s="1305"/>
      <c r="F8" s="1305"/>
    </row>
    <row r="10" spans="1:8">
      <c r="B10" s="862"/>
      <c r="C10" s="863" t="s">
        <v>80</v>
      </c>
      <c r="D10" s="864"/>
      <c r="E10" s="863"/>
      <c r="F10" s="864"/>
    </row>
    <row r="11" spans="1:8">
      <c r="A11" s="119"/>
      <c r="B11" s="116"/>
      <c r="C11" s="109" t="s">
        <v>235</v>
      </c>
      <c r="D11" s="116"/>
      <c r="E11" s="121" t="s">
        <v>235</v>
      </c>
      <c r="F11" s="116"/>
    </row>
    <row r="12" spans="1:8">
      <c r="A12" s="119" t="s">
        <v>4</v>
      </c>
      <c r="B12" s="120"/>
      <c r="C12" s="109" t="s">
        <v>213</v>
      </c>
      <c r="D12" s="116"/>
      <c r="E12" s="121" t="s">
        <v>213</v>
      </c>
      <c r="F12" s="116"/>
      <c r="G12" s="119" t="s">
        <v>4</v>
      </c>
    </row>
    <row r="13" spans="1:8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</row>
    <row r="14" spans="1:8">
      <c r="A14" s="119">
        <v>1</v>
      </c>
      <c r="B14" s="122" t="str">
        <f>"Dec-"&amp;RIGHT(Automation!$B$3-1,2)</f>
        <v>Dec-21</v>
      </c>
      <c r="C14" s="123">
        <v>579619.97169999999</v>
      </c>
      <c r="D14" s="124" t="s">
        <v>216</v>
      </c>
      <c r="E14" s="123">
        <v>537622.61215000006</v>
      </c>
      <c r="F14" s="124" t="s">
        <v>930</v>
      </c>
      <c r="G14" s="119">
        <f>A14</f>
        <v>1</v>
      </c>
      <c r="H14" s="126"/>
    </row>
    <row r="15" spans="1:8">
      <c r="A15" s="119">
        <f>A14+1</f>
        <v>2</v>
      </c>
      <c r="B15" s="122" t="str">
        <f>"Jan-"&amp;RIGHT(Automation!$B$3,2)</f>
        <v>Jan-22</v>
      </c>
      <c r="C15" s="127">
        <v>579570.40697999997</v>
      </c>
      <c r="D15" s="128"/>
      <c r="E15" s="127">
        <v>537573.04743000004</v>
      </c>
      <c r="F15" s="128"/>
      <c r="G15" s="119">
        <f>G14+1</f>
        <v>2</v>
      </c>
    </row>
    <row r="16" spans="1:8">
      <c r="A16" s="119">
        <f t="shared" ref="A16:A32" si="0">A15+1</f>
        <v>3</v>
      </c>
      <c r="B16" s="122" t="s">
        <v>217</v>
      </c>
      <c r="C16" s="127">
        <v>579613.80974000006</v>
      </c>
      <c r="D16" s="128"/>
      <c r="E16" s="127">
        <v>537616.45019000012</v>
      </c>
      <c r="F16" s="128"/>
      <c r="G16" s="119">
        <f t="shared" ref="G16:G32" si="1">G15+1</f>
        <v>3</v>
      </c>
    </row>
    <row r="17" spans="1:8">
      <c r="A17" s="119">
        <f t="shared" si="0"/>
        <v>4</v>
      </c>
      <c r="B17" s="122" t="s">
        <v>218</v>
      </c>
      <c r="C17" s="127">
        <v>579616.71510000003</v>
      </c>
      <c r="D17" s="128"/>
      <c r="E17" s="127">
        <v>537619.35555000009</v>
      </c>
      <c r="F17" s="128"/>
      <c r="G17" s="119">
        <f t="shared" si="1"/>
        <v>4</v>
      </c>
    </row>
    <row r="18" spans="1:8">
      <c r="A18" s="119">
        <f t="shared" si="0"/>
        <v>5</v>
      </c>
      <c r="B18" s="122" t="s">
        <v>219</v>
      </c>
      <c r="C18" s="127">
        <v>580086.20122000005</v>
      </c>
      <c r="D18" s="128"/>
      <c r="E18" s="127">
        <v>538088.84167000011</v>
      </c>
      <c r="F18" s="128"/>
      <c r="G18" s="119">
        <f t="shared" si="1"/>
        <v>5</v>
      </c>
    </row>
    <row r="19" spans="1:8">
      <c r="A19" s="119">
        <f t="shared" si="0"/>
        <v>6</v>
      </c>
      <c r="B19" s="122" t="s">
        <v>161</v>
      </c>
      <c r="C19" s="127">
        <v>580764.82056000002</v>
      </c>
      <c r="D19" s="128"/>
      <c r="E19" s="127">
        <v>538767.46101000009</v>
      </c>
      <c r="F19" s="128"/>
      <c r="G19" s="119">
        <f t="shared" si="1"/>
        <v>6</v>
      </c>
    </row>
    <row r="20" spans="1:8">
      <c r="A20" s="119">
        <f>A19+1</f>
        <v>7</v>
      </c>
      <c r="B20" s="122" t="s">
        <v>220</v>
      </c>
      <c r="C20" s="127">
        <v>580903.41880999994</v>
      </c>
      <c r="D20" s="128"/>
      <c r="E20" s="127">
        <v>538906.05926000001</v>
      </c>
      <c r="F20" s="128"/>
      <c r="G20" s="119">
        <f>G19+1</f>
        <v>7</v>
      </c>
    </row>
    <row r="21" spans="1:8">
      <c r="A21" s="119">
        <f t="shared" si="0"/>
        <v>8</v>
      </c>
      <c r="B21" s="122" t="s">
        <v>221</v>
      </c>
      <c r="C21" s="127">
        <v>581158.10817000002</v>
      </c>
      <c r="D21" s="128"/>
      <c r="E21" s="127">
        <v>539160.74862000009</v>
      </c>
      <c r="F21" s="128"/>
      <c r="G21" s="119">
        <f t="shared" si="1"/>
        <v>8</v>
      </c>
    </row>
    <row r="22" spans="1:8">
      <c r="A22" s="119">
        <f t="shared" si="0"/>
        <v>9</v>
      </c>
      <c r="B22" s="122" t="s">
        <v>222</v>
      </c>
      <c r="C22" s="127">
        <v>581336.15954000002</v>
      </c>
      <c r="D22" s="128"/>
      <c r="E22" s="127">
        <v>539338.79999000009</v>
      </c>
      <c r="F22" s="128"/>
      <c r="G22" s="119">
        <f t="shared" si="1"/>
        <v>9</v>
      </c>
    </row>
    <row r="23" spans="1:8">
      <c r="A23" s="119">
        <f t="shared" si="0"/>
        <v>10</v>
      </c>
      <c r="B23" s="122" t="s">
        <v>223</v>
      </c>
      <c r="C23" s="127">
        <v>581339.76743999997</v>
      </c>
      <c r="D23" s="128"/>
      <c r="E23" s="127">
        <v>539342.40789000003</v>
      </c>
      <c r="F23" s="128"/>
      <c r="G23" s="119">
        <f t="shared" si="1"/>
        <v>10</v>
      </c>
    </row>
    <row r="24" spans="1:8">
      <c r="A24" s="119">
        <f t="shared" si="0"/>
        <v>11</v>
      </c>
      <c r="B24" s="122" t="s">
        <v>224</v>
      </c>
      <c r="C24" s="127">
        <v>583170.49074000004</v>
      </c>
      <c r="D24" s="128"/>
      <c r="E24" s="127">
        <v>541173.1311900001</v>
      </c>
      <c r="F24" s="128"/>
      <c r="G24" s="119">
        <f t="shared" si="1"/>
        <v>11</v>
      </c>
    </row>
    <row r="25" spans="1:8">
      <c r="A25" s="119">
        <f t="shared" si="0"/>
        <v>12</v>
      </c>
      <c r="B25" s="122" t="s">
        <v>225</v>
      </c>
      <c r="C25" s="127">
        <v>583135.63291000004</v>
      </c>
      <c r="D25" s="128"/>
      <c r="E25" s="127">
        <v>541138.27336000011</v>
      </c>
      <c r="F25" s="128"/>
      <c r="G25" s="119">
        <f t="shared" si="1"/>
        <v>12</v>
      </c>
    </row>
    <row r="26" spans="1:8">
      <c r="A26" s="119">
        <f t="shared" si="0"/>
        <v>13</v>
      </c>
      <c r="B26" s="1038" t="str">
        <f>"Dec-"&amp;RIGHT(Automation!$B$3,2)</f>
        <v>Dec-22</v>
      </c>
      <c r="C26" s="127">
        <v>587096.16952999996</v>
      </c>
      <c r="D26" s="1123" t="s">
        <v>216</v>
      </c>
      <c r="E26" s="1126">
        <v>545098.80998000002</v>
      </c>
      <c r="F26" s="124" t="s">
        <v>931</v>
      </c>
      <c r="G26" s="119">
        <f t="shared" si="1"/>
        <v>13</v>
      </c>
      <c r="H26" s="126"/>
    </row>
    <row r="27" spans="1:8">
      <c r="A27" s="119">
        <f>A26+1</f>
        <v>14</v>
      </c>
      <c r="B27" s="130"/>
      <c r="C27" s="867"/>
      <c r="D27" s="130"/>
      <c r="E27" s="143"/>
      <c r="F27" s="862"/>
      <c r="G27" s="119">
        <f>G26+1</f>
        <v>14</v>
      </c>
    </row>
    <row r="28" spans="1:8">
      <c r="A28" s="119">
        <f t="shared" si="0"/>
        <v>15</v>
      </c>
      <c r="B28" s="130" t="s">
        <v>226</v>
      </c>
      <c r="C28" s="132">
        <f>SUM(C14:C26)</f>
        <v>7557411.6724399999</v>
      </c>
      <c r="D28" s="158" t="str">
        <f>"Sum Lines "&amp;A14&amp;" thru "&amp;A26</f>
        <v>Sum Lines 1 thru 13</v>
      </c>
      <c r="E28" s="132">
        <f>SUM(E14:E26)</f>
        <v>7011445.9982900014</v>
      </c>
      <c r="F28" s="158" t="str">
        <f>"Sum Lines "&amp;A14&amp;" thru "&amp;A26</f>
        <v>Sum Lines 1 thru 13</v>
      </c>
      <c r="G28" s="119">
        <f t="shared" si="1"/>
        <v>15</v>
      </c>
    </row>
    <row r="29" spans="1:8">
      <c r="A29" s="119">
        <f t="shared" si="0"/>
        <v>16</v>
      </c>
      <c r="B29" s="1022"/>
      <c r="C29" s="1121"/>
      <c r="D29" s="1128"/>
      <c r="E29" s="1121"/>
      <c r="F29" s="1128"/>
      <c r="G29" s="119">
        <f t="shared" si="1"/>
        <v>16</v>
      </c>
    </row>
    <row r="30" spans="1:8">
      <c r="A30" s="119">
        <f t="shared" si="0"/>
        <v>17</v>
      </c>
      <c r="B30" s="130"/>
      <c r="C30" s="132"/>
      <c r="D30" s="133"/>
      <c r="E30" s="132"/>
      <c r="F30" s="133"/>
      <c r="G30" s="119">
        <f t="shared" si="1"/>
        <v>17</v>
      </c>
    </row>
    <row r="31" spans="1:8">
      <c r="A31" s="119">
        <f t="shared" si="0"/>
        <v>18</v>
      </c>
      <c r="B31" s="130" t="s">
        <v>227</v>
      </c>
      <c r="C31" s="132">
        <f>C28/13</f>
        <v>581339.35941846156</v>
      </c>
      <c r="D31" s="158" t="str">
        <f>"Average of Lines "&amp;A14&amp;" thru "&amp;A26</f>
        <v>Average of Lines 1 thru 13</v>
      </c>
      <c r="E31" s="132">
        <f>E28/13</f>
        <v>539341.99986846163</v>
      </c>
      <c r="F31" s="124" t="s">
        <v>932</v>
      </c>
      <c r="G31" s="119">
        <f t="shared" si="1"/>
        <v>18</v>
      </c>
      <c r="H31" s="126"/>
    </row>
    <row r="32" spans="1:8">
      <c r="A32" s="119">
        <f t="shared" si="0"/>
        <v>19</v>
      </c>
      <c r="B32" s="1022"/>
      <c r="C32" s="1125"/>
      <c r="D32" s="1022"/>
      <c r="E32" s="1125"/>
      <c r="F32" s="1022"/>
      <c r="G32" s="119">
        <f t="shared" si="1"/>
        <v>19</v>
      </c>
    </row>
    <row r="33" spans="1:7">
      <c r="B33" s="136"/>
      <c r="C33" s="145"/>
      <c r="D33" s="136"/>
      <c r="E33" s="145"/>
      <c r="F33" s="136"/>
    </row>
    <row r="34" spans="1:7">
      <c r="C34" s="145"/>
      <c r="D34" s="136"/>
      <c r="E34" s="145"/>
      <c r="F34" s="136"/>
    </row>
    <row r="35" spans="1:7" ht="18.75">
      <c r="A35" s="135">
        <v>1</v>
      </c>
      <c r="B35" s="136" t="s">
        <v>228</v>
      </c>
      <c r="C35" s="145"/>
      <c r="D35" s="136"/>
      <c r="E35" s="145"/>
      <c r="F35" s="136"/>
    </row>
    <row r="36" spans="1:7">
      <c r="B36" s="136" t="s">
        <v>229</v>
      </c>
      <c r="C36" s="145"/>
      <c r="D36" s="136"/>
      <c r="E36" s="145"/>
      <c r="F36" s="136"/>
    </row>
    <row r="37" spans="1:7">
      <c r="C37" s="145"/>
      <c r="D37" s="136"/>
      <c r="E37" s="145"/>
      <c r="F37" s="136"/>
    </row>
    <row r="38" spans="1:7">
      <c r="C38" s="145"/>
      <c r="D38" s="136"/>
      <c r="E38" s="145"/>
      <c r="F38" s="136"/>
    </row>
    <row r="39" spans="1:7">
      <c r="C39" s="154"/>
      <c r="D39" s="154"/>
      <c r="E39" s="154"/>
      <c r="F39" s="154"/>
      <c r="G39" s="581"/>
    </row>
    <row r="40" spans="1:7">
      <c r="E40" s="155"/>
    </row>
    <row r="41" spans="1:7">
      <c r="E41" s="155"/>
    </row>
    <row r="42" spans="1:7">
      <c r="E42" s="155"/>
    </row>
    <row r="43" spans="1:7">
      <c r="E43" s="155"/>
    </row>
    <row r="44" spans="1:7">
      <c r="E44" s="155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5" orientation="landscape" r:id="rId1"/>
  <headerFooter scaleWithDoc="0">
    <oddFooter>&amp;C&amp;"Times New Roman,Regular"&amp;10&amp;A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I31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9.140625" style="114" bestFit="1" customWidth="1"/>
    <col min="5" max="5" width="18.5703125" style="110" customWidth="1"/>
    <col min="6" max="6" width="60.42578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9">
      <c r="B2" s="1305" t="s">
        <v>0</v>
      </c>
      <c r="C2" s="1305"/>
      <c r="D2" s="1305"/>
      <c r="E2" s="1305"/>
      <c r="F2" s="1305"/>
    </row>
    <row r="3" spans="1:9">
      <c r="B3" s="1305" t="s">
        <v>209</v>
      </c>
      <c r="C3" s="1305"/>
      <c r="D3" s="1305"/>
      <c r="E3" s="1305"/>
      <c r="F3" s="1305"/>
    </row>
    <row r="4" spans="1:9">
      <c r="B4" s="1305" t="s">
        <v>210</v>
      </c>
      <c r="C4" s="1305"/>
      <c r="D4" s="1305"/>
      <c r="E4" s="1305"/>
      <c r="F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9">
      <c r="B6" s="1309" t="s">
        <v>3</v>
      </c>
      <c r="C6" s="1309"/>
      <c r="D6" s="1309"/>
      <c r="E6" s="1309"/>
      <c r="F6" s="1309"/>
    </row>
    <row r="7" spans="1:9">
      <c r="B7" s="111"/>
      <c r="C7" s="112"/>
      <c r="D7" s="112"/>
      <c r="E7" s="111"/>
      <c r="F7" s="111"/>
    </row>
    <row r="8" spans="1:9">
      <c r="B8" s="1305" t="s">
        <v>236</v>
      </c>
      <c r="C8" s="1305"/>
      <c r="D8" s="1305"/>
      <c r="E8" s="1305"/>
      <c r="F8" s="1305"/>
    </row>
    <row r="9" spans="1:9">
      <c r="G9" s="119"/>
    </row>
    <row r="10" spans="1:9">
      <c r="B10" s="862"/>
      <c r="C10" s="863" t="s">
        <v>80</v>
      </c>
      <c r="D10" s="864"/>
      <c r="E10" s="863"/>
      <c r="F10" s="864"/>
      <c r="G10" s="119"/>
    </row>
    <row r="11" spans="1:9">
      <c r="B11" s="116"/>
      <c r="C11" s="109" t="s">
        <v>237</v>
      </c>
      <c r="D11" s="116"/>
      <c r="E11" s="121" t="s">
        <v>237</v>
      </c>
      <c r="F11" s="116"/>
      <c r="G11" s="119"/>
    </row>
    <row r="12" spans="1:9">
      <c r="A12" s="119" t="s">
        <v>4</v>
      </c>
      <c r="B12" s="120"/>
      <c r="C12" s="109" t="s">
        <v>238</v>
      </c>
      <c r="D12" s="116"/>
      <c r="E12" s="121" t="s">
        <v>238</v>
      </c>
      <c r="F12" s="116"/>
      <c r="G12" s="119" t="s">
        <v>4</v>
      </c>
    </row>
    <row r="13" spans="1:9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</row>
    <row r="14" spans="1:9">
      <c r="A14" s="119"/>
      <c r="B14" s="156"/>
      <c r="C14" s="962"/>
      <c r="D14" s="116"/>
      <c r="E14" s="121"/>
      <c r="F14" s="116"/>
      <c r="G14" s="119"/>
    </row>
    <row r="15" spans="1:9">
      <c r="A15" s="119">
        <v>1</v>
      </c>
      <c r="B15" s="122" t="str">
        <f>"Dec-"&amp;RIGHT(Automation!$B$3-1,2)</f>
        <v>Dec-21</v>
      </c>
      <c r="C15" s="123">
        <v>8756414.4048299994</v>
      </c>
      <c r="D15" s="157" t="s">
        <v>216</v>
      </c>
      <c r="E15" s="125">
        <v>8919066.8144000024</v>
      </c>
      <c r="F15" s="157" t="s">
        <v>930</v>
      </c>
      <c r="G15" s="119">
        <f>A15</f>
        <v>1</v>
      </c>
      <c r="H15" s="634"/>
      <c r="I15" s="1210"/>
    </row>
    <row r="16" spans="1:9">
      <c r="A16" s="119">
        <f>A15+1</f>
        <v>2</v>
      </c>
      <c r="B16" s="122"/>
      <c r="C16" s="127"/>
      <c r="D16" s="157"/>
      <c r="E16" s="129"/>
      <c r="F16" s="157"/>
      <c r="G16" s="119">
        <f>G15+1</f>
        <v>2</v>
      </c>
    </row>
    <row r="17" spans="1:9" ht="15.75" customHeight="1">
      <c r="A17" s="119">
        <f t="shared" ref="A17:A21" si="0">A16+1</f>
        <v>3</v>
      </c>
      <c r="B17" s="122" t="str">
        <f>"Dec-"&amp;RIGHT(Automation!$B$3,2)</f>
        <v>Dec-22</v>
      </c>
      <c r="C17" s="127">
        <v>9583284.5886700004</v>
      </c>
      <c r="D17" s="157" t="s">
        <v>216</v>
      </c>
      <c r="E17" s="127">
        <v>9750399.0658500008</v>
      </c>
      <c r="F17" s="157" t="s">
        <v>931</v>
      </c>
      <c r="G17" s="119">
        <f t="shared" ref="G17:G21" si="1">G16+1</f>
        <v>3</v>
      </c>
      <c r="I17" s="126"/>
    </row>
    <row r="18" spans="1:9">
      <c r="A18" s="119">
        <f t="shared" si="0"/>
        <v>4</v>
      </c>
      <c r="B18" s="1129"/>
      <c r="C18" s="1125"/>
      <c r="D18" s="1130"/>
      <c r="E18" s="1125"/>
      <c r="F18" s="1130"/>
      <c r="G18" s="119">
        <f t="shared" si="1"/>
        <v>4</v>
      </c>
    </row>
    <row r="19" spans="1:9">
      <c r="A19" s="119">
        <f>A18+1</f>
        <v>5</v>
      </c>
      <c r="B19" s="130"/>
      <c r="C19" s="143"/>
      <c r="D19" s="130"/>
      <c r="E19" s="143"/>
      <c r="F19" s="130"/>
      <c r="G19" s="119">
        <f>G18+1</f>
        <v>5</v>
      </c>
    </row>
    <row r="20" spans="1:9">
      <c r="A20" s="119">
        <f t="shared" si="0"/>
        <v>6</v>
      </c>
      <c r="B20" s="130" t="s">
        <v>239</v>
      </c>
      <c r="C20" s="132">
        <f>(C15+C17)/2</f>
        <v>9169849.4967500009</v>
      </c>
      <c r="D20" s="207" t="str">
        <f>"Average of Line "&amp;A15&amp;" and Line "&amp;A17</f>
        <v>Average of Line 1 and Line 3</v>
      </c>
      <c r="E20" s="132">
        <f>(E15+E17)/2</f>
        <v>9334732.9401250016</v>
      </c>
      <c r="F20" s="158" t="str">
        <f>"Average of Line "&amp;A15&amp;" and Line "&amp;A17</f>
        <v>Average of Line 1 and Line 3</v>
      </c>
      <c r="G20" s="119">
        <f t="shared" si="1"/>
        <v>6</v>
      </c>
    </row>
    <row r="21" spans="1:9">
      <c r="A21" s="119">
        <f t="shared" si="0"/>
        <v>7</v>
      </c>
      <c r="B21" s="1022"/>
      <c r="C21" s="1121"/>
      <c r="D21" s="1044"/>
      <c r="E21" s="1121"/>
      <c r="F21" s="1131"/>
      <c r="G21" s="119">
        <f t="shared" si="1"/>
        <v>7</v>
      </c>
    </row>
    <row r="22" spans="1:9">
      <c r="B22" s="136"/>
      <c r="C22" s="136"/>
      <c r="D22" s="136"/>
      <c r="E22" s="136"/>
      <c r="F22" s="136"/>
    </row>
    <row r="23" spans="1:9">
      <c r="C23" s="136"/>
      <c r="D23" s="136"/>
      <c r="E23" s="159"/>
      <c r="F23" s="136"/>
    </row>
    <row r="24" spans="1:9" ht="18.75">
      <c r="A24" s="135">
        <v>1</v>
      </c>
      <c r="B24" s="136" t="s">
        <v>228</v>
      </c>
      <c r="C24" s="136"/>
      <c r="D24" s="136"/>
      <c r="E24" s="136"/>
      <c r="F24" s="136"/>
    </row>
    <row r="25" spans="1:9">
      <c r="B25" s="136" t="s">
        <v>229</v>
      </c>
      <c r="C25" s="136"/>
      <c r="D25" s="136"/>
      <c r="E25" s="136"/>
      <c r="F25" s="136"/>
    </row>
    <row r="26" spans="1:9">
      <c r="C26" s="136"/>
      <c r="D26" s="136"/>
      <c r="E26" s="136"/>
      <c r="F26" s="136"/>
    </row>
    <row r="27" spans="1:9" ht="18.75">
      <c r="A27" s="135"/>
      <c r="B27" s="136"/>
      <c r="C27" s="136"/>
      <c r="D27" s="136"/>
      <c r="E27" s="136"/>
      <c r="F27" s="136"/>
    </row>
    <row r="28" spans="1:9">
      <c r="A28" s="119"/>
      <c r="B28" s="136"/>
    </row>
    <row r="29" spans="1:9">
      <c r="A29" s="119"/>
      <c r="B29" s="136"/>
      <c r="H29" s="193"/>
    </row>
    <row r="30" spans="1:9">
      <c r="B30" s="136"/>
    </row>
    <row r="31" spans="1:9">
      <c r="B31" s="136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M4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3" style="114" bestFit="1" customWidth="1"/>
    <col min="5" max="5" width="25.140625" style="114" customWidth="1"/>
    <col min="6" max="6" width="18.5703125" style="110" customWidth="1"/>
    <col min="7" max="7" width="2.7109375" style="110" customWidth="1"/>
    <col min="8" max="8" width="62.5703125" style="110" customWidth="1"/>
    <col min="9" max="9" width="5.140625" style="109" customWidth="1"/>
    <col min="10" max="10" width="24" style="110" customWidth="1"/>
    <col min="11" max="11" width="11" style="110" customWidth="1"/>
    <col min="12" max="12" width="9.7109375" style="110" customWidth="1"/>
    <col min="13" max="13" width="9.140625" style="110" customWidth="1"/>
    <col min="14" max="14" width="14" style="110" customWidth="1"/>
    <col min="15" max="15" width="13.28515625" style="110" customWidth="1"/>
    <col min="16" max="16384" width="9.140625" style="110"/>
  </cols>
  <sheetData>
    <row r="2" spans="1:13">
      <c r="B2" s="1305" t="s">
        <v>0</v>
      </c>
      <c r="C2" s="1305"/>
      <c r="D2" s="1305"/>
      <c r="E2" s="1305"/>
      <c r="F2" s="1305"/>
      <c r="G2" s="1305"/>
      <c r="H2" s="1305"/>
    </row>
    <row r="3" spans="1:13">
      <c r="B3" s="1305" t="s">
        <v>209</v>
      </c>
      <c r="C3" s="1305"/>
      <c r="D3" s="1305"/>
      <c r="E3" s="1305"/>
      <c r="F3" s="1305"/>
      <c r="G3" s="1305"/>
      <c r="H3" s="1305"/>
    </row>
    <row r="4" spans="1:13">
      <c r="B4" s="1305" t="s">
        <v>210</v>
      </c>
      <c r="C4" s="1305"/>
      <c r="D4" s="1305"/>
      <c r="E4" s="1305"/>
      <c r="F4" s="1305"/>
      <c r="G4" s="1305"/>
      <c r="H4" s="1305"/>
    </row>
    <row r="5" spans="1:13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  <c r="G5" s="1305"/>
      <c r="H5" s="1305"/>
    </row>
    <row r="6" spans="1:13">
      <c r="B6" s="1309" t="s">
        <v>3</v>
      </c>
      <c r="C6" s="1309"/>
      <c r="D6" s="1309"/>
      <c r="E6" s="1309"/>
      <c r="F6" s="1309"/>
      <c r="G6" s="1309"/>
      <c r="H6" s="1309"/>
    </row>
    <row r="7" spans="1:13">
      <c r="B7" s="111"/>
      <c r="C7" s="112"/>
      <c r="D7" s="112"/>
      <c r="E7" s="112"/>
      <c r="F7" s="111"/>
      <c r="G7" s="111"/>
      <c r="H7" s="111"/>
    </row>
    <row r="8" spans="1:13">
      <c r="B8" s="1305" t="s">
        <v>240</v>
      </c>
      <c r="C8" s="1305"/>
      <c r="D8" s="1305"/>
      <c r="E8" s="1305"/>
      <c r="F8" s="1305"/>
      <c r="G8" s="1305"/>
      <c r="H8" s="1305"/>
    </row>
    <row r="9" spans="1:13">
      <c r="D9" s="1036"/>
      <c r="G9" s="1145"/>
    </row>
    <row r="10" spans="1:13">
      <c r="B10" s="862"/>
      <c r="C10" s="1265" t="s">
        <v>80</v>
      </c>
      <c r="D10" s="863"/>
      <c r="E10" s="863"/>
      <c r="F10" s="1265"/>
      <c r="G10" s="863"/>
      <c r="H10" s="863"/>
    </row>
    <row r="11" spans="1:13">
      <c r="B11" s="116"/>
      <c r="C11" s="109" t="s">
        <v>241</v>
      </c>
      <c r="D11" s="121"/>
      <c r="E11" s="121"/>
      <c r="F11" s="109" t="s">
        <v>241</v>
      </c>
      <c r="G11" s="121"/>
      <c r="H11" s="121"/>
      <c r="I11" s="119"/>
    </row>
    <row r="12" spans="1:13">
      <c r="A12" s="119" t="s">
        <v>4</v>
      </c>
      <c r="B12" s="120"/>
      <c r="C12" s="109" t="s">
        <v>238</v>
      </c>
      <c r="D12" s="121"/>
      <c r="E12" s="121"/>
      <c r="F12" s="109" t="s">
        <v>238</v>
      </c>
      <c r="G12" s="121"/>
      <c r="H12" s="121"/>
      <c r="I12" s="119" t="s">
        <v>4</v>
      </c>
    </row>
    <row r="13" spans="1:13" ht="18.75">
      <c r="A13" s="119" t="s">
        <v>5</v>
      </c>
      <c r="B13" s="1021" t="s">
        <v>124</v>
      </c>
      <c r="C13" s="1118" t="s">
        <v>214</v>
      </c>
      <c r="D13" s="1119"/>
      <c r="E13" s="1119" t="s">
        <v>8</v>
      </c>
      <c r="F13" s="1118" t="s">
        <v>215</v>
      </c>
      <c r="G13" s="1119"/>
      <c r="H13" s="1119" t="s">
        <v>8</v>
      </c>
      <c r="I13" s="119" t="s">
        <v>5</v>
      </c>
    </row>
    <row r="14" spans="1:13" ht="18.75">
      <c r="A14" s="119">
        <v>1</v>
      </c>
      <c r="B14" s="122" t="str">
        <f>"Dec-"&amp;RIGHT(Automation!$B$3-1,2)</f>
        <v>Dec-21</v>
      </c>
      <c r="C14" s="354">
        <v>7470320.8718600003</v>
      </c>
      <c r="D14" s="1276">
        <v>3</v>
      </c>
      <c r="E14" s="1246" t="s">
        <v>216</v>
      </c>
      <c r="F14" s="463">
        <v>7334224.1276200004</v>
      </c>
      <c r="G14" s="1276">
        <v>3</v>
      </c>
      <c r="H14" s="1246" t="s">
        <v>930</v>
      </c>
      <c r="I14" s="119">
        <f>A14</f>
        <v>1</v>
      </c>
      <c r="J14" s="126"/>
      <c r="M14" s="155"/>
    </row>
    <row r="15" spans="1:13">
      <c r="A15" s="119">
        <f>A14+1</f>
        <v>2</v>
      </c>
      <c r="B15" s="122" t="str">
        <f>"Jan-"&amp;RIGHT(Automation!$B$3,2)</f>
        <v>Jan-22</v>
      </c>
      <c r="C15" s="145">
        <v>7488649.6757399999</v>
      </c>
      <c r="D15" s="127"/>
      <c r="E15" s="1270"/>
      <c r="F15" s="450">
        <v>7352710.2910500001</v>
      </c>
      <c r="G15" s="129"/>
      <c r="H15" s="1270"/>
      <c r="I15" s="119">
        <f>I14+1</f>
        <v>2</v>
      </c>
      <c r="J15" s="155"/>
      <c r="M15" s="155"/>
    </row>
    <row r="16" spans="1:13">
      <c r="A16" s="119">
        <f t="shared" ref="A16:A36" si="0">A15+1</f>
        <v>3</v>
      </c>
      <c r="B16" s="122" t="s">
        <v>217</v>
      </c>
      <c r="C16" s="145">
        <v>7500007.8313300004</v>
      </c>
      <c r="D16" s="127"/>
      <c r="E16" s="1270"/>
      <c r="F16" s="450">
        <v>7363811.3706900002</v>
      </c>
      <c r="G16" s="129"/>
      <c r="H16" s="1270"/>
      <c r="I16" s="119">
        <f t="shared" ref="I16:I36" si="1">I15+1</f>
        <v>3</v>
      </c>
      <c r="J16" s="155"/>
      <c r="M16" s="155"/>
    </row>
    <row r="17" spans="1:13">
      <c r="A17" s="119">
        <f t="shared" si="0"/>
        <v>4</v>
      </c>
      <c r="B17" s="122" t="s">
        <v>218</v>
      </c>
      <c r="C17" s="145">
        <v>7515129.6543100001</v>
      </c>
      <c r="D17" s="127"/>
      <c r="E17" s="1270"/>
      <c r="F17" s="450">
        <v>7381505.7523499997</v>
      </c>
      <c r="G17" s="129"/>
      <c r="H17" s="1270"/>
      <c r="I17" s="119">
        <f t="shared" si="1"/>
        <v>4</v>
      </c>
      <c r="J17" s="155"/>
      <c r="M17" s="155"/>
    </row>
    <row r="18" spans="1:13">
      <c r="A18" s="119">
        <f t="shared" si="0"/>
        <v>5</v>
      </c>
      <c r="B18" s="122" t="s">
        <v>219</v>
      </c>
      <c r="C18" s="145">
        <v>7527655.5972300004</v>
      </c>
      <c r="D18" s="127"/>
      <c r="E18" s="1270"/>
      <c r="F18" s="450">
        <v>7394031.6952600004</v>
      </c>
      <c r="G18" s="129"/>
      <c r="H18" s="1270"/>
      <c r="I18" s="119">
        <f t="shared" si="1"/>
        <v>5</v>
      </c>
      <c r="J18" s="155"/>
      <c r="M18" s="155"/>
    </row>
    <row r="19" spans="1:13">
      <c r="A19" s="119">
        <f t="shared" si="0"/>
        <v>6</v>
      </c>
      <c r="B19" s="122" t="s">
        <v>161</v>
      </c>
      <c r="C19" s="145">
        <v>7546881.9770799996</v>
      </c>
      <c r="D19" s="127"/>
      <c r="E19" s="1270"/>
      <c r="F19" s="450">
        <v>7413258.0751099996</v>
      </c>
      <c r="G19" s="129"/>
      <c r="H19" s="1270"/>
      <c r="I19" s="119">
        <f t="shared" si="1"/>
        <v>6</v>
      </c>
      <c r="J19" s="155"/>
      <c r="M19" s="155"/>
    </row>
    <row r="20" spans="1:13">
      <c r="A20" s="119">
        <f>A19+1</f>
        <v>7</v>
      </c>
      <c r="B20" s="122" t="s">
        <v>220</v>
      </c>
      <c r="C20" s="145">
        <v>7560230.87017</v>
      </c>
      <c r="D20" s="127"/>
      <c r="E20" s="1270"/>
      <c r="F20" s="450">
        <v>7421392.4718199996</v>
      </c>
      <c r="G20" s="129"/>
      <c r="H20" s="1270"/>
      <c r="I20" s="119">
        <f>I19+1</f>
        <v>7</v>
      </c>
      <c r="J20" s="155"/>
      <c r="M20" s="155"/>
    </row>
    <row r="21" spans="1:13">
      <c r="A21" s="119">
        <f t="shared" si="0"/>
        <v>8</v>
      </c>
      <c r="B21" s="122" t="s">
        <v>221</v>
      </c>
      <c r="C21" s="145">
        <v>7597527.1759900004</v>
      </c>
      <c r="D21" s="127"/>
      <c r="E21" s="1270"/>
      <c r="F21" s="450">
        <v>7458684.0607000003</v>
      </c>
      <c r="G21" s="129"/>
      <c r="H21" s="1270"/>
      <c r="I21" s="119">
        <f t="shared" si="1"/>
        <v>8</v>
      </c>
      <c r="J21" s="155"/>
      <c r="M21" s="155"/>
    </row>
    <row r="22" spans="1:13">
      <c r="A22" s="119">
        <f t="shared" si="0"/>
        <v>9</v>
      </c>
      <c r="B22" s="122" t="s">
        <v>222</v>
      </c>
      <c r="C22" s="145">
        <v>7615117.6619600002</v>
      </c>
      <c r="D22" s="127"/>
      <c r="E22" s="1270"/>
      <c r="F22" s="450">
        <v>7476274.4999900004</v>
      </c>
      <c r="G22" s="129"/>
      <c r="H22" s="1270"/>
      <c r="I22" s="119">
        <f t="shared" si="1"/>
        <v>9</v>
      </c>
      <c r="J22" s="155"/>
      <c r="M22" s="155"/>
    </row>
    <row r="23" spans="1:13">
      <c r="A23" s="119">
        <f t="shared" si="0"/>
        <v>10</v>
      </c>
      <c r="B23" s="122" t="s">
        <v>223</v>
      </c>
      <c r="C23" s="145">
        <v>7653418.57608</v>
      </c>
      <c r="D23" s="127"/>
      <c r="E23" s="1270"/>
      <c r="F23" s="450">
        <v>7514162.0298199998</v>
      </c>
      <c r="G23" s="129"/>
      <c r="H23" s="1270"/>
      <c r="I23" s="119">
        <f t="shared" si="1"/>
        <v>10</v>
      </c>
      <c r="J23" s="155"/>
      <c r="M23" s="155"/>
    </row>
    <row r="24" spans="1:13">
      <c r="A24" s="119">
        <f t="shared" si="0"/>
        <v>11</v>
      </c>
      <c r="B24" s="122" t="s">
        <v>224</v>
      </c>
      <c r="C24" s="145">
        <v>7723517.4364</v>
      </c>
      <c r="D24" s="127"/>
      <c r="E24" s="1270"/>
      <c r="F24" s="450">
        <v>7584187.9392600004</v>
      </c>
      <c r="G24" s="129"/>
      <c r="H24" s="1270"/>
      <c r="I24" s="119">
        <f t="shared" si="1"/>
        <v>11</v>
      </c>
      <c r="J24" s="155"/>
      <c r="M24" s="155"/>
    </row>
    <row r="25" spans="1:13">
      <c r="A25" s="119">
        <f t="shared" si="0"/>
        <v>12</v>
      </c>
      <c r="B25" s="122" t="s">
        <v>225</v>
      </c>
      <c r="C25" s="145">
        <v>7834752.3818399999</v>
      </c>
      <c r="D25" s="127"/>
      <c r="E25" s="1270"/>
      <c r="F25" s="450">
        <v>7695791.8399099996</v>
      </c>
      <c r="G25" s="129"/>
      <c r="H25" s="1270"/>
      <c r="I25" s="119">
        <f t="shared" si="1"/>
        <v>12</v>
      </c>
      <c r="J25" s="155"/>
      <c r="M25" s="155"/>
    </row>
    <row r="26" spans="1:13">
      <c r="A26" s="119">
        <f t="shared" si="0"/>
        <v>13</v>
      </c>
      <c r="B26" s="1038" t="str">
        <f>"Dec-"&amp;RIGHT(Automation!$B$3,2)</f>
        <v>Dec-22</v>
      </c>
      <c r="C26" s="1266">
        <v>7943479.0554299997</v>
      </c>
      <c r="D26" s="1120"/>
      <c r="E26" s="1271" t="s">
        <v>216</v>
      </c>
      <c r="F26" s="1274">
        <v>7802920.2435900001</v>
      </c>
      <c r="G26" s="1275"/>
      <c r="H26" s="1246" t="s">
        <v>931</v>
      </c>
      <c r="I26" s="119">
        <f t="shared" si="1"/>
        <v>13</v>
      </c>
      <c r="J26" s="126"/>
      <c r="M26" s="155"/>
    </row>
    <row r="27" spans="1:13">
      <c r="A27" s="119">
        <f t="shared" si="0"/>
        <v>14</v>
      </c>
      <c r="B27" s="130"/>
      <c r="C27" s="1267"/>
      <c r="D27" s="143"/>
      <c r="E27" s="1272"/>
      <c r="F27" s="155"/>
      <c r="G27" s="143"/>
      <c r="H27" s="932"/>
      <c r="I27" s="119">
        <f t="shared" si="1"/>
        <v>14</v>
      </c>
    </row>
    <row r="28" spans="1:13">
      <c r="A28" s="119">
        <f t="shared" si="0"/>
        <v>15</v>
      </c>
      <c r="B28" s="130" t="s">
        <v>226</v>
      </c>
      <c r="C28" s="446">
        <f>SUM(C14:C26)</f>
        <v>98976688.76541999</v>
      </c>
      <c r="D28" s="132"/>
      <c r="E28" s="203" t="str">
        <f>"Sum Lines "&amp;A14&amp;" thru "&amp;A26</f>
        <v>Sum Lines 1 thru 13</v>
      </c>
      <c r="F28" s="446">
        <f>SUM(F14:F26)</f>
        <v>97192954.397169992</v>
      </c>
      <c r="G28" s="132"/>
      <c r="H28" s="203" t="str">
        <f>"Sum Lines "&amp;A14&amp;" thru "&amp;A26</f>
        <v>Sum Lines 1 thru 13</v>
      </c>
      <c r="I28" s="119">
        <f t="shared" si="1"/>
        <v>15</v>
      </c>
    </row>
    <row r="29" spans="1:13">
      <c r="A29" s="119">
        <f t="shared" si="0"/>
        <v>16</v>
      </c>
      <c r="B29" s="1022"/>
      <c r="C29" s="1268"/>
      <c r="D29" s="1121"/>
      <c r="E29" s="1273"/>
      <c r="F29" s="1268"/>
      <c r="G29" s="1121"/>
      <c r="H29" s="1273"/>
      <c r="I29" s="119">
        <f t="shared" si="1"/>
        <v>16</v>
      </c>
    </row>
    <row r="30" spans="1:13">
      <c r="A30" s="119">
        <f t="shared" si="0"/>
        <v>17</v>
      </c>
      <c r="B30" s="130"/>
      <c r="C30" s="155"/>
      <c r="D30" s="143"/>
      <c r="E30" s="1247"/>
      <c r="F30" s="155"/>
      <c r="G30" s="143"/>
      <c r="H30" s="1247"/>
      <c r="I30" s="119">
        <f t="shared" si="1"/>
        <v>17</v>
      </c>
    </row>
    <row r="31" spans="1:13">
      <c r="A31" s="119">
        <f t="shared" si="0"/>
        <v>18</v>
      </c>
      <c r="B31" s="130" t="s">
        <v>227</v>
      </c>
      <c r="C31" s="446">
        <f>C28/13</f>
        <v>7613591.4434938449</v>
      </c>
      <c r="D31" s="132"/>
      <c r="E31" s="203" t="str">
        <f>"Average of Lines "&amp;A14&amp;" thru "&amp;A26</f>
        <v>Average of Lines 1 thru 13</v>
      </c>
      <c r="F31" s="446">
        <f>F28/13</f>
        <v>7476381.1074746149</v>
      </c>
      <c r="G31" s="132"/>
      <c r="H31" s="1246" t="s">
        <v>932</v>
      </c>
      <c r="I31" s="119">
        <f t="shared" si="1"/>
        <v>18</v>
      </c>
      <c r="J31" s="126"/>
    </row>
    <row r="32" spans="1:13">
      <c r="A32" s="119">
        <f t="shared" si="0"/>
        <v>19</v>
      </c>
      <c r="B32" s="1022"/>
      <c r="C32" s="1269"/>
      <c r="D32" s="1122"/>
      <c r="E32" s="1122"/>
      <c r="F32" s="1269"/>
      <c r="G32" s="1122"/>
      <c r="H32" s="1122"/>
      <c r="I32" s="119">
        <f t="shared" si="1"/>
        <v>19</v>
      </c>
    </row>
    <row r="33" spans="1:9">
      <c r="A33" s="119">
        <f t="shared" si="0"/>
        <v>20</v>
      </c>
      <c r="B33" s="136"/>
      <c r="C33" s="136"/>
      <c r="D33" s="136"/>
      <c r="E33" s="136"/>
      <c r="F33" s="136"/>
      <c r="G33" s="136"/>
      <c r="H33" s="136"/>
      <c r="I33" s="119">
        <f t="shared" si="1"/>
        <v>20</v>
      </c>
    </row>
    <row r="34" spans="1:9" ht="18.75">
      <c r="A34" s="119">
        <f t="shared" si="0"/>
        <v>21</v>
      </c>
      <c r="B34" s="136" t="s">
        <v>242</v>
      </c>
      <c r="C34" s="136"/>
      <c r="D34" s="136"/>
      <c r="E34" s="136"/>
      <c r="F34" s="1134">
        <f>'AD-6A'!E31</f>
        <v>27000</v>
      </c>
      <c r="G34" s="593"/>
      <c r="H34" s="119" t="s">
        <v>47</v>
      </c>
      <c r="I34" s="119">
        <f t="shared" si="1"/>
        <v>21</v>
      </c>
    </row>
    <row r="35" spans="1:9">
      <c r="A35" s="119">
        <f t="shared" si="0"/>
        <v>22</v>
      </c>
      <c r="B35" s="136"/>
      <c r="C35" s="136"/>
      <c r="D35" s="136"/>
      <c r="E35" s="136"/>
      <c r="F35" s="136"/>
      <c r="G35" s="136"/>
      <c r="H35" s="136"/>
      <c r="I35" s="119">
        <f t="shared" si="1"/>
        <v>22</v>
      </c>
    </row>
    <row r="36" spans="1:9" ht="16.5" thickBot="1">
      <c r="A36" s="119">
        <f t="shared" si="0"/>
        <v>23</v>
      </c>
      <c r="B36" s="110" t="s">
        <v>243</v>
      </c>
      <c r="C36" s="136"/>
      <c r="D36" s="136"/>
      <c r="E36" s="136"/>
      <c r="F36" s="327">
        <f>F31+F34</f>
        <v>7503381.1074746149</v>
      </c>
      <c r="G36" s="328"/>
      <c r="H36" s="119" t="str">
        <f>"Line "&amp;A31&amp;" + Line "&amp;A34</f>
        <v>Line 18 + Line 21</v>
      </c>
      <c r="I36" s="119">
        <f t="shared" si="1"/>
        <v>23</v>
      </c>
    </row>
    <row r="37" spans="1:9" ht="16.5" thickTop="1">
      <c r="A37" s="119"/>
      <c r="B37" s="136"/>
      <c r="C37" s="136"/>
      <c r="D37" s="136"/>
      <c r="E37" s="136"/>
      <c r="F37" s="136"/>
      <c r="G37" s="136"/>
      <c r="H37" s="136"/>
    </row>
    <row r="38" spans="1:9">
      <c r="E38" s="136"/>
      <c r="F38" s="159"/>
      <c r="G38" s="159"/>
      <c r="H38" s="136"/>
    </row>
    <row r="39" spans="1:9" ht="18.75">
      <c r="A39" s="135">
        <v>1</v>
      </c>
      <c r="B39" s="136" t="s">
        <v>228</v>
      </c>
      <c r="C39" s="136"/>
      <c r="D39" s="136"/>
      <c r="E39" s="136"/>
      <c r="F39" s="136"/>
      <c r="G39" s="136"/>
      <c r="H39" s="136"/>
    </row>
    <row r="40" spans="1:9">
      <c r="B40" s="136" t="s">
        <v>229</v>
      </c>
      <c r="C40" s="161"/>
      <c r="D40" s="161"/>
      <c r="E40" s="136"/>
      <c r="F40" s="136"/>
      <c r="G40" s="136"/>
      <c r="H40" s="136"/>
    </row>
    <row r="41" spans="1:9">
      <c r="B41" s="136"/>
      <c r="C41" s="161"/>
      <c r="D41" s="161"/>
      <c r="E41" s="136"/>
      <c r="F41" s="136"/>
      <c r="G41" s="136"/>
      <c r="H41" s="136"/>
    </row>
    <row r="42" spans="1:9" ht="18.75">
      <c r="A42" s="135">
        <v>2</v>
      </c>
      <c r="B42" s="136" t="s">
        <v>244</v>
      </c>
      <c r="C42" s="136"/>
      <c r="D42" s="136"/>
      <c r="E42" s="136"/>
      <c r="F42" s="136"/>
      <c r="G42" s="136"/>
      <c r="H42" s="136"/>
    </row>
    <row r="43" spans="1:9">
      <c r="B43" s="136"/>
      <c r="C43" s="136"/>
      <c r="D43" s="136"/>
      <c r="E43" s="136"/>
      <c r="F43" s="136"/>
      <c r="G43" s="136"/>
      <c r="H43" s="136"/>
    </row>
    <row r="44" spans="1:9" ht="18.75">
      <c r="A44" s="135">
        <v>3</v>
      </c>
      <c r="B44" s="219" t="s">
        <v>1046</v>
      </c>
      <c r="C44" s="136"/>
      <c r="D44" s="136"/>
      <c r="E44" s="110"/>
    </row>
    <row r="45" spans="1:9">
      <c r="B45" s="219" t="s">
        <v>1045</v>
      </c>
    </row>
    <row r="47" spans="1:9">
      <c r="A47" s="1095"/>
    </row>
  </sheetData>
  <mergeCells count="6">
    <mergeCell ref="B8:H8"/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72" orientation="landscape" r:id="rId1"/>
  <headerFooter scaleWithDoc="0">
    <oddFooter>&amp;C&amp;"Times New Roman,Regular"&amp;10&amp;A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F8D0-702E-479C-91B7-24EB0EF37AA6}">
  <sheetPr>
    <pageSetUpPr fitToPage="1"/>
  </sheetPr>
  <dimension ref="A2:I4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5" customWidth="1"/>
    <col min="5" max="5" width="18.5703125" style="110" customWidth="1"/>
    <col min="6" max="6" width="57.710937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9">
      <c r="B2" s="1305" t="s">
        <v>0</v>
      </c>
      <c r="C2" s="1305"/>
      <c r="D2" s="1305"/>
      <c r="E2" s="1305"/>
      <c r="F2" s="1305"/>
    </row>
    <row r="3" spans="1:9">
      <c r="B3" s="1305" t="s">
        <v>209</v>
      </c>
      <c r="C3" s="1305"/>
      <c r="D3" s="1305"/>
      <c r="E3" s="1305"/>
      <c r="F3" s="1305"/>
    </row>
    <row r="4" spans="1:9">
      <c r="B4" s="1305" t="s">
        <v>210</v>
      </c>
      <c r="C4" s="1305"/>
      <c r="D4" s="1305"/>
      <c r="E4" s="1305"/>
      <c r="F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9">
      <c r="B6" s="1309" t="s">
        <v>3</v>
      </c>
      <c r="C6" s="1309"/>
      <c r="D6" s="1309"/>
      <c r="E6" s="1309"/>
      <c r="F6" s="1309"/>
    </row>
    <row r="7" spans="1:9">
      <c r="B7" s="111"/>
      <c r="C7" s="112"/>
      <c r="D7" s="113"/>
      <c r="E7" s="111"/>
      <c r="F7" s="111"/>
    </row>
    <row r="8" spans="1:9">
      <c r="B8" s="1305" t="s">
        <v>240</v>
      </c>
      <c r="C8" s="1305"/>
      <c r="D8" s="1305"/>
      <c r="E8" s="1305"/>
      <c r="F8" s="1305"/>
    </row>
    <row r="10" spans="1:9">
      <c r="B10" s="862"/>
      <c r="C10" s="863" t="s">
        <v>80</v>
      </c>
      <c r="D10" s="864"/>
      <c r="E10" s="863"/>
      <c r="F10" s="864"/>
    </row>
    <row r="11" spans="1:9">
      <c r="B11" s="116"/>
      <c r="C11" s="109" t="s">
        <v>241</v>
      </c>
      <c r="D11" s="116"/>
      <c r="E11" s="117" t="s">
        <v>241</v>
      </c>
      <c r="F11" s="118"/>
    </row>
    <row r="12" spans="1:9">
      <c r="A12" s="119" t="s">
        <v>4</v>
      </c>
      <c r="B12" s="120"/>
      <c r="C12" s="109" t="s">
        <v>238</v>
      </c>
      <c r="D12" s="116"/>
      <c r="E12" s="121" t="s">
        <v>238</v>
      </c>
      <c r="F12" s="118"/>
      <c r="G12" s="119" t="s">
        <v>4</v>
      </c>
    </row>
    <row r="13" spans="1:9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245</v>
      </c>
      <c r="F13" s="1021" t="s">
        <v>8</v>
      </c>
      <c r="G13" s="119" t="s">
        <v>5</v>
      </c>
    </row>
    <row r="14" spans="1:9">
      <c r="A14" s="119">
        <v>1</v>
      </c>
      <c r="B14" s="122" t="str">
        <f>"Dec-"&amp;RIGHT(Automation!$B$3-1,2)</f>
        <v>Dec-21</v>
      </c>
      <c r="C14" s="123">
        <v>0</v>
      </c>
      <c r="D14" s="157" t="s">
        <v>216</v>
      </c>
      <c r="E14" s="129">
        <v>27000</v>
      </c>
      <c r="F14" s="157" t="s">
        <v>216</v>
      </c>
      <c r="G14" s="119">
        <f>A14</f>
        <v>1</v>
      </c>
      <c r="I14" s="126"/>
    </row>
    <row r="15" spans="1:9">
      <c r="A15" s="119">
        <f>A14+1</f>
        <v>2</v>
      </c>
      <c r="B15" s="122" t="str">
        <f>"Jan-"&amp;RIGHT(Automation!$B$3,2)</f>
        <v>Jan-22</v>
      </c>
      <c r="C15" s="127">
        <v>0</v>
      </c>
      <c r="D15" s="128"/>
      <c r="E15" s="129">
        <v>27000</v>
      </c>
      <c r="F15" s="128"/>
      <c r="G15" s="119">
        <f>G14+1</f>
        <v>2</v>
      </c>
    </row>
    <row r="16" spans="1:9">
      <c r="A16" s="119">
        <f t="shared" ref="A16:A32" si="0">A15+1</f>
        <v>3</v>
      </c>
      <c r="B16" s="122" t="s">
        <v>217</v>
      </c>
      <c r="C16" s="127">
        <v>0</v>
      </c>
      <c r="D16" s="128"/>
      <c r="E16" s="129">
        <v>27000</v>
      </c>
      <c r="F16" s="128"/>
      <c r="G16" s="119">
        <f t="shared" ref="G16:G32" si="1">G15+1</f>
        <v>3</v>
      </c>
    </row>
    <row r="17" spans="1:9">
      <c r="A17" s="119">
        <f t="shared" si="0"/>
        <v>4</v>
      </c>
      <c r="B17" s="122" t="s">
        <v>218</v>
      </c>
      <c r="C17" s="127">
        <v>0</v>
      </c>
      <c r="D17" s="128"/>
      <c r="E17" s="129">
        <v>27000</v>
      </c>
      <c r="F17" s="128"/>
      <c r="G17" s="119">
        <f t="shared" si="1"/>
        <v>4</v>
      </c>
    </row>
    <row r="18" spans="1:9">
      <c r="A18" s="119">
        <f t="shared" si="0"/>
        <v>5</v>
      </c>
      <c r="B18" s="122" t="s">
        <v>219</v>
      </c>
      <c r="C18" s="127">
        <v>0</v>
      </c>
      <c r="D18" s="128"/>
      <c r="E18" s="129">
        <v>27000</v>
      </c>
      <c r="F18" s="128"/>
      <c r="G18" s="119">
        <f t="shared" si="1"/>
        <v>5</v>
      </c>
    </row>
    <row r="19" spans="1:9">
      <c r="A19" s="119">
        <f t="shared" si="0"/>
        <v>6</v>
      </c>
      <c r="B19" s="122" t="s">
        <v>161</v>
      </c>
      <c r="C19" s="127">
        <v>0</v>
      </c>
      <c r="D19" s="128"/>
      <c r="E19" s="129">
        <v>27000</v>
      </c>
      <c r="F19" s="128"/>
      <c r="G19" s="119">
        <f t="shared" si="1"/>
        <v>6</v>
      </c>
    </row>
    <row r="20" spans="1:9">
      <c r="A20" s="119">
        <f>A19+1</f>
        <v>7</v>
      </c>
      <c r="B20" s="122" t="s">
        <v>220</v>
      </c>
      <c r="C20" s="127">
        <v>0</v>
      </c>
      <c r="D20" s="128"/>
      <c r="E20" s="129">
        <v>27000</v>
      </c>
      <c r="F20" s="128"/>
      <c r="G20" s="119">
        <f>G19+1</f>
        <v>7</v>
      </c>
    </row>
    <row r="21" spans="1:9">
      <c r="A21" s="119">
        <f t="shared" si="0"/>
        <v>8</v>
      </c>
      <c r="B21" s="122" t="s">
        <v>221</v>
      </c>
      <c r="C21" s="127">
        <v>0</v>
      </c>
      <c r="D21" s="128"/>
      <c r="E21" s="129">
        <v>27000</v>
      </c>
      <c r="F21" s="128"/>
      <c r="G21" s="119">
        <f t="shared" si="1"/>
        <v>8</v>
      </c>
    </row>
    <row r="22" spans="1:9">
      <c r="A22" s="119">
        <f t="shared" si="0"/>
        <v>9</v>
      </c>
      <c r="B22" s="122" t="s">
        <v>222</v>
      </c>
      <c r="C22" s="127">
        <v>0</v>
      </c>
      <c r="D22" s="128"/>
      <c r="E22" s="129">
        <v>27000</v>
      </c>
      <c r="F22" s="128"/>
      <c r="G22" s="119">
        <f t="shared" si="1"/>
        <v>9</v>
      </c>
    </row>
    <row r="23" spans="1:9">
      <c r="A23" s="119">
        <f t="shared" si="0"/>
        <v>10</v>
      </c>
      <c r="B23" s="122" t="s">
        <v>223</v>
      </c>
      <c r="C23" s="127">
        <v>0</v>
      </c>
      <c r="D23" s="128"/>
      <c r="E23" s="129">
        <v>27000</v>
      </c>
      <c r="F23" s="128"/>
      <c r="G23" s="119">
        <f t="shared" si="1"/>
        <v>10</v>
      </c>
    </row>
    <row r="24" spans="1:9">
      <c r="A24" s="119">
        <f t="shared" si="0"/>
        <v>11</v>
      </c>
      <c r="B24" s="122" t="s">
        <v>224</v>
      </c>
      <c r="C24" s="127">
        <v>0</v>
      </c>
      <c r="D24" s="128"/>
      <c r="E24" s="129">
        <v>27000</v>
      </c>
      <c r="F24" s="128"/>
      <c r="G24" s="119">
        <f t="shared" si="1"/>
        <v>11</v>
      </c>
    </row>
    <row r="25" spans="1:9">
      <c r="A25" s="119">
        <f t="shared" si="0"/>
        <v>12</v>
      </c>
      <c r="B25" s="122" t="s">
        <v>225</v>
      </c>
      <c r="C25" s="127">
        <v>0</v>
      </c>
      <c r="D25" s="128"/>
      <c r="E25" s="129">
        <v>27000</v>
      </c>
      <c r="F25" s="128"/>
      <c r="G25" s="119">
        <f t="shared" si="1"/>
        <v>12</v>
      </c>
    </row>
    <row r="26" spans="1:9">
      <c r="A26" s="119">
        <f t="shared" si="0"/>
        <v>13</v>
      </c>
      <c r="B26" s="1038" t="str">
        <f>"Dec-"&amp;RIGHT(Automation!$B$3,2)</f>
        <v>Dec-22</v>
      </c>
      <c r="C26" s="1120">
        <v>0</v>
      </c>
      <c r="D26" s="1027" t="s">
        <v>216</v>
      </c>
      <c r="E26" s="1132">
        <v>27000</v>
      </c>
      <c r="F26" s="158" t="str">
        <f>Automation!B3&amp;" Form 1; Page 213; Line 3; Col. f"</f>
        <v>2022 Form 1; Page 213; Line 3; Col. f</v>
      </c>
      <c r="G26" s="119">
        <f t="shared" si="1"/>
        <v>13</v>
      </c>
      <c r="I26" s="126"/>
    </row>
    <row r="27" spans="1:9">
      <c r="A27" s="119">
        <f t="shared" si="0"/>
        <v>14</v>
      </c>
      <c r="B27" s="130"/>
      <c r="C27" s="932"/>
      <c r="D27" s="862"/>
      <c r="E27" s="131"/>
      <c r="F27" s="862"/>
      <c r="G27" s="119">
        <f t="shared" si="1"/>
        <v>14</v>
      </c>
    </row>
    <row r="28" spans="1:9">
      <c r="A28" s="119">
        <f t="shared" si="0"/>
        <v>15</v>
      </c>
      <c r="B28" s="130" t="s">
        <v>226</v>
      </c>
      <c r="C28" s="132">
        <f>SUM(C14:C26)</f>
        <v>0</v>
      </c>
      <c r="D28" s="158" t="str">
        <f>"Sum Lines "&amp;A14&amp;" thru "&amp;A26</f>
        <v>Sum Lines 1 thru 13</v>
      </c>
      <c r="E28" s="132">
        <f>SUM(E14:E26)</f>
        <v>351000</v>
      </c>
      <c r="F28" s="158" t="str">
        <f>"Sum Lines "&amp;A14&amp;" thru "&amp;A26</f>
        <v>Sum Lines 1 thru 13</v>
      </c>
      <c r="G28" s="119">
        <f t="shared" si="1"/>
        <v>15</v>
      </c>
    </row>
    <row r="29" spans="1:9">
      <c r="A29" s="119">
        <f t="shared" si="0"/>
        <v>16</v>
      </c>
      <c r="B29" s="1022"/>
      <c r="C29" s="1121"/>
      <c r="D29" s="1022"/>
      <c r="E29" s="1121"/>
      <c r="F29" s="1022"/>
      <c r="G29" s="119">
        <f t="shared" si="1"/>
        <v>16</v>
      </c>
    </row>
    <row r="30" spans="1:9">
      <c r="A30" s="119">
        <f t="shared" si="0"/>
        <v>17</v>
      </c>
      <c r="B30" s="130"/>
      <c r="C30" s="132"/>
      <c r="D30" s="130"/>
      <c r="E30" s="132"/>
      <c r="F30" s="130"/>
      <c r="G30" s="119">
        <f t="shared" si="1"/>
        <v>17</v>
      </c>
    </row>
    <row r="31" spans="1:9">
      <c r="A31" s="119">
        <f t="shared" si="0"/>
        <v>18</v>
      </c>
      <c r="B31" s="130" t="s">
        <v>227</v>
      </c>
      <c r="C31" s="132">
        <f>C28/13</f>
        <v>0</v>
      </c>
      <c r="D31" s="158" t="str">
        <f>"Average of Lines "&amp;A14&amp;" thru "&amp;A26</f>
        <v>Average of Lines 1 thru 13</v>
      </c>
      <c r="E31" s="132">
        <f>E28/13</f>
        <v>27000</v>
      </c>
      <c r="F31" s="158" t="str">
        <f>"Average of Lines "&amp;A14&amp;" thru "&amp;A26</f>
        <v>Average of Lines 1 thru 13</v>
      </c>
      <c r="G31" s="119">
        <f t="shared" si="1"/>
        <v>18</v>
      </c>
      <c r="H31" s="126"/>
      <c r="I31" s="126"/>
    </row>
    <row r="32" spans="1:9">
      <c r="A32" s="119">
        <f t="shared" si="0"/>
        <v>19</v>
      </c>
      <c r="B32" s="1022"/>
      <c r="C32" s="1122"/>
      <c r="D32" s="1022"/>
      <c r="E32" s="1122"/>
      <c r="F32" s="1022"/>
      <c r="G32" s="119">
        <f t="shared" si="1"/>
        <v>19</v>
      </c>
    </row>
    <row r="33" spans="1:5">
      <c r="A33" s="119"/>
      <c r="C33" s="134"/>
      <c r="D33" s="110"/>
      <c r="E33" s="134"/>
    </row>
    <row r="34" spans="1:5">
      <c r="C34" s="134"/>
      <c r="D34" s="110"/>
      <c r="E34" s="134"/>
    </row>
    <row r="35" spans="1:5" ht="18.75">
      <c r="A35" s="135">
        <v>1</v>
      </c>
      <c r="B35" s="136" t="s">
        <v>246</v>
      </c>
      <c r="C35" s="134"/>
      <c r="D35" s="110"/>
      <c r="E35" s="134"/>
    </row>
    <row r="36" spans="1:5">
      <c r="B36" s="136"/>
      <c r="C36" s="134"/>
      <c r="D36" s="110"/>
      <c r="E36" s="134"/>
    </row>
    <row r="37" spans="1:5">
      <c r="B37" s="136"/>
      <c r="C37" s="134"/>
      <c r="D37" s="110"/>
      <c r="E37" s="134"/>
    </row>
    <row r="38" spans="1:5">
      <c r="B38" s="136"/>
      <c r="C38" s="134"/>
      <c r="D38" s="110"/>
      <c r="E38" s="134"/>
    </row>
    <row r="39" spans="1:5">
      <c r="C39" s="137"/>
      <c r="E39" s="134"/>
    </row>
    <row r="40" spans="1:5">
      <c r="C40" s="137"/>
      <c r="E40" s="134"/>
    </row>
    <row r="41" spans="1:5">
      <c r="C41" s="137"/>
      <c r="E41" s="134"/>
    </row>
    <row r="42" spans="1:5">
      <c r="C42" s="137"/>
      <c r="E42" s="134"/>
    </row>
    <row r="43" spans="1:5">
      <c r="C43" s="137"/>
      <c r="E43" s="134"/>
    </row>
    <row r="44" spans="1:5">
      <c r="C44" s="137"/>
      <c r="E44" s="134"/>
    </row>
    <row r="45" spans="1:5">
      <c r="C45" s="137"/>
      <c r="E45" s="134"/>
    </row>
    <row r="46" spans="1:5">
      <c r="C46" s="137"/>
      <c r="E46" s="134"/>
    </row>
    <row r="47" spans="1:5">
      <c r="C47" s="137"/>
      <c r="E47" s="134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70"/>
  <sheetViews>
    <sheetView zoomScale="80" zoomScaleNormal="80" workbookViewId="0"/>
  </sheetViews>
  <sheetFormatPr defaultColWidth="9.140625" defaultRowHeight="15.75"/>
  <cols>
    <col min="1" max="1" width="5.140625" style="119" customWidth="1"/>
    <col min="2" max="2" width="11.140625" style="119" customWidth="1"/>
    <col min="3" max="3" width="32.28515625" style="136" customWidth="1"/>
    <col min="4" max="10" width="18.5703125" style="189" customWidth="1"/>
    <col min="11" max="11" width="18.5703125" style="136" customWidth="1"/>
    <col min="12" max="12" width="24" style="136" customWidth="1"/>
    <col min="13" max="13" width="5.140625" style="119" customWidth="1"/>
    <col min="14" max="14" width="11.7109375" style="136" bestFit="1" customWidth="1"/>
    <col min="15" max="15" width="13.140625" style="136" customWidth="1"/>
    <col min="16" max="16384" width="9.140625" style="136"/>
  </cols>
  <sheetData>
    <row r="1" spans="1:13">
      <c r="C1" s="119"/>
    </row>
    <row r="2" spans="1:13" s="110" customFormat="1">
      <c r="A2" s="109"/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09"/>
    </row>
    <row r="3" spans="1:13" s="110" customFormat="1">
      <c r="A3" s="109"/>
      <c r="B3" s="1305" t="s">
        <v>247</v>
      </c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09"/>
    </row>
    <row r="4" spans="1:13">
      <c r="B4" s="1305" t="s">
        <v>248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</row>
    <row r="5" spans="1:13">
      <c r="B5" s="1309" t="str">
        <f>"BALANCES AS OF 12/31/"&amp;Automation!$B$3-1</f>
        <v>BALANCES AS OF 12/31/2021</v>
      </c>
      <c r="C5" s="1309"/>
      <c r="D5" s="1309"/>
      <c r="E5" s="1309"/>
      <c r="F5" s="1309"/>
      <c r="G5" s="1309"/>
      <c r="H5" s="1309"/>
      <c r="I5" s="1309"/>
      <c r="J5" s="1309"/>
      <c r="K5" s="1309"/>
      <c r="L5" s="1309"/>
    </row>
    <row r="6" spans="1:13">
      <c r="B6" s="1309" t="s">
        <v>3</v>
      </c>
      <c r="C6" s="1305"/>
      <c r="D6" s="1305"/>
      <c r="E6" s="1305"/>
      <c r="F6" s="1305"/>
      <c r="G6" s="1305"/>
      <c r="H6" s="1305"/>
      <c r="I6" s="1305"/>
      <c r="J6" s="1305"/>
      <c r="K6" s="1305"/>
      <c r="L6" s="1305"/>
    </row>
    <row r="7" spans="1:13">
      <c r="C7" s="111"/>
      <c r="D7" s="112"/>
      <c r="E7" s="165"/>
      <c r="F7" s="165"/>
      <c r="G7" s="165"/>
      <c r="H7" s="165"/>
      <c r="I7" s="165"/>
      <c r="J7" s="165"/>
    </row>
    <row r="8" spans="1:13" s="109" customFormat="1">
      <c r="B8" s="864"/>
      <c r="C8" s="963"/>
      <c r="D8" s="964" t="s">
        <v>249</v>
      </c>
      <c r="E8" s="965" t="s">
        <v>250</v>
      </c>
      <c r="F8" s="965" t="s">
        <v>251</v>
      </c>
      <c r="G8" s="965" t="s">
        <v>252</v>
      </c>
      <c r="H8" s="965" t="s">
        <v>253</v>
      </c>
      <c r="I8" s="965" t="s">
        <v>254</v>
      </c>
      <c r="J8" s="965" t="s">
        <v>255</v>
      </c>
      <c r="K8" s="965" t="s">
        <v>256</v>
      </c>
      <c r="L8" s="864"/>
      <c r="M8" s="109" t="s">
        <v>186</v>
      </c>
    </row>
    <row r="9" spans="1:13">
      <c r="B9" s="166"/>
      <c r="C9" s="118"/>
      <c r="D9" s="167"/>
      <c r="E9" s="168"/>
      <c r="F9" s="168"/>
      <c r="G9" s="168"/>
      <c r="H9" s="168"/>
      <c r="I9" s="168"/>
      <c r="J9" s="168"/>
      <c r="K9" s="169" t="s">
        <v>80</v>
      </c>
      <c r="L9" s="166"/>
      <c r="M9" s="119" t="s">
        <v>186</v>
      </c>
    </row>
    <row r="10" spans="1:13">
      <c r="B10" s="170"/>
      <c r="C10" s="133"/>
      <c r="D10" s="167"/>
      <c r="E10" s="168" t="s">
        <v>257</v>
      </c>
      <c r="F10" s="168" t="s">
        <v>237</v>
      </c>
      <c r="G10" s="168" t="s">
        <v>241</v>
      </c>
      <c r="H10" s="168" t="s">
        <v>241</v>
      </c>
      <c r="I10" s="168" t="s">
        <v>241</v>
      </c>
      <c r="J10" s="168" t="s">
        <v>241</v>
      </c>
      <c r="K10" s="168" t="s">
        <v>241</v>
      </c>
      <c r="L10" s="158"/>
      <c r="M10" s="119" t="s">
        <v>186</v>
      </c>
    </row>
    <row r="11" spans="1:13">
      <c r="B11" s="171"/>
      <c r="C11" s="130"/>
      <c r="D11" s="172" t="s">
        <v>80</v>
      </c>
      <c r="E11" s="168" t="s">
        <v>258</v>
      </c>
      <c r="F11" s="168" t="s">
        <v>258</v>
      </c>
      <c r="G11" s="168" t="s">
        <v>258</v>
      </c>
      <c r="H11" s="168" t="s">
        <v>258</v>
      </c>
      <c r="I11" s="168" t="s">
        <v>258</v>
      </c>
      <c r="J11" s="168" t="s">
        <v>258</v>
      </c>
      <c r="K11" s="168" t="s">
        <v>238</v>
      </c>
      <c r="L11" s="116"/>
    </row>
    <row r="12" spans="1:13">
      <c r="A12" s="119" t="s">
        <v>4</v>
      </c>
      <c r="B12" s="171"/>
      <c r="C12" s="116"/>
      <c r="D12" s="172" t="s">
        <v>241</v>
      </c>
      <c r="E12" s="168" t="s">
        <v>259</v>
      </c>
      <c r="F12" s="173" t="s">
        <v>259</v>
      </c>
      <c r="G12" s="168" t="s">
        <v>259</v>
      </c>
      <c r="H12" s="168" t="s">
        <v>259</v>
      </c>
      <c r="I12" s="168" t="s">
        <v>259</v>
      </c>
      <c r="J12" s="168" t="s">
        <v>259</v>
      </c>
      <c r="K12" s="168" t="s">
        <v>260</v>
      </c>
      <c r="L12" s="116"/>
      <c r="M12" s="119" t="s">
        <v>4</v>
      </c>
    </row>
    <row r="13" spans="1:13">
      <c r="A13" s="119" t="s">
        <v>5</v>
      </c>
      <c r="B13" s="1021" t="s">
        <v>261</v>
      </c>
      <c r="C13" s="1021" t="s">
        <v>262</v>
      </c>
      <c r="D13" s="1135" t="s">
        <v>258</v>
      </c>
      <c r="E13" s="1136" t="s">
        <v>263</v>
      </c>
      <c r="F13" s="1136" t="s">
        <v>264</v>
      </c>
      <c r="G13" s="1136" t="s">
        <v>265</v>
      </c>
      <c r="H13" s="1136" t="s">
        <v>266</v>
      </c>
      <c r="I13" s="1136" t="s">
        <v>231</v>
      </c>
      <c r="J13" s="1137" t="s">
        <v>267</v>
      </c>
      <c r="K13" s="1021" t="s">
        <v>268</v>
      </c>
      <c r="L13" s="1021" t="s">
        <v>8</v>
      </c>
      <c r="M13" s="119" t="s">
        <v>5</v>
      </c>
    </row>
    <row r="14" spans="1:13">
      <c r="B14" s="158"/>
      <c r="C14" s="133" t="s">
        <v>269</v>
      </c>
      <c r="D14" s="133"/>
      <c r="E14" s="133"/>
      <c r="F14" s="133"/>
      <c r="G14" s="133"/>
      <c r="H14" s="133"/>
      <c r="I14" s="133"/>
      <c r="J14" s="133"/>
      <c r="K14" s="174"/>
      <c r="L14" s="158"/>
    </row>
    <row r="15" spans="1:13">
      <c r="A15" s="119">
        <v>1</v>
      </c>
      <c r="B15" s="190">
        <v>303</v>
      </c>
      <c r="C15" s="62" t="s">
        <v>270</v>
      </c>
      <c r="D15" s="176">
        <v>0</v>
      </c>
      <c r="E15" s="176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41">
        <f>SUM(D15:J15)</f>
        <v>0</v>
      </c>
      <c r="L15" s="158" t="s">
        <v>216</v>
      </c>
      <c r="M15" s="119">
        <f>A15</f>
        <v>1</v>
      </c>
    </row>
    <row r="16" spans="1:13">
      <c r="A16" s="119">
        <f>A15+1</f>
        <v>2</v>
      </c>
      <c r="B16" s="191">
        <v>310.10000000000002</v>
      </c>
      <c r="C16" s="62" t="s">
        <v>271</v>
      </c>
      <c r="D16" s="178">
        <v>0</v>
      </c>
      <c r="E16" s="178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42">
        <f>SUM(D16:J16)</f>
        <v>0</v>
      </c>
      <c r="L16" s="158" t="s">
        <v>216</v>
      </c>
      <c r="M16" s="119">
        <f>M15+1</f>
        <v>2</v>
      </c>
    </row>
    <row r="17" spans="1:13">
      <c r="A17" s="119">
        <f t="shared" ref="A17:A35" si="0">A16+1</f>
        <v>3</v>
      </c>
      <c r="B17" s="190">
        <v>340</v>
      </c>
      <c r="C17" s="192" t="s">
        <v>272</v>
      </c>
      <c r="D17" s="178">
        <v>0</v>
      </c>
      <c r="E17" s="178">
        <v>4.5990200000000003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80">
        <f>SUM(D17:J17)</f>
        <v>4.5990200000000003</v>
      </c>
      <c r="L17" s="158" t="s">
        <v>216</v>
      </c>
      <c r="M17" s="119">
        <f t="shared" ref="M17:M35" si="1">M16+1</f>
        <v>3</v>
      </c>
    </row>
    <row r="18" spans="1:13">
      <c r="A18" s="119">
        <f t="shared" si="0"/>
        <v>4</v>
      </c>
      <c r="B18" s="190">
        <v>360</v>
      </c>
      <c r="C18" s="192" t="s">
        <v>272</v>
      </c>
      <c r="D18" s="178">
        <v>0</v>
      </c>
      <c r="E18" s="178">
        <v>0</v>
      </c>
      <c r="F18" s="179">
        <v>3626.3653199999999</v>
      </c>
      <c r="G18" s="179">
        <v>0</v>
      </c>
      <c r="H18" s="179">
        <v>0</v>
      </c>
      <c r="I18" s="179">
        <v>0</v>
      </c>
      <c r="J18" s="179">
        <v>0</v>
      </c>
      <c r="K18" s="180">
        <f>SUM(D18:J18)</f>
        <v>3626.3653199999999</v>
      </c>
      <c r="L18" s="158" t="s">
        <v>216</v>
      </c>
      <c r="M18" s="119">
        <f t="shared" si="1"/>
        <v>4</v>
      </c>
    </row>
    <row r="19" spans="1:13">
      <c r="A19" s="119">
        <f t="shared" si="0"/>
        <v>5</v>
      </c>
      <c r="B19" s="190">
        <v>361</v>
      </c>
      <c r="C19" s="62" t="s">
        <v>273</v>
      </c>
      <c r="D19" s="178">
        <v>0</v>
      </c>
      <c r="E19" s="178">
        <v>0</v>
      </c>
      <c r="F19" s="179">
        <v>1492.2876200000001</v>
      </c>
      <c r="G19" s="179">
        <v>0</v>
      </c>
      <c r="H19" s="179">
        <v>0</v>
      </c>
      <c r="I19" s="179">
        <v>0</v>
      </c>
      <c r="J19" s="179">
        <v>0</v>
      </c>
      <c r="K19" s="180">
        <f>SUM(D19:J19)</f>
        <v>1492.2876200000001</v>
      </c>
      <c r="L19" s="158" t="s">
        <v>216</v>
      </c>
      <c r="M19" s="119">
        <f t="shared" si="1"/>
        <v>5</v>
      </c>
    </row>
    <row r="20" spans="1:13">
      <c r="A20" s="119">
        <f t="shared" si="0"/>
        <v>6</v>
      </c>
      <c r="B20" s="158"/>
      <c r="C20" s="133"/>
      <c r="D20" s="133"/>
      <c r="E20" s="133"/>
      <c r="F20" s="133"/>
      <c r="G20" s="133"/>
      <c r="H20" s="133"/>
      <c r="I20" s="133"/>
      <c r="J20" s="133"/>
      <c r="K20" s="174"/>
      <c r="L20" s="158"/>
      <c r="M20" s="119">
        <f t="shared" si="1"/>
        <v>6</v>
      </c>
    </row>
    <row r="21" spans="1:13" s="110" customFormat="1">
      <c r="A21" s="119">
        <f t="shared" si="0"/>
        <v>7</v>
      </c>
      <c r="B21" s="1188" t="s">
        <v>274</v>
      </c>
      <c r="C21" s="1189" t="s">
        <v>275</v>
      </c>
      <c r="D21" s="1190">
        <f>SUM(D15:D20)</f>
        <v>0</v>
      </c>
      <c r="E21" s="1190">
        <f t="shared" ref="E21:I21" si="2">SUM(E15:E20)</f>
        <v>4.5990200000000003</v>
      </c>
      <c r="F21" s="1190">
        <f t="shared" si="2"/>
        <v>5118.6529399999999</v>
      </c>
      <c r="G21" s="1190">
        <f t="shared" si="2"/>
        <v>0</v>
      </c>
      <c r="H21" s="1190">
        <f t="shared" si="2"/>
        <v>0</v>
      </c>
      <c r="I21" s="1190">
        <f t="shared" si="2"/>
        <v>0</v>
      </c>
      <c r="J21" s="1190">
        <f>SUM(J15:J20)</f>
        <v>0</v>
      </c>
      <c r="K21" s="966">
        <f>SUM(K15:K20)</f>
        <v>5123.2519599999996</v>
      </c>
      <c r="L21" s="1191" t="str">
        <f>"Sum Lines "&amp;A15&amp;" thru "&amp;A19</f>
        <v>Sum Lines 1 thru 5</v>
      </c>
      <c r="M21" s="119">
        <f t="shared" si="1"/>
        <v>7</v>
      </c>
    </row>
    <row r="22" spans="1:13">
      <c r="A22" s="119">
        <f t="shared" si="0"/>
        <v>8</v>
      </c>
      <c r="B22" s="158"/>
      <c r="C22" s="133"/>
      <c r="D22" s="181"/>
      <c r="E22" s="182"/>
      <c r="F22" s="182"/>
      <c r="G22" s="182"/>
      <c r="H22" s="182"/>
      <c r="I22" s="182"/>
      <c r="J22" s="182"/>
      <c r="K22" s="174"/>
      <c r="L22" s="158"/>
      <c r="M22" s="119">
        <f t="shared" si="1"/>
        <v>8</v>
      </c>
    </row>
    <row r="23" spans="1:13">
      <c r="A23" s="119">
        <f t="shared" si="0"/>
        <v>9</v>
      </c>
      <c r="B23" s="190">
        <v>350</v>
      </c>
      <c r="C23" s="62" t="s">
        <v>272</v>
      </c>
      <c r="D23" s="184">
        <v>256451.00883000001</v>
      </c>
      <c r="E23" s="176">
        <v>0</v>
      </c>
      <c r="F23" s="177"/>
      <c r="G23" s="176">
        <v>0</v>
      </c>
      <c r="H23" s="176">
        <v>0</v>
      </c>
      <c r="I23" s="176">
        <v>0</v>
      </c>
      <c r="J23" s="176">
        <v>-13536.05595</v>
      </c>
      <c r="K23" s="185">
        <f t="shared" ref="K23:K31" si="3">SUM(D23:J23)</f>
        <v>242914.95288</v>
      </c>
      <c r="L23" s="158" t="s">
        <v>216</v>
      </c>
      <c r="M23" s="119">
        <f t="shared" si="1"/>
        <v>9</v>
      </c>
    </row>
    <row r="24" spans="1:13">
      <c r="A24" s="119">
        <f t="shared" si="0"/>
        <v>10</v>
      </c>
      <c r="B24" s="190">
        <v>352</v>
      </c>
      <c r="C24" s="62" t="s">
        <v>273</v>
      </c>
      <c r="D24" s="186">
        <v>751849.02706999995</v>
      </c>
      <c r="E24" s="179">
        <v>0</v>
      </c>
      <c r="F24" s="179"/>
      <c r="G24" s="181">
        <v>-1928.27782</v>
      </c>
      <c r="H24" s="179">
        <v>0</v>
      </c>
      <c r="I24" s="179">
        <v>0</v>
      </c>
      <c r="J24" s="182">
        <v>-108169.02635</v>
      </c>
      <c r="K24" s="187">
        <f t="shared" si="3"/>
        <v>641751.72289999994</v>
      </c>
      <c r="L24" s="158" t="s">
        <v>216</v>
      </c>
      <c r="M24" s="119">
        <f t="shared" si="1"/>
        <v>10</v>
      </c>
    </row>
    <row r="25" spans="1:13">
      <c r="A25" s="119">
        <f t="shared" si="0"/>
        <v>11</v>
      </c>
      <c r="B25" s="190">
        <v>353</v>
      </c>
      <c r="C25" s="62" t="s">
        <v>276</v>
      </c>
      <c r="D25" s="186">
        <v>2172726.4284100002</v>
      </c>
      <c r="E25" s="179">
        <v>0</v>
      </c>
      <c r="F25" s="179"/>
      <c r="G25" s="181">
        <v>-12009.877780000001</v>
      </c>
      <c r="H25" s="179">
        <v>-1420.3928800000001</v>
      </c>
      <c r="I25" s="179">
        <v>0</v>
      </c>
      <c r="J25" s="182">
        <v>-2429.9854399999999</v>
      </c>
      <c r="K25" s="187">
        <f t="shared" si="3"/>
        <v>2156866.1723099998</v>
      </c>
      <c r="L25" s="158" t="s">
        <v>216</v>
      </c>
      <c r="M25" s="119">
        <f t="shared" si="1"/>
        <v>11</v>
      </c>
    </row>
    <row r="26" spans="1:13">
      <c r="A26" s="119">
        <f t="shared" si="0"/>
        <v>12</v>
      </c>
      <c r="B26" s="190">
        <v>354</v>
      </c>
      <c r="C26" s="62" t="s">
        <v>277</v>
      </c>
      <c r="D26" s="186">
        <v>929375.37323000003</v>
      </c>
      <c r="E26" s="179">
        <v>0</v>
      </c>
      <c r="F26" s="179"/>
      <c r="G26" s="181">
        <v>0</v>
      </c>
      <c r="H26" s="179">
        <v>0</v>
      </c>
      <c r="I26" s="179">
        <v>0</v>
      </c>
      <c r="J26" s="182">
        <v>0</v>
      </c>
      <c r="K26" s="187">
        <f t="shared" si="3"/>
        <v>929375.37323000003</v>
      </c>
      <c r="L26" s="158" t="s">
        <v>216</v>
      </c>
      <c r="M26" s="119">
        <f t="shared" si="1"/>
        <v>12</v>
      </c>
    </row>
    <row r="27" spans="1:13">
      <c r="A27" s="119">
        <f t="shared" si="0"/>
        <v>13</v>
      </c>
      <c r="B27" s="190">
        <v>355</v>
      </c>
      <c r="C27" s="62" t="s">
        <v>278</v>
      </c>
      <c r="D27" s="186">
        <v>982049.69038000004</v>
      </c>
      <c r="E27" s="179">
        <v>0</v>
      </c>
      <c r="F27" s="179"/>
      <c r="G27" s="181">
        <v>0</v>
      </c>
      <c r="H27" s="179">
        <v>0</v>
      </c>
      <c r="I27" s="179">
        <v>0</v>
      </c>
      <c r="J27" s="182">
        <v>0</v>
      </c>
      <c r="K27" s="187">
        <f t="shared" si="3"/>
        <v>982049.69038000004</v>
      </c>
      <c r="L27" s="158" t="s">
        <v>216</v>
      </c>
      <c r="M27" s="119">
        <f t="shared" si="1"/>
        <v>13</v>
      </c>
    </row>
    <row r="28" spans="1:13">
      <c r="A28" s="119">
        <f t="shared" si="0"/>
        <v>14</v>
      </c>
      <c r="B28" s="190">
        <v>356</v>
      </c>
      <c r="C28" s="62" t="s">
        <v>279</v>
      </c>
      <c r="D28" s="186">
        <v>867149.75026</v>
      </c>
      <c r="E28" s="179">
        <v>0</v>
      </c>
      <c r="F28" s="179"/>
      <c r="G28" s="181">
        <v>0</v>
      </c>
      <c r="H28" s="179">
        <v>0</v>
      </c>
      <c r="I28" s="179">
        <v>0</v>
      </c>
      <c r="J28" s="182">
        <v>0</v>
      </c>
      <c r="K28" s="187">
        <f t="shared" si="3"/>
        <v>867149.75026</v>
      </c>
      <c r="L28" s="158" t="s">
        <v>216</v>
      </c>
      <c r="M28" s="119">
        <f t="shared" si="1"/>
        <v>14</v>
      </c>
    </row>
    <row r="29" spans="1:13">
      <c r="A29" s="119">
        <f t="shared" si="0"/>
        <v>15</v>
      </c>
      <c r="B29" s="190">
        <v>357</v>
      </c>
      <c r="C29" s="62" t="s">
        <v>280</v>
      </c>
      <c r="D29" s="186">
        <v>560488.23855999997</v>
      </c>
      <c r="E29" s="179">
        <v>0</v>
      </c>
      <c r="F29" s="179"/>
      <c r="G29" s="181">
        <v>0</v>
      </c>
      <c r="H29" s="179">
        <v>0</v>
      </c>
      <c r="I29" s="179">
        <v>0</v>
      </c>
      <c r="J29" s="182">
        <v>0</v>
      </c>
      <c r="K29" s="187">
        <f t="shared" si="3"/>
        <v>560488.23855999997</v>
      </c>
      <c r="L29" s="158" t="s">
        <v>216</v>
      </c>
      <c r="M29" s="119">
        <f t="shared" si="1"/>
        <v>15</v>
      </c>
    </row>
    <row r="30" spans="1:13">
      <c r="A30" s="119">
        <f t="shared" si="0"/>
        <v>16</v>
      </c>
      <c r="B30" s="190">
        <v>358</v>
      </c>
      <c r="C30" s="62" t="s">
        <v>281</v>
      </c>
      <c r="D30" s="186">
        <v>570072.43382999999</v>
      </c>
      <c r="E30" s="179">
        <v>0</v>
      </c>
      <c r="F30" s="179"/>
      <c r="G30" s="181">
        <v>-1726.37997</v>
      </c>
      <c r="H30" s="179">
        <v>0</v>
      </c>
      <c r="I30" s="179">
        <v>0</v>
      </c>
      <c r="J30" s="182">
        <v>0</v>
      </c>
      <c r="K30" s="187">
        <f t="shared" si="3"/>
        <v>568346.05385999999</v>
      </c>
      <c r="L30" s="158" t="s">
        <v>216</v>
      </c>
      <c r="M30" s="119">
        <f t="shared" si="1"/>
        <v>16</v>
      </c>
    </row>
    <row r="31" spans="1:13">
      <c r="A31" s="119">
        <f t="shared" si="0"/>
        <v>17</v>
      </c>
      <c r="B31" s="190">
        <v>359</v>
      </c>
      <c r="C31" s="62" t="s">
        <v>282</v>
      </c>
      <c r="D31" s="186">
        <v>380158.92129000003</v>
      </c>
      <c r="E31" s="179">
        <v>0</v>
      </c>
      <c r="F31" s="179"/>
      <c r="G31" s="181">
        <v>0</v>
      </c>
      <c r="H31" s="179">
        <v>0</v>
      </c>
      <c r="I31" s="179">
        <v>0</v>
      </c>
      <c r="J31" s="182">
        <v>0</v>
      </c>
      <c r="K31" s="187">
        <f t="shared" si="3"/>
        <v>380158.92129000003</v>
      </c>
      <c r="L31" s="158" t="s">
        <v>216</v>
      </c>
      <c r="M31" s="119">
        <f t="shared" si="1"/>
        <v>17</v>
      </c>
    </row>
    <row r="32" spans="1:13">
      <c r="A32" s="119">
        <f t="shared" si="0"/>
        <v>18</v>
      </c>
      <c r="B32" s="175"/>
      <c r="C32" s="133"/>
      <c r="D32" s="181"/>
      <c r="F32" s="1039"/>
      <c r="G32" s="1039"/>
      <c r="H32" s="1039"/>
      <c r="I32" s="1039"/>
      <c r="J32" s="182"/>
      <c r="K32" s="1138"/>
      <c r="L32" s="175"/>
      <c r="M32" s="119">
        <f t="shared" si="1"/>
        <v>18</v>
      </c>
    </row>
    <row r="33" spans="1:13">
      <c r="A33" s="119">
        <f t="shared" si="0"/>
        <v>19</v>
      </c>
      <c r="B33" s="1192" t="s">
        <v>274</v>
      </c>
      <c r="C33" s="1189" t="s">
        <v>240</v>
      </c>
      <c r="D33" s="1190">
        <f>SUM(D23:D32)</f>
        <v>7470320.8718600003</v>
      </c>
      <c r="E33" s="1190">
        <f t="shared" ref="E33:I33" si="4">SUM(E23:E32)</f>
        <v>0</v>
      </c>
      <c r="F33" s="1190">
        <f t="shared" si="4"/>
        <v>0</v>
      </c>
      <c r="G33" s="1190">
        <f t="shared" si="4"/>
        <v>-15664.53557</v>
      </c>
      <c r="H33" s="1190">
        <f t="shared" si="4"/>
        <v>-1420.3928800000001</v>
      </c>
      <c r="I33" s="1190">
        <f t="shared" si="4"/>
        <v>0</v>
      </c>
      <c r="J33" s="1190">
        <f>SUM(J23:J32)</f>
        <v>-124135.06774</v>
      </c>
      <c r="K33" s="966">
        <f>SUM(K23:K32)</f>
        <v>7329100.875669999</v>
      </c>
      <c r="L33" s="1193" t="str">
        <f>"Sum Lines "&amp;A23&amp;" thru "&amp;A31</f>
        <v>Sum Lines 9 thru 17</v>
      </c>
      <c r="M33" s="119">
        <f t="shared" si="1"/>
        <v>19</v>
      </c>
    </row>
    <row r="34" spans="1:13">
      <c r="A34" s="119">
        <f t="shared" si="0"/>
        <v>20</v>
      </c>
      <c r="B34" s="170"/>
      <c r="D34" s="136"/>
      <c r="J34" s="183"/>
      <c r="K34" s="188"/>
      <c r="L34" s="967"/>
      <c r="M34" s="119">
        <f t="shared" si="1"/>
        <v>20</v>
      </c>
    </row>
    <row r="35" spans="1:13">
      <c r="A35" s="119">
        <f t="shared" si="0"/>
        <v>21</v>
      </c>
      <c r="B35" s="1194" t="s">
        <v>283</v>
      </c>
      <c r="C35" s="968"/>
      <c r="D35" s="1195">
        <f>D33+D21</f>
        <v>7470320.8718600003</v>
      </c>
      <c r="E35" s="1195">
        <f t="shared" ref="E35:I35" si="5">E33+E21</f>
        <v>4.5990200000000003</v>
      </c>
      <c r="F35" s="1195">
        <f t="shared" si="5"/>
        <v>5118.6529399999999</v>
      </c>
      <c r="G35" s="1195">
        <f>G33+G21</f>
        <v>-15664.53557</v>
      </c>
      <c r="H35" s="1195">
        <f>H33+H21</f>
        <v>-1420.3928800000001</v>
      </c>
      <c r="I35" s="1196">
        <f t="shared" si="5"/>
        <v>0</v>
      </c>
      <c r="J35" s="1195">
        <f>J33+J21</f>
        <v>-124135.06774</v>
      </c>
      <c r="K35" s="969">
        <f>K33+K21</f>
        <v>7334224.1276299991</v>
      </c>
      <c r="L35" s="1191" t="str">
        <f>"Line "&amp;A21&amp;" + Line "&amp;A33</f>
        <v>Line 7 + Line 19</v>
      </c>
      <c r="M35" s="119">
        <f t="shared" si="1"/>
        <v>21</v>
      </c>
    </row>
    <row r="36" spans="1:13">
      <c r="D36" s="136"/>
    </row>
    <row r="37" spans="1:13">
      <c r="D37" s="136"/>
    </row>
    <row r="38" spans="1:13">
      <c r="B38" s="17" t="s">
        <v>284</v>
      </c>
      <c r="D38" s="136"/>
    </row>
    <row r="39" spans="1:13">
      <c r="D39" s="136"/>
      <c r="K39" s="145"/>
      <c r="L39" s="145"/>
    </row>
    <row r="40" spans="1:13">
      <c r="D40" s="136"/>
    </row>
    <row r="41" spans="1:13">
      <c r="D41" s="136"/>
    </row>
    <row r="42" spans="1:13">
      <c r="D42" s="136"/>
    </row>
    <row r="43" spans="1:13">
      <c r="D43" s="136"/>
    </row>
    <row r="44" spans="1:13">
      <c r="D44" s="136"/>
    </row>
    <row r="45" spans="1:13">
      <c r="D45" s="136"/>
    </row>
    <row r="46" spans="1:13">
      <c r="D46" s="136"/>
    </row>
    <row r="47" spans="1:13">
      <c r="D47" s="136"/>
    </row>
    <row r="48" spans="1:13">
      <c r="D48" s="136"/>
    </row>
    <row r="49" spans="4:4">
      <c r="D49" s="136"/>
    </row>
    <row r="50" spans="4:4">
      <c r="D50" s="136"/>
    </row>
    <row r="51" spans="4:4">
      <c r="D51" s="136"/>
    </row>
    <row r="52" spans="4:4">
      <c r="D52" s="136"/>
    </row>
    <row r="53" spans="4:4">
      <c r="D53" s="136"/>
    </row>
    <row r="54" spans="4:4">
      <c r="D54" s="136"/>
    </row>
    <row r="55" spans="4:4">
      <c r="D55" s="136"/>
    </row>
    <row r="56" spans="4:4">
      <c r="D56" s="136"/>
    </row>
    <row r="57" spans="4:4">
      <c r="D57" s="136"/>
    </row>
    <row r="58" spans="4:4">
      <c r="D58" s="136"/>
    </row>
    <row r="59" spans="4:4">
      <c r="D59" s="136"/>
    </row>
    <row r="60" spans="4:4">
      <c r="D60" s="136"/>
    </row>
    <row r="61" spans="4:4">
      <c r="D61" s="136"/>
    </row>
    <row r="62" spans="4:4">
      <c r="D62" s="136"/>
    </row>
    <row r="63" spans="4:4">
      <c r="D63" s="136"/>
    </row>
    <row r="64" spans="4:4">
      <c r="D64" s="136"/>
    </row>
    <row r="65" spans="4:4">
      <c r="D65" s="136"/>
    </row>
    <row r="66" spans="4:4">
      <c r="D66" s="136"/>
    </row>
    <row r="67" spans="4:4">
      <c r="D67" s="136"/>
    </row>
    <row r="68" spans="4:4">
      <c r="D68" s="136"/>
    </row>
    <row r="69" spans="4:4">
      <c r="D69" s="136"/>
    </row>
    <row r="70" spans="4:4">
      <c r="D70" s="136"/>
    </row>
    <row r="71" spans="4:4">
      <c r="D71" s="136"/>
    </row>
    <row r="72" spans="4:4">
      <c r="D72" s="136"/>
    </row>
    <row r="73" spans="4:4">
      <c r="D73" s="136"/>
    </row>
    <row r="74" spans="4:4">
      <c r="D74" s="136"/>
    </row>
    <row r="75" spans="4:4">
      <c r="D75" s="136"/>
    </row>
    <row r="76" spans="4:4">
      <c r="D76" s="136"/>
    </row>
    <row r="77" spans="4:4">
      <c r="D77" s="136"/>
    </row>
    <row r="78" spans="4:4">
      <c r="D78" s="136"/>
    </row>
    <row r="79" spans="4:4">
      <c r="D79" s="136"/>
    </row>
    <row r="80" spans="4:4">
      <c r="D80" s="136"/>
    </row>
    <row r="81" spans="4:4">
      <c r="D81" s="136"/>
    </row>
    <row r="82" spans="4:4">
      <c r="D82" s="136"/>
    </row>
    <row r="83" spans="4:4">
      <c r="D83" s="136"/>
    </row>
    <row r="84" spans="4:4">
      <c r="D84" s="136"/>
    </row>
    <row r="85" spans="4:4">
      <c r="D85" s="136"/>
    </row>
    <row r="86" spans="4:4">
      <c r="D86" s="136"/>
    </row>
    <row r="87" spans="4:4">
      <c r="D87" s="136"/>
    </row>
    <row r="88" spans="4:4">
      <c r="D88" s="136"/>
    </row>
    <row r="89" spans="4:4">
      <c r="D89" s="136"/>
    </row>
    <row r="90" spans="4:4">
      <c r="D90" s="136"/>
    </row>
    <row r="91" spans="4:4">
      <c r="D91" s="136"/>
    </row>
    <row r="92" spans="4:4">
      <c r="D92" s="136"/>
    </row>
    <row r="93" spans="4:4">
      <c r="D93" s="136"/>
    </row>
    <row r="94" spans="4:4">
      <c r="D94" s="136"/>
    </row>
    <row r="95" spans="4:4">
      <c r="D95" s="136"/>
    </row>
    <row r="96" spans="4:4">
      <c r="D96" s="136"/>
    </row>
    <row r="97" spans="4:4">
      <c r="D97" s="136"/>
    </row>
    <row r="98" spans="4:4">
      <c r="D98" s="136"/>
    </row>
    <row r="99" spans="4:4">
      <c r="D99" s="136"/>
    </row>
    <row r="100" spans="4:4">
      <c r="D100" s="136"/>
    </row>
    <row r="101" spans="4:4">
      <c r="D101" s="136"/>
    </row>
    <row r="102" spans="4:4">
      <c r="D102" s="136"/>
    </row>
    <row r="103" spans="4:4">
      <c r="D103" s="136"/>
    </row>
    <row r="104" spans="4:4">
      <c r="D104" s="136"/>
    </row>
    <row r="105" spans="4:4">
      <c r="D105" s="136"/>
    </row>
    <row r="106" spans="4:4">
      <c r="D106" s="136"/>
    </row>
    <row r="107" spans="4:4">
      <c r="D107" s="136"/>
    </row>
    <row r="108" spans="4:4">
      <c r="D108" s="136"/>
    </row>
    <row r="109" spans="4:4">
      <c r="D109" s="136"/>
    </row>
    <row r="110" spans="4:4">
      <c r="D110" s="136"/>
    </row>
    <row r="111" spans="4:4">
      <c r="D111" s="136"/>
    </row>
    <row r="112" spans="4:4">
      <c r="D112" s="136"/>
    </row>
    <row r="113" spans="4:4">
      <c r="D113" s="136"/>
    </row>
    <row r="114" spans="4:4">
      <c r="D114" s="136"/>
    </row>
    <row r="115" spans="4:4">
      <c r="D115" s="136"/>
    </row>
    <row r="116" spans="4:4">
      <c r="D116" s="136"/>
    </row>
    <row r="117" spans="4:4">
      <c r="D117" s="136"/>
    </row>
    <row r="118" spans="4:4">
      <c r="D118" s="136"/>
    </row>
    <row r="119" spans="4:4">
      <c r="D119" s="136"/>
    </row>
    <row r="120" spans="4:4">
      <c r="D120" s="136"/>
    </row>
    <row r="121" spans="4:4">
      <c r="D121" s="136"/>
    </row>
    <row r="122" spans="4:4">
      <c r="D122" s="136"/>
    </row>
    <row r="123" spans="4:4">
      <c r="D123" s="136"/>
    </row>
    <row r="124" spans="4:4">
      <c r="D124" s="136"/>
    </row>
    <row r="125" spans="4:4">
      <c r="D125" s="136"/>
    </row>
    <row r="126" spans="4:4">
      <c r="D126" s="136"/>
    </row>
    <row r="127" spans="4:4">
      <c r="D127" s="136"/>
    </row>
    <row r="128" spans="4:4">
      <c r="D128" s="136"/>
    </row>
    <row r="129" spans="4:4">
      <c r="D129" s="136"/>
    </row>
    <row r="130" spans="4:4">
      <c r="D130" s="136"/>
    </row>
    <row r="131" spans="4:4">
      <c r="D131" s="136"/>
    </row>
    <row r="132" spans="4:4">
      <c r="D132" s="136"/>
    </row>
    <row r="133" spans="4:4">
      <c r="D133" s="136"/>
    </row>
    <row r="134" spans="4:4">
      <c r="D134" s="136"/>
    </row>
    <row r="135" spans="4:4">
      <c r="D135" s="136"/>
    </row>
    <row r="136" spans="4:4">
      <c r="D136" s="136"/>
    </row>
    <row r="137" spans="4:4">
      <c r="D137" s="136"/>
    </row>
    <row r="138" spans="4:4">
      <c r="D138" s="136"/>
    </row>
    <row r="139" spans="4:4">
      <c r="D139" s="136"/>
    </row>
    <row r="140" spans="4:4">
      <c r="D140" s="136"/>
    </row>
    <row r="141" spans="4:4">
      <c r="D141" s="136"/>
    </row>
    <row r="142" spans="4:4">
      <c r="D142" s="136"/>
    </row>
    <row r="143" spans="4:4">
      <c r="D143" s="136"/>
    </row>
    <row r="144" spans="4:4">
      <c r="D144" s="136"/>
    </row>
    <row r="145" spans="4:4">
      <c r="D145" s="136"/>
    </row>
    <row r="146" spans="4:4">
      <c r="D146" s="136"/>
    </row>
    <row r="147" spans="4:4">
      <c r="D147" s="136"/>
    </row>
    <row r="148" spans="4:4">
      <c r="D148" s="136"/>
    </row>
    <row r="149" spans="4:4">
      <c r="D149" s="136"/>
    </row>
    <row r="150" spans="4:4">
      <c r="D150" s="136"/>
    </row>
    <row r="151" spans="4:4">
      <c r="D151" s="136"/>
    </row>
    <row r="152" spans="4:4">
      <c r="D152" s="136"/>
    </row>
    <row r="153" spans="4:4">
      <c r="D153" s="136"/>
    </row>
    <row r="154" spans="4:4">
      <c r="D154" s="136"/>
    </row>
    <row r="155" spans="4:4">
      <c r="D155" s="136"/>
    </row>
    <row r="156" spans="4:4">
      <c r="D156" s="136"/>
    </row>
    <row r="157" spans="4:4">
      <c r="D157" s="136"/>
    </row>
    <row r="158" spans="4:4">
      <c r="D158" s="136"/>
    </row>
    <row r="159" spans="4:4">
      <c r="D159" s="136"/>
    </row>
    <row r="160" spans="4:4">
      <c r="D160" s="136"/>
    </row>
    <row r="161" spans="4:4">
      <c r="D161" s="136"/>
    </row>
    <row r="162" spans="4:4">
      <c r="D162" s="136"/>
    </row>
    <row r="163" spans="4:4">
      <c r="D163" s="136"/>
    </row>
    <row r="164" spans="4:4">
      <c r="D164" s="136"/>
    </row>
    <row r="165" spans="4:4">
      <c r="D165" s="136"/>
    </row>
    <row r="166" spans="4:4">
      <c r="D166" s="136"/>
    </row>
    <row r="167" spans="4:4">
      <c r="D167" s="136"/>
    </row>
    <row r="168" spans="4:4">
      <c r="D168" s="136"/>
    </row>
    <row r="169" spans="4:4">
      <c r="D169" s="136"/>
    </row>
    <row r="170" spans="4:4">
      <c r="D170" s="136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28"/>
  <sheetViews>
    <sheetView zoomScale="80" zoomScaleNormal="80" workbookViewId="0"/>
  </sheetViews>
  <sheetFormatPr defaultColWidth="8.7109375" defaultRowHeight="15.75"/>
  <cols>
    <col min="1" max="1" width="5.140625" style="250" customWidth="1"/>
    <col min="2" max="2" width="89.7109375" style="3" bestFit="1" customWidth="1"/>
    <col min="3" max="3" width="10.28515625" style="3" customWidth="1"/>
    <col min="4" max="4" width="1.5703125" style="3" customWidth="1"/>
    <col min="5" max="5" width="16.7109375" style="3" customWidth="1"/>
    <col min="6" max="6" width="1.5703125" style="3" customWidth="1"/>
    <col min="7" max="7" width="43.28515625" style="3" customWidth="1"/>
    <col min="8" max="8" width="5.140625" style="250" customWidth="1"/>
    <col min="9" max="16384" width="8.7109375" style="3"/>
  </cols>
  <sheetData>
    <row r="2" spans="1:8">
      <c r="B2" s="1288" t="str">
        <f>'Summary of Cost Components'!B2:D2</f>
        <v>SAN DIEGO GAS &amp; ELECTRIC COMPANY</v>
      </c>
      <c r="C2" s="1288"/>
      <c r="D2" s="1288"/>
      <c r="E2" s="1288"/>
      <c r="F2" s="1288"/>
      <c r="G2" s="1288"/>
    </row>
    <row r="3" spans="1:8" ht="15.75" customHeight="1">
      <c r="B3" s="1288" t="str">
        <f>'Summary of Cost Components'!B3:D3</f>
        <v>CITIZENS' SHARE OF THE SX-PQ UNDERGROUND LINE SEGMENT</v>
      </c>
      <c r="C3" s="1288"/>
      <c r="D3" s="1288"/>
      <c r="E3" s="1288"/>
      <c r="F3" s="1288"/>
      <c r="G3" s="1288"/>
      <c r="H3" s="571"/>
    </row>
    <row r="4" spans="1:8">
      <c r="B4" s="1289" t="s">
        <v>9</v>
      </c>
      <c r="C4" s="1289"/>
      <c r="D4" s="1289"/>
      <c r="E4" s="1289"/>
      <c r="F4" s="1289"/>
      <c r="G4" s="1289"/>
      <c r="H4" s="570"/>
    </row>
    <row r="5" spans="1:8">
      <c r="B5" s="1290" t="str">
        <f>"Base Period &amp; True-Up Period 12 - Months Ending December 31, "&amp;Automation!B3</f>
        <v>Base Period &amp; True-Up Period 12 - Months Ending December 31, 2022</v>
      </c>
      <c r="C5" s="1290"/>
      <c r="D5" s="1290"/>
      <c r="E5" s="1290"/>
      <c r="F5" s="1290"/>
      <c r="G5" s="1290"/>
      <c r="H5" s="570"/>
    </row>
    <row r="6" spans="1:8">
      <c r="B6" s="1291" t="s">
        <v>3</v>
      </c>
      <c r="C6" s="1291"/>
      <c r="D6" s="1291"/>
      <c r="E6" s="1291"/>
      <c r="F6" s="1291"/>
      <c r="G6" s="1291"/>
      <c r="H6" s="572"/>
    </row>
    <row r="8" spans="1:8">
      <c r="A8" s="567" t="s">
        <v>4</v>
      </c>
      <c r="B8" s="44"/>
      <c r="C8" s="44"/>
      <c r="D8" s="44"/>
      <c r="E8" s="48"/>
      <c r="F8" s="48"/>
      <c r="G8" s="44"/>
      <c r="H8" s="567" t="s">
        <v>4</v>
      </c>
    </row>
    <row r="9" spans="1:8">
      <c r="A9" s="567" t="s">
        <v>5</v>
      </c>
      <c r="B9" s="44"/>
      <c r="C9" s="44"/>
      <c r="D9" s="44"/>
      <c r="E9" s="950" t="s">
        <v>7</v>
      </c>
      <c r="F9" s="21"/>
      <c r="G9" s="950" t="s">
        <v>8</v>
      </c>
      <c r="H9" s="567" t="s">
        <v>5</v>
      </c>
    </row>
    <row r="10" spans="1:8">
      <c r="A10" s="570"/>
      <c r="B10" s="44"/>
      <c r="C10" s="44"/>
      <c r="D10" s="44"/>
      <c r="E10" s="59"/>
      <c r="F10" s="21"/>
      <c r="G10" s="59"/>
      <c r="H10" s="567"/>
    </row>
    <row r="11" spans="1:8">
      <c r="A11" s="567">
        <v>1</v>
      </c>
      <c r="B11" s="15" t="s">
        <v>23</v>
      </c>
      <c r="C11" s="15"/>
      <c r="D11" s="15"/>
      <c r="E11" s="44"/>
      <c r="F11" s="44"/>
      <c r="G11" s="44"/>
      <c r="H11" s="567">
        <f>A11</f>
        <v>1</v>
      </c>
    </row>
    <row r="12" spans="1:8">
      <c r="A12" s="567">
        <f>A11+1</f>
        <v>2</v>
      </c>
      <c r="B12" s="59" t="s">
        <v>24</v>
      </c>
      <c r="C12" s="59"/>
      <c r="D12" s="59"/>
      <c r="E12" s="604">
        <f>'Stmt AH'!E12</f>
        <v>0</v>
      </c>
      <c r="F12" s="44"/>
      <c r="G12" s="21" t="str">
        <f>"Statement AH; Line "&amp;'Stmt AH'!A12</f>
        <v>Statement AH; Line 2</v>
      </c>
      <c r="H12" s="567">
        <f>H11+1</f>
        <v>2</v>
      </c>
    </row>
    <row r="13" spans="1:8">
      <c r="A13" s="567">
        <f t="shared" ref="A13:A27" si="0">A12+1</f>
        <v>3</v>
      </c>
      <c r="B13" s="59" t="s">
        <v>25</v>
      </c>
      <c r="C13" s="59"/>
      <c r="D13" s="59"/>
      <c r="E13" s="1104">
        <v>0.13100000000000001</v>
      </c>
      <c r="F13" s="44"/>
      <c r="G13" s="44"/>
      <c r="H13" s="567">
        <f t="shared" ref="H13:H27" si="1">H12+1</f>
        <v>3</v>
      </c>
    </row>
    <row r="14" spans="1:8">
      <c r="A14" s="567">
        <f t="shared" si="0"/>
        <v>4</v>
      </c>
      <c r="B14" s="59" t="s">
        <v>26</v>
      </c>
      <c r="C14" s="59"/>
      <c r="D14" s="59"/>
      <c r="E14" s="605">
        <f>E12*E13</f>
        <v>0</v>
      </c>
      <c r="F14" s="14"/>
      <c r="G14" s="21" t="str">
        <f>"Line "&amp;A12&amp;" x Line "&amp;A13</f>
        <v>Line 2 x Line 3</v>
      </c>
      <c r="H14" s="567">
        <f t="shared" si="1"/>
        <v>4</v>
      </c>
    </row>
    <row r="15" spans="1:8">
      <c r="A15" s="567">
        <f t="shared" si="0"/>
        <v>5</v>
      </c>
      <c r="B15" s="59"/>
      <c r="C15" s="59"/>
      <c r="D15" s="59"/>
      <c r="E15" s="574"/>
      <c r="F15" s="59"/>
      <c r="G15" s="21"/>
      <c r="H15" s="567">
        <f t="shared" si="1"/>
        <v>5</v>
      </c>
    </row>
    <row r="16" spans="1:8">
      <c r="A16" s="567">
        <f t="shared" si="0"/>
        <v>6</v>
      </c>
      <c r="B16" s="136" t="s">
        <v>27</v>
      </c>
      <c r="C16" s="136"/>
      <c r="D16" s="136"/>
      <c r="E16" s="1104">
        <f>1/8</f>
        <v>0.125</v>
      </c>
      <c r="F16" s="44"/>
      <c r="G16" s="21" t="s">
        <v>28</v>
      </c>
      <c r="H16" s="567">
        <f t="shared" si="1"/>
        <v>6</v>
      </c>
    </row>
    <row r="17" spans="1:14">
      <c r="A17" s="567">
        <f t="shared" si="0"/>
        <v>7</v>
      </c>
      <c r="B17" s="59" t="s">
        <v>29</v>
      </c>
      <c r="C17" s="59"/>
      <c r="D17" s="59"/>
      <c r="E17" s="605">
        <f>E14*E16</f>
        <v>0</v>
      </c>
      <c r="F17" s="14"/>
      <c r="G17" s="21" t="str">
        <f>"Line "&amp;A14&amp;" x Line "&amp;A16</f>
        <v>Line 4 x Line 6</v>
      </c>
      <c r="H17" s="567">
        <f t="shared" si="1"/>
        <v>7</v>
      </c>
    </row>
    <row r="18" spans="1:14">
      <c r="A18" s="567">
        <f t="shared" si="0"/>
        <v>8</v>
      </c>
      <c r="B18" s="59"/>
      <c r="C18" s="59"/>
      <c r="D18" s="59"/>
      <c r="E18" s="574"/>
      <c r="F18" s="59"/>
      <c r="G18" s="21"/>
      <c r="H18" s="567">
        <f t="shared" si="1"/>
        <v>8</v>
      </c>
    </row>
    <row r="19" spans="1:14">
      <c r="A19" s="567">
        <f t="shared" si="0"/>
        <v>9</v>
      </c>
      <c r="B19" s="59" t="s">
        <v>30</v>
      </c>
      <c r="C19" s="59"/>
      <c r="D19" s="59"/>
      <c r="E19" s="951">
        <f>'Stmt AV'!G110</f>
        <v>9.6871242572097949E-2</v>
      </c>
      <c r="F19" s="44"/>
      <c r="G19" s="26" t="str">
        <f>"Statement AV2; Line "&amp;'Stmt AV'!A110</f>
        <v>Statement AV2; Line 31</v>
      </c>
      <c r="H19" s="567">
        <f t="shared" si="1"/>
        <v>9</v>
      </c>
    </row>
    <row r="20" spans="1:14">
      <c r="A20" s="567">
        <f t="shared" si="0"/>
        <v>10</v>
      </c>
      <c r="B20" s="59"/>
      <c r="C20" s="59"/>
      <c r="D20" s="59"/>
      <c r="E20" s="574"/>
      <c r="F20" s="59"/>
      <c r="G20" s="21"/>
      <c r="H20" s="567">
        <f t="shared" si="1"/>
        <v>10</v>
      </c>
    </row>
    <row r="21" spans="1:14">
      <c r="A21" s="567">
        <f t="shared" si="0"/>
        <v>11</v>
      </c>
      <c r="B21" s="59" t="s">
        <v>31</v>
      </c>
      <c r="C21" s="59"/>
      <c r="D21" s="59"/>
      <c r="E21" s="1105">
        <f>E19*E17</f>
        <v>0</v>
      </c>
      <c r="F21" s="527"/>
      <c r="G21" s="21" t="str">
        <f>"Line "&amp;A17&amp;" x Line "&amp;A19</f>
        <v>Line 7 x Line 9</v>
      </c>
      <c r="H21" s="567">
        <f t="shared" si="1"/>
        <v>11</v>
      </c>
    </row>
    <row r="22" spans="1:14">
      <c r="A22" s="567">
        <f t="shared" si="0"/>
        <v>12</v>
      </c>
      <c r="B22" s="59"/>
      <c r="C22" s="59"/>
      <c r="D22" s="59"/>
      <c r="E22" s="574"/>
      <c r="F22" s="59"/>
      <c r="G22" s="21"/>
      <c r="H22" s="567">
        <f t="shared" si="1"/>
        <v>12</v>
      </c>
    </row>
    <row r="23" spans="1:14">
      <c r="A23" s="567">
        <f t="shared" si="0"/>
        <v>13</v>
      </c>
      <c r="B23" s="59" t="s">
        <v>32</v>
      </c>
      <c r="C23" s="59"/>
      <c r="D23" s="59"/>
      <c r="E23" s="606">
        <f>E21+E14</f>
        <v>0</v>
      </c>
      <c r="F23" s="527"/>
      <c r="G23" s="21" t="str">
        <f>"Line "&amp;A14&amp;" + Line "&amp;A21</f>
        <v>Line 4 + Line 11</v>
      </c>
      <c r="H23" s="567">
        <f t="shared" si="1"/>
        <v>13</v>
      </c>
    </row>
    <row r="24" spans="1:14">
      <c r="A24" s="567">
        <f t="shared" si="0"/>
        <v>14</v>
      </c>
      <c r="B24" s="59"/>
      <c r="C24" s="59"/>
      <c r="D24" s="59"/>
      <c r="E24" s="607"/>
      <c r="F24" s="22"/>
      <c r="G24" s="21"/>
      <c r="H24" s="567">
        <f t="shared" si="1"/>
        <v>14</v>
      </c>
    </row>
    <row r="25" spans="1:14">
      <c r="A25" s="567">
        <f t="shared" si="0"/>
        <v>15</v>
      </c>
      <c r="B25" s="59" t="s">
        <v>33</v>
      </c>
      <c r="C25" s="609">
        <v>1.0207000000000001E-2</v>
      </c>
      <c r="D25" s="59"/>
      <c r="E25" s="1105">
        <f>E23*C25</f>
        <v>0</v>
      </c>
      <c r="F25" s="527"/>
      <c r="G25" s="21" t="str">
        <f>"Line "&amp;A23&amp;" x Franchise Fee Rate"</f>
        <v>Line 13 x Franchise Fee Rate</v>
      </c>
      <c r="H25" s="567">
        <f t="shared" si="1"/>
        <v>15</v>
      </c>
      <c r="J25"/>
      <c r="K25"/>
      <c r="L25"/>
      <c r="M25"/>
      <c r="N25"/>
    </row>
    <row r="26" spans="1:14">
      <c r="A26" s="567">
        <f t="shared" si="0"/>
        <v>16</v>
      </c>
      <c r="B26" s="59"/>
      <c r="C26" s="59"/>
      <c r="D26" s="59"/>
      <c r="E26" s="608"/>
      <c r="F26" s="23"/>
      <c r="G26" s="21"/>
      <c r="H26" s="567">
        <f t="shared" si="1"/>
        <v>16</v>
      </c>
    </row>
    <row r="27" spans="1:14" ht="16.5" thickBot="1">
      <c r="A27" s="567">
        <f t="shared" si="0"/>
        <v>17</v>
      </c>
      <c r="B27" s="44" t="s">
        <v>34</v>
      </c>
      <c r="C27" s="59"/>
      <c r="D27" s="59"/>
      <c r="E27" s="941">
        <f>E25+E23</f>
        <v>0</v>
      </c>
      <c r="F27" s="551"/>
      <c r="G27" s="21" t="str">
        <f>"Line "&amp;A23&amp;" + Line "&amp;A25</f>
        <v>Line 13 + Line 15</v>
      </c>
      <c r="H27" s="567">
        <f t="shared" si="1"/>
        <v>17</v>
      </c>
    </row>
    <row r="28" spans="1:14" ht="16.5" thickTop="1"/>
  </sheetData>
  <mergeCells count="5">
    <mergeCell ref="B3:G3"/>
    <mergeCell ref="B4:G4"/>
    <mergeCell ref="B5:G5"/>
    <mergeCell ref="B6:G6"/>
    <mergeCell ref="B2:G2"/>
  </mergeCells>
  <printOptions horizontalCentered="1"/>
  <pageMargins left="0.5" right="0.5" top="0.5" bottom="0.5" header="0.25" footer="0.25"/>
  <pageSetup scale="55" orientation="portrait" r:id="rId1"/>
  <headerFooter scaleWithDoc="0">
    <oddFooter xml:space="preserve">&amp;C&amp;"Times New Roman,Regular"&amp;10Section 1
Direct Maintenance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70"/>
  <sheetViews>
    <sheetView zoomScale="80" zoomScaleNormal="80" workbookViewId="0"/>
  </sheetViews>
  <sheetFormatPr defaultColWidth="9.140625" defaultRowHeight="15.75"/>
  <cols>
    <col min="1" max="1" width="5.140625" style="119" customWidth="1"/>
    <col min="2" max="2" width="11.140625" style="119" customWidth="1"/>
    <col min="3" max="3" width="32.28515625" style="136" customWidth="1"/>
    <col min="4" max="10" width="18.5703125" style="189" customWidth="1"/>
    <col min="11" max="11" width="18.5703125" style="136" customWidth="1"/>
    <col min="12" max="12" width="24" style="136" customWidth="1"/>
    <col min="13" max="13" width="5.140625" style="119" customWidth="1"/>
    <col min="14" max="14" width="11.7109375" style="136" bestFit="1" customWidth="1"/>
    <col min="15" max="15" width="13.140625" style="136" customWidth="1"/>
    <col min="16" max="16384" width="9.140625" style="136"/>
  </cols>
  <sheetData>
    <row r="1" spans="1:13">
      <c r="C1" s="119"/>
    </row>
    <row r="2" spans="1:13" s="110" customFormat="1">
      <c r="A2" s="109"/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09"/>
    </row>
    <row r="3" spans="1:13" s="110" customFormat="1">
      <c r="A3" s="109"/>
      <c r="B3" s="1305" t="s">
        <v>247</v>
      </c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09"/>
    </row>
    <row r="4" spans="1:13">
      <c r="B4" s="1305" t="s">
        <v>248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</row>
    <row r="5" spans="1:13">
      <c r="B5" s="1309" t="str">
        <f>"BALANCES AS OF 12/31/"&amp;Automation!$B$3</f>
        <v>BALANCES AS OF 12/31/2022</v>
      </c>
      <c r="C5" s="1309"/>
      <c r="D5" s="1309"/>
      <c r="E5" s="1309"/>
      <c r="F5" s="1309"/>
      <c r="G5" s="1309"/>
      <c r="H5" s="1309"/>
      <c r="I5" s="1309"/>
      <c r="J5" s="1309"/>
      <c r="K5" s="1309"/>
      <c r="L5" s="1309"/>
    </row>
    <row r="6" spans="1:13">
      <c r="B6" s="1309" t="s">
        <v>3</v>
      </c>
      <c r="C6" s="1305"/>
      <c r="D6" s="1305"/>
      <c r="E6" s="1305"/>
      <c r="F6" s="1305"/>
      <c r="G6" s="1305"/>
      <c r="H6" s="1305"/>
      <c r="I6" s="1305"/>
      <c r="J6" s="1305"/>
      <c r="K6" s="1305"/>
      <c r="L6" s="1305"/>
    </row>
    <row r="7" spans="1:13">
      <c r="C7" s="111"/>
      <c r="D7" s="112"/>
      <c r="E7" s="165"/>
      <c r="F7" s="165"/>
      <c r="G7" s="165"/>
      <c r="H7" s="165"/>
      <c r="I7" s="165"/>
      <c r="J7" s="165"/>
    </row>
    <row r="8" spans="1:13" s="109" customFormat="1">
      <c r="B8" s="864"/>
      <c r="C8" s="963"/>
      <c r="D8" s="964" t="s">
        <v>249</v>
      </c>
      <c r="E8" s="965" t="s">
        <v>250</v>
      </c>
      <c r="F8" s="965" t="s">
        <v>251</v>
      </c>
      <c r="G8" s="965" t="s">
        <v>252</v>
      </c>
      <c r="H8" s="965" t="s">
        <v>253</v>
      </c>
      <c r="I8" s="965" t="s">
        <v>254</v>
      </c>
      <c r="J8" s="965" t="s">
        <v>255</v>
      </c>
      <c r="K8" s="965" t="s">
        <v>256</v>
      </c>
      <c r="L8" s="864"/>
      <c r="M8" s="109" t="s">
        <v>186</v>
      </c>
    </row>
    <row r="9" spans="1:13">
      <c r="B9" s="166"/>
      <c r="C9" s="118"/>
      <c r="D9" s="167"/>
      <c r="E9" s="168"/>
      <c r="F9" s="168"/>
      <c r="G9" s="168"/>
      <c r="H9" s="168"/>
      <c r="I9" s="168"/>
      <c r="J9" s="168"/>
      <c r="K9" s="169" t="s">
        <v>80</v>
      </c>
      <c r="L9" s="166"/>
      <c r="M9" s="119" t="s">
        <v>186</v>
      </c>
    </row>
    <row r="10" spans="1:13">
      <c r="B10" s="170"/>
      <c r="C10" s="133"/>
      <c r="D10" s="167"/>
      <c r="E10" s="168" t="s">
        <v>257</v>
      </c>
      <c r="F10" s="168" t="s">
        <v>237</v>
      </c>
      <c r="G10" s="168" t="s">
        <v>241</v>
      </c>
      <c r="H10" s="168" t="s">
        <v>241</v>
      </c>
      <c r="I10" s="168" t="s">
        <v>241</v>
      </c>
      <c r="J10" s="168" t="s">
        <v>241</v>
      </c>
      <c r="K10" s="168" t="s">
        <v>241</v>
      </c>
      <c r="L10" s="158"/>
      <c r="M10" s="119" t="s">
        <v>186</v>
      </c>
    </row>
    <row r="11" spans="1:13">
      <c r="B11" s="171"/>
      <c r="C11" s="130"/>
      <c r="D11" s="172" t="s">
        <v>80</v>
      </c>
      <c r="E11" s="168" t="s">
        <v>258</v>
      </c>
      <c r="F11" s="168" t="s">
        <v>258</v>
      </c>
      <c r="G11" s="168" t="s">
        <v>258</v>
      </c>
      <c r="H11" s="168" t="s">
        <v>258</v>
      </c>
      <c r="I11" s="168" t="s">
        <v>258</v>
      </c>
      <c r="J11" s="168" t="s">
        <v>258</v>
      </c>
      <c r="K11" s="168" t="s">
        <v>238</v>
      </c>
      <c r="L11" s="116"/>
    </row>
    <row r="12" spans="1:13">
      <c r="A12" s="119" t="s">
        <v>4</v>
      </c>
      <c r="B12" s="171"/>
      <c r="C12" s="116"/>
      <c r="D12" s="172" t="s">
        <v>241</v>
      </c>
      <c r="E12" s="168" t="s">
        <v>259</v>
      </c>
      <c r="F12" s="173" t="s">
        <v>259</v>
      </c>
      <c r="G12" s="168" t="s">
        <v>259</v>
      </c>
      <c r="H12" s="168" t="s">
        <v>259</v>
      </c>
      <c r="I12" s="168" t="s">
        <v>259</v>
      </c>
      <c r="J12" s="168" t="s">
        <v>259</v>
      </c>
      <c r="K12" s="168" t="s">
        <v>260</v>
      </c>
      <c r="L12" s="116"/>
      <c r="M12" s="119" t="s">
        <v>4</v>
      </c>
    </row>
    <row r="13" spans="1:13">
      <c r="A13" s="119" t="s">
        <v>5</v>
      </c>
      <c r="B13" s="1021" t="s">
        <v>261</v>
      </c>
      <c r="C13" s="1021" t="s">
        <v>262</v>
      </c>
      <c r="D13" s="1135" t="s">
        <v>258</v>
      </c>
      <c r="E13" s="1136" t="s">
        <v>263</v>
      </c>
      <c r="F13" s="1136" t="s">
        <v>264</v>
      </c>
      <c r="G13" s="1136" t="s">
        <v>265</v>
      </c>
      <c r="H13" s="1136" t="s">
        <v>266</v>
      </c>
      <c r="I13" s="1136" t="s">
        <v>231</v>
      </c>
      <c r="J13" s="1137" t="s">
        <v>267</v>
      </c>
      <c r="K13" s="1021" t="s">
        <v>268</v>
      </c>
      <c r="L13" s="1021" t="s">
        <v>8</v>
      </c>
      <c r="M13" s="119" t="s">
        <v>5</v>
      </c>
    </row>
    <row r="14" spans="1:13">
      <c r="B14" s="158"/>
      <c r="C14" s="133" t="s">
        <v>269</v>
      </c>
      <c r="D14" s="133"/>
      <c r="E14" s="133"/>
      <c r="F14" s="133"/>
      <c r="G14" s="133"/>
      <c r="H14" s="133"/>
      <c r="I14" s="133"/>
      <c r="J14" s="133"/>
      <c r="K14" s="174"/>
      <c r="L14" s="158"/>
    </row>
    <row r="15" spans="1:13">
      <c r="A15" s="119">
        <v>1</v>
      </c>
      <c r="B15" s="190">
        <v>303</v>
      </c>
      <c r="C15" s="62" t="s">
        <v>270</v>
      </c>
      <c r="D15" s="176">
        <v>0</v>
      </c>
      <c r="E15" s="176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41">
        <f>SUM(D15:J15)</f>
        <v>0</v>
      </c>
      <c r="L15" s="158" t="s">
        <v>216</v>
      </c>
      <c r="M15" s="119">
        <f>A15</f>
        <v>1</v>
      </c>
    </row>
    <row r="16" spans="1:13">
      <c r="A16" s="119">
        <f>A15+1</f>
        <v>2</v>
      </c>
      <c r="B16" s="191">
        <v>310.10000000000002</v>
      </c>
      <c r="C16" s="62" t="s">
        <v>271</v>
      </c>
      <c r="D16" s="178">
        <v>0</v>
      </c>
      <c r="E16" s="178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42">
        <f>SUM(D16:J16)</f>
        <v>0</v>
      </c>
      <c r="L16" s="158" t="s">
        <v>216</v>
      </c>
      <c r="M16" s="119">
        <f>M15+1</f>
        <v>2</v>
      </c>
    </row>
    <row r="17" spans="1:13">
      <c r="A17" s="119">
        <f t="shared" ref="A17:A35" si="0">A16+1</f>
        <v>3</v>
      </c>
      <c r="B17" s="190">
        <v>340</v>
      </c>
      <c r="C17" s="192" t="s">
        <v>272</v>
      </c>
      <c r="D17" s="178">
        <v>0</v>
      </c>
      <c r="E17" s="178">
        <v>4.5723099999999999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80">
        <f>SUM(D17:J17)</f>
        <v>4.5723099999999999</v>
      </c>
      <c r="L17" s="158" t="s">
        <v>216</v>
      </c>
      <c r="M17" s="119">
        <f t="shared" ref="M17:M35" si="1">M16+1</f>
        <v>3</v>
      </c>
    </row>
    <row r="18" spans="1:13">
      <c r="A18" s="119">
        <f t="shared" si="0"/>
        <v>4</v>
      </c>
      <c r="B18" s="190">
        <v>360</v>
      </c>
      <c r="C18" s="192" t="s">
        <v>272</v>
      </c>
      <c r="D18" s="178">
        <v>0</v>
      </c>
      <c r="E18" s="178">
        <v>0</v>
      </c>
      <c r="F18" s="179">
        <v>3626.3653099999997</v>
      </c>
      <c r="G18" s="179">
        <v>0</v>
      </c>
      <c r="H18" s="179">
        <v>0</v>
      </c>
      <c r="I18" s="179">
        <v>0</v>
      </c>
      <c r="J18" s="179">
        <v>0</v>
      </c>
      <c r="K18" s="180">
        <f>SUM(D18:J18)</f>
        <v>3626.3653099999997</v>
      </c>
      <c r="L18" s="158" t="s">
        <v>216</v>
      </c>
      <c r="M18" s="119">
        <f t="shared" si="1"/>
        <v>4</v>
      </c>
    </row>
    <row r="19" spans="1:13">
      <c r="A19" s="119">
        <f t="shared" si="0"/>
        <v>5</v>
      </c>
      <c r="B19" s="190">
        <v>361</v>
      </c>
      <c r="C19" s="62" t="s">
        <v>273</v>
      </c>
      <c r="D19" s="178">
        <v>0</v>
      </c>
      <c r="E19" s="178">
        <v>0</v>
      </c>
      <c r="F19" s="179">
        <v>1496.2538400000001</v>
      </c>
      <c r="G19" s="179">
        <v>0</v>
      </c>
      <c r="H19" s="179">
        <v>0</v>
      </c>
      <c r="I19" s="179">
        <v>0</v>
      </c>
      <c r="J19" s="179">
        <v>0</v>
      </c>
      <c r="K19" s="180">
        <f>SUM(D19:J19)</f>
        <v>1496.2538400000001</v>
      </c>
      <c r="L19" s="158" t="s">
        <v>216</v>
      </c>
      <c r="M19" s="119">
        <f t="shared" si="1"/>
        <v>5</v>
      </c>
    </row>
    <row r="20" spans="1:13">
      <c r="A20" s="119">
        <f t="shared" si="0"/>
        <v>6</v>
      </c>
      <c r="B20" s="158"/>
      <c r="C20" s="133"/>
      <c r="D20" s="133"/>
      <c r="E20" s="133"/>
      <c r="F20" s="133"/>
      <c r="G20" s="133"/>
      <c r="H20" s="133"/>
      <c r="I20" s="133"/>
      <c r="J20" s="133"/>
      <c r="K20" s="174"/>
      <c r="L20" s="158"/>
      <c r="M20" s="119">
        <f t="shared" si="1"/>
        <v>6</v>
      </c>
    </row>
    <row r="21" spans="1:13" s="110" customFormat="1">
      <c r="A21" s="119">
        <f t="shared" si="0"/>
        <v>7</v>
      </c>
      <c r="B21" s="1188" t="s">
        <v>274</v>
      </c>
      <c r="C21" s="1189" t="s">
        <v>275</v>
      </c>
      <c r="D21" s="1190">
        <f>SUM(D15:D20)</f>
        <v>0</v>
      </c>
      <c r="E21" s="1190">
        <f t="shared" ref="E21:I21" si="2">SUM(E15:E20)</f>
        <v>4.5723099999999999</v>
      </c>
      <c r="F21" s="1190">
        <f t="shared" si="2"/>
        <v>5122.6191499999995</v>
      </c>
      <c r="G21" s="1190">
        <f t="shared" si="2"/>
        <v>0</v>
      </c>
      <c r="H21" s="1190">
        <f t="shared" si="2"/>
        <v>0</v>
      </c>
      <c r="I21" s="1190">
        <f t="shared" si="2"/>
        <v>0</v>
      </c>
      <c r="J21" s="1190">
        <f>SUM(J15:J20)</f>
        <v>0</v>
      </c>
      <c r="K21" s="966">
        <f>SUM(K15:K20)</f>
        <v>5127.19146</v>
      </c>
      <c r="L21" s="1191" t="str">
        <f>"Sum Lines "&amp;A15&amp;" thru "&amp;A19</f>
        <v>Sum Lines 1 thru 5</v>
      </c>
      <c r="M21" s="119">
        <f t="shared" si="1"/>
        <v>7</v>
      </c>
    </row>
    <row r="22" spans="1:13">
      <c r="A22" s="119">
        <f t="shared" si="0"/>
        <v>8</v>
      </c>
      <c r="B22" s="158"/>
      <c r="C22" s="133"/>
      <c r="D22" s="181"/>
      <c r="E22" s="182"/>
      <c r="F22" s="182"/>
      <c r="G22" s="182"/>
      <c r="H22" s="182"/>
      <c r="I22" s="182"/>
      <c r="J22" s="182"/>
      <c r="K22" s="174"/>
      <c r="L22" s="158"/>
      <c r="M22" s="119">
        <f t="shared" si="1"/>
        <v>8</v>
      </c>
    </row>
    <row r="23" spans="1:13">
      <c r="A23" s="119">
        <f t="shared" si="0"/>
        <v>9</v>
      </c>
      <c r="B23" s="190">
        <v>350</v>
      </c>
      <c r="C23" s="62" t="s">
        <v>272</v>
      </c>
      <c r="D23" s="184">
        <v>256898.14848999999</v>
      </c>
      <c r="E23" s="176">
        <v>0</v>
      </c>
      <c r="F23" s="177"/>
      <c r="G23" s="176">
        <v>0</v>
      </c>
      <c r="H23" s="176">
        <v>0</v>
      </c>
      <c r="I23" s="176">
        <v>0</v>
      </c>
      <c r="J23" s="176">
        <v>-13536.05594</v>
      </c>
      <c r="K23" s="185">
        <f t="shared" ref="K23:K31" si="3">SUM(D23:J23)</f>
        <v>243362.09255</v>
      </c>
      <c r="L23" s="158" t="s">
        <v>216</v>
      </c>
      <c r="M23" s="119">
        <f t="shared" si="1"/>
        <v>9</v>
      </c>
    </row>
    <row r="24" spans="1:13">
      <c r="A24" s="119">
        <f t="shared" si="0"/>
        <v>10</v>
      </c>
      <c r="B24" s="190">
        <v>352</v>
      </c>
      <c r="C24" s="62" t="s">
        <v>273</v>
      </c>
      <c r="D24" s="186">
        <v>818920.32406999997</v>
      </c>
      <c r="E24" s="179">
        <v>0</v>
      </c>
      <c r="F24" s="179"/>
      <c r="G24" s="181">
        <v>-1928.27782</v>
      </c>
      <c r="H24" s="179">
        <v>0</v>
      </c>
      <c r="I24" s="179">
        <v>0</v>
      </c>
      <c r="J24" s="182">
        <v>-112635.03347000001</v>
      </c>
      <c r="K24" s="187">
        <f t="shared" si="3"/>
        <v>704357.01277999999</v>
      </c>
      <c r="L24" s="158" t="s">
        <v>216</v>
      </c>
      <c r="M24" s="119">
        <f t="shared" si="1"/>
        <v>10</v>
      </c>
    </row>
    <row r="25" spans="1:13">
      <c r="A25" s="119">
        <f t="shared" si="0"/>
        <v>11</v>
      </c>
      <c r="B25" s="190">
        <v>353</v>
      </c>
      <c r="C25" s="62" t="s">
        <v>276</v>
      </c>
      <c r="D25" s="186">
        <v>2277735.1889599999</v>
      </c>
      <c r="E25" s="179">
        <v>0</v>
      </c>
      <c r="F25" s="179"/>
      <c r="G25" s="181">
        <v>-12009.877780000001</v>
      </c>
      <c r="H25" s="179">
        <v>-1420.3928800000001</v>
      </c>
      <c r="I25" s="179">
        <v>0</v>
      </c>
      <c r="J25" s="182">
        <v>-2429.9854399999999</v>
      </c>
      <c r="K25" s="187">
        <f t="shared" si="3"/>
        <v>2261874.9328599996</v>
      </c>
      <c r="L25" s="158" t="s">
        <v>216</v>
      </c>
      <c r="M25" s="119">
        <f t="shared" si="1"/>
        <v>11</v>
      </c>
    </row>
    <row r="26" spans="1:13">
      <c r="A26" s="119">
        <f t="shared" si="0"/>
        <v>12</v>
      </c>
      <c r="B26" s="190">
        <v>354</v>
      </c>
      <c r="C26" s="62" t="s">
        <v>277</v>
      </c>
      <c r="D26" s="186">
        <v>930804.89881000004</v>
      </c>
      <c r="E26" s="179">
        <v>0</v>
      </c>
      <c r="F26" s="179"/>
      <c r="G26" s="181">
        <v>0</v>
      </c>
      <c r="H26" s="179">
        <v>0</v>
      </c>
      <c r="I26" s="179">
        <v>0</v>
      </c>
      <c r="J26" s="182">
        <v>0</v>
      </c>
      <c r="K26" s="187">
        <f t="shared" si="3"/>
        <v>930804.89881000004</v>
      </c>
      <c r="L26" s="158" t="s">
        <v>216</v>
      </c>
      <c r="M26" s="119">
        <f t="shared" si="1"/>
        <v>12</v>
      </c>
    </row>
    <row r="27" spans="1:13">
      <c r="A27" s="119">
        <f t="shared" si="0"/>
        <v>13</v>
      </c>
      <c r="B27" s="190">
        <v>355</v>
      </c>
      <c r="C27" s="62" t="s">
        <v>278</v>
      </c>
      <c r="D27" s="186">
        <v>1080815.14552</v>
      </c>
      <c r="E27" s="179">
        <v>0</v>
      </c>
      <c r="F27" s="179"/>
      <c r="G27" s="181">
        <v>0</v>
      </c>
      <c r="H27" s="179">
        <v>0</v>
      </c>
      <c r="I27" s="179">
        <v>0</v>
      </c>
      <c r="J27" s="182">
        <v>0</v>
      </c>
      <c r="K27" s="187">
        <f t="shared" si="3"/>
        <v>1080815.14552</v>
      </c>
      <c r="L27" s="158" t="s">
        <v>216</v>
      </c>
      <c r="M27" s="119">
        <f t="shared" si="1"/>
        <v>13</v>
      </c>
    </row>
    <row r="28" spans="1:13">
      <c r="A28" s="119">
        <f t="shared" si="0"/>
        <v>14</v>
      </c>
      <c r="B28" s="190">
        <v>356</v>
      </c>
      <c r="C28" s="62" t="s">
        <v>279</v>
      </c>
      <c r="D28" s="186">
        <v>940375.96794999996</v>
      </c>
      <c r="E28" s="179">
        <v>0</v>
      </c>
      <c r="F28" s="179"/>
      <c r="G28" s="181">
        <v>0</v>
      </c>
      <c r="H28" s="179">
        <v>0</v>
      </c>
      <c r="I28" s="179">
        <v>0</v>
      </c>
      <c r="J28" s="182">
        <v>0</v>
      </c>
      <c r="K28" s="187">
        <f t="shared" si="3"/>
        <v>940375.96794999996</v>
      </c>
      <c r="L28" s="158" t="s">
        <v>216</v>
      </c>
      <c r="M28" s="119">
        <f t="shared" si="1"/>
        <v>14</v>
      </c>
    </row>
    <row r="29" spans="1:13">
      <c r="A29" s="119">
        <f t="shared" si="0"/>
        <v>15</v>
      </c>
      <c r="B29" s="190">
        <v>357</v>
      </c>
      <c r="C29" s="62" t="s">
        <v>280</v>
      </c>
      <c r="D29" s="186">
        <v>635069.28517000005</v>
      </c>
      <c r="E29" s="179">
        <v>0</v>
      </c>
      <c r="F29" s="179"/>
      <c r="G29" s="181">
        <v>0</v>
      </c>
      <c r="H29" s="179">
        <v>0</v>
      </c>
      <c r="I29" s="179">
        <v>0</v>
      </c>
      <c r="J29" s="182">
        <v>0</v>
      </c>
      <c r="K29" s="187">
        <f t="shared" si="3"/>
        <v>635069.28517000005</v>
      </c>
      <c r="L29" s="158" t="s">
        <v>216</v>
      </c>
      <c r="M29" s="119">
        <f t="shared" si="1"/>
        <v>15</v>
      </c>
    </row>
    <row r="30" spans="1:13">
      <c r="A30" s="119">
        <f t="shared" si="0"/>
        <v>16</v>
      </c>
      <c r="B30" s="190">
        <v>358</v>
      </c>
      <c r="C30" s="62" t="s">
        <v>281</v>
      </c>
      <c r="D30" s="186">
        <v>611501.32154999999</v>
      </c>
      <c r="E30" s="179">
        <v>0</v>
      </c>
      <c r="F30" s="179"/>
      <c r="G30" s="181">
        <v>-1726.37997</v>
      </c>
      <c r="H30" s="179">
        <v>0</v>
      </c>
      <c r="I30" s="179">
        <v>0</v>
      </c>
      <c r="J30" s="182">
        <v>0</v>
      </c>
      <c r="K30" s="187">
        <f t="shared" si="3"/>
        <v>609774.94157999998</v>
      </c>
      <c r="L30" s="158" t="s">
        <v>216</v>
      </c>
      <c r="M30" s="119">
        <f t="shared" si="1"/>
        <v>16</v>
      </c>
    </row>
    <row r="31" spans="1:13">
      <c r="A31" s="119">
        <f t="shared" si="0"/>
        <v>17</v>
      </c>
      <c r="B31" s="190">
        <v>359</v>
      </c>
      <c r="C31" s="62" t="s">
        <v>282</v>
      </c>
      <c r="D31" s="186">
        <v>391358.77490999998</v>
      </c>
      <c r="E31" s="179">
        <v>0</v>
      </c>
      <c r="F31" s="179"/>
      <c r="G31" s="181">
        <v>0</v>
      </c>
      <c r="H31" s="179">
        <v>0</v>
      </c>
      <c r="I31" s="179">
        <v>0</v>
      </c>
      <c r="J31" s="182">
        <v>0</v>
      </c>
      <c r="K31" s="187">
        <f t="shared" si="3"/>
        <v>391358.77490999998</v>
      </c>
      <c r="L31" s="158" t="s">
        <v>216</v>
      </c>
      <c r="M31" s="119">
        <f t="shared" si="1"/>
        <v>17</v>
      </c>
    </row>
    <row r="32" spans="1:13">
      <c r="A32" s="119">
        <f t="shared" si="0"/>
        <v>18</v>
      </c>
      <c r="B32" s="175"/>
      <c r="C32" s="133"/>
      <c r="D32" s="181"/>
      <c r="F32" s="1039"/>
      <c r="G32" s="1039"/>
      <c r="H32" s="1039"/>
      <c r="I32" s="1039"/>
      <c r="J32" s="182"/>
      <c r="K32" s="1138"/>
      <c r="L32" s="175"/>
      <c r="M32" s="119">
        <f t="shared" si="1"/>
        <v>18</v>
      </c>
    </row>
    <row r="33" spans="1:13">
      <c r="A33" s="119">
        <f t="shared" si="0"/>
        <v>19</v>
      </c>
      <c r="B33" s="1192" t="s">
        <v>274</v>
      </c>
      <c r="C33" s="1189" t="s">
        <v>240</v>
      </c>
      <c r="D33" s="1190">
        <f>SUM(D23:D32)</f>
        <v>7943479.0554299997</v>
      </c>
      <c r="E33" s="1190">
        <f t="shared" ref="E33:I33" si="4">SUM(E23:E32)</f>
        <v>0</v>
      </c>
      <c r="F33" s="1190">
        <f t="shared" si="4"/>
        <v>0</v>
      </c>
      <c r="G33" s="1190">
        <f t="shared" si="4"/>
        <v>-15664.53557</v>
      </c>
      <c r="H33" s="1190">
        <f t="shared" si="4"/>
        <v>-1420.3928800000001</v>
      </c>
      <c r="I33" s="1190">
        <f t="shared" si="4"/>
        <v>0</v>
      </c>
      <c r="J33" s="1190">
        <f>SUM(J23:J32)</f>
        <v>-128601.07485000002</v>
      </c>
      <c r="K33" s="966">
        <f>SUM(K23:K32)</f>
        <v>7797793.0521300007</v>
      </c>
      <c r="L33" s="1193" t="str">
        <f>"Sum Lines "&amp;A23&amp;" thru "&amp;A31</f>
        <v>Sum Lines 9 thru 17</v>
      </c>
      <c r="M33" s="119">
        <f t="shared" si="1"/>
        <v>19</v>
      </c>
    </row>
    <row r="34" spans="1:13">
      <c r="A34" s="119">
        <f t="shared" si="0"/>
        <v>20</v>
      </c>
      <c r="B34" s="170"/>
      <c r="D34" s="136"/>
      <c r="J34" s="183"/>
      <c r="K34" s="188"/>
      <c r="L34" s="967"/>
      <c r="M34" s="119">
        <f t="shared" si="1"/>
        <v>20</v>
      </c>
    </row>
    <row r="35" spans="1:13">
      <c r="A35" s="119">
        <f t="shared" si="0"/>
        <v>21</v>
      </c>
      <c r="B35" s="1194" t="s">
        <v>283</v>
      </c>
      <c r="C35" s="968"/>
      <c r="D35" s="1195">
        <f>D33+D21</f>
        <v>7943479.0554299997</v>
      </c>
      <c r="E35" s="1195">
        <f t="shared" ref="E35:I35" si="5">E33+E21</f>
        <v>4.5723099999999999</v>
      </c>
      <c r="F35" s="1195">
        <f t="shared" si="5"/>
        <v>5122.6191499999995</v>
      </c>
      <c r="G35" s="1195">
        <f>G33+G21</f>
        <v>-15664.53557</v>
      </c>
      <c r="H35" s="1195">
        <f>H33+H21</f>
        <v>-1420.3928800000001</v>
      </c>
      <c r="I35" s="1196">
        <f t="shared" si="5"/>
        <v>0</v>
      </c>
      <c r="J35" s="1195">
        <f>J33+J21</f>
        <v>-128601.07485000002</v>
      </c>
      <c r="K35" s="969">
        <f>K33+K21</f>
        <v>7802920.243590001</v>
      </c>
      <c r="L35" s="1191" t="str">
        <f>"Line "&amp;A21&amp;" + Line "&amp;A33</f>
        <v>Line 7 + Line 19</v>
      </c>
      <c r="M35" s="119">
        <f t="shared" si="1"/>
        <v>21</v>
      </c>
    </row>
    <row r="36" spans="1:13">
      <c r="D36" s="136"/>
    </row>
    <row r="37" spans="1:13">
      <c r="D37" s="136"/>
    </row>
    <row r="38" spans="1:13">
      <c r="B38" s="17" t="s">
        <v>284</v>
      </c>
      <c r="D38" s="136"/>
    </row>
    <row r="39" spans="1:13">
      <c r="D39" s="136"/>
      <c r="K39" s="145"/>
      <c r="L39" s="145"/>
    </row>
    <row r="40" spans="1:13">
      <c r="D40" s="136"/>
    </row>
    <row r="41" spans="1:13">
      <c r="D41" s="136"/>
    </row>
    <row r="42" spans="1:13">
      <c r="D42" s="136"/>
    </row>
    <row r="43" spans="1:13">
      <c r="D43" s="136"/>
    </row>
    <row r="44" spans="1:13">
      <c r="D44" s="136"/>
    </row>
    <row r="45" spans="1:13">
      <c r="D45" s="136"/>
    </row>
    <row r="46" spans="1:13">
      <c r="D46" s="136"/>
    </row>
    <row r="47" spans="1:13">
      <c r="D47" s="136"/>
    </row>
    <row r="48" spans="1:13">
      <c r="D48" s="136"/>
    </row>
    <row r="49" spans="4:4">
      <c r="D49" s="136"/>
    </row>
    <row r="50" spans="4:4">
      <c r="D50" s="136"/>
    </row>
    <row r="51" spans="4:4">
      <c r="D51" s="136"/>
    </row>
    <row r="52" spans="4:4">
      <c r="D52" s="136"/>
    </row>
    <row r="53" spans="4:4">
      <c r="D53" s="136"/>
    </row>
    <row r="54" spans="4:4">
      <c r="D54" s="136"/>
    </row>
    <row r="55" spans="4:4">
      <c r="D55" s="136"/>
    </row>
    <row r="56" spans="4:4">
      <c r="D56" s="136"/>
    </row>
    <row r="57" spans="4:4">
      <c r="D57" s="136"/>
    </row>
    <row r="58" spans="4:4">
      <c r="D58" s="136"/>
    </row>
    <row r="59" spans="4:4">
      <c r="D59" s="136"/>
    </row>
    <row r="60" spans="4:4">
      <c r="D60" s="136"/>
    </row>
    <row r="61" spans="4:4">
      <c r="D61" s="136"/>
    </row>
    <row r="62" spans="4:4">
      <c r="D62" s="136"/>
    </row>
    <row r="63" spans="4:4">
      <c r="D63" s="136"/>
    </row>
    <row r="64" spans="4:4">
      <c r="D64" s="136"/>
    </row>
    <row r="65" spans="4:4">
      <c r="D65" s="136"/>
    </row>
    <row r="66" spans="4:4">
      <c r="D66" s="136"/>
    </row>
    <row r="67" spans="4:4">
      <c r="D67" s="136"/>
    </row>
    <row r="68" spans="4:4">
      <c r="D68" s="136"/>
    </row>
    <row r="69" spans="4:4">
      <c r="D69" s="136"/>
    </row>
    <row r="70" spans="4:4">
      <c r="D70" s="136"/>
    </row>
    <row r="71" spans="4:4">
      <c r="D71" s="136"/>
    </row>
    <row r="72" spans="4:4">
      <c r="D72" s="136"/>
    </row>
    <row r="73" spans="4:4">
      <c r="D73" s="136"/>
    </row>
    <row r="74" spans="4:4">
      <c r="D74" s="136"/>
    </row>
    <row r="75" spans="4:4">
      <c r="D75" s="136"/>
    </row>
    <row r="76" spans="4:4">
      <c r="D76" s="136"/>
    </row>
    <row r="77" spans="4:4">
      <c r="D77" s="136"/>
    </row>
    <row r="78" spans="4:4">
      <c r="D78" s="136"/>
    </row>
    <row r="79" spans="4:4">
      <c r="D79" s="136"/>
    </row>
    <row r="80" spans="4:4">
      <c r="D80" s="136"/>
    </row>
    <row r="81" spans="4:4">
      <c r="D81" s="136"/>
    </row>
    <row r="82" spans="4:4">
      <c r="D82" s="136"/>
    </row>
    <row r="83" spans="4:4">
      <c r="D83" s="136"/>
    </row>
    <row r="84" spans="4:4">
      <c r="D84" s="136"/>
    </row>
    <row r="85" spans="4:4">
      <c r="D85" s="136"/>
    </row>
    <row r="86" spans="4:4">
      <c r="D86" s="136"/>
    </row>
    <row r="87" spans="4:4">
      <c r="D87" s="136"/>
    </row>
    <row r="88" spans="4:4">
      <c r="D88" s="136"/>
    </row>
    <row r="89" spans="4:4">
      <c r="D89" s="136"/>
    </row>
    <row r="90" spans="4:4">
      <c r="D90" s="136"/>
    </row>
    <row r="91" spans="4:4">
      <c r="D91" s="136"/>
    </row>
    <row r="92" spans="4:4">
      <c r="D92" s="136"/>
    </row>
    <row r="93" spans="4:4">
      <c r="D93" s="136"/>
    </row>
    <row r="94" spans="4:4">
      <c r="D94" s="136"/>
    </row>
    <row r="95" spans="4:4">
      <c r="D95" s="136"/>
    </row>
    <row r="96" spans="4:4">
      <c r="D96" s="136"/>
    </row>
    <row r="97" spans="4:4">
      <c r="D97" s="136"/>
    </row>
    <row r="98" spans="4:4">
      <c r="D98" s="136"/>
    </row>
    <row r="99" spans="4:4">
      <c r="D99" s="136"/>
    </row>
    <row r="100" spans="4:4">
      <c r="D100" s="136"/>
    </row>
    <row r="101" spans="4:4">
      <c r="D101" s="136"/>
    </row>
    <row r="102" spans="4:4">
      <c r="D102" s="136"/>
    </row>
    <row r="103" spans="4:4">
      <c r="D103" s="136"/>
    </row>
    <row r="104" spans="4:4">
      <c r="D104" s="136"/>
    </row>
    <row r="105" spans="4:4">
      <c r="D105" s="136"/>
    </row>
    <row r="106" spans="4:4">
      <c r="D106" s="136"/>
    </row>
    <row r="107" spans="4:4">
      <c r="D107" s="136"/>
    </row>
    <row r="108" spans="4:4">
      <c r="D108" s="136"/>
    </row>
    <row r="109" spans="4:4">
      <c r="D109" s="136"/>
    </row>
    <row r="110" spans="4:4">
      <c r="D110" s="136"/>
    </row>
    <row r="111" spans="4:4">
      <c r="D111" s="136"/>
    </row>
    <row r="112" spans="4:4">
      <c r="D112" s="136"/>
    </row>
    <row r="113" spans="4:4">
      <c r="D113" s="136"/>
    </row>
    <row r="114" spans="4:4">
      <c r="D114" s="136"/>
    </row>
    <row r="115" spans="4:4">
      <c r="D115" s="136"/>
    </row>
    <row r="116" spans="4:4">
      <c r="D116" s="136"/>
    </row>
    <row r="117" spans="4:4">
      <c r="D117" s="136"/>
    </row>
    <row r="118" spans="4:4">
      <c r="D118" s="136"/>
    </row>
    <row r="119" spans="4:4">
      <c r="D119" s="136"/>
    </row>
    <row r="120" spans="4:4">
      <c r="D120" s="136"/>
    </row>
    <row r="121" spans="4:4">
      <c r="D121" s="136"/>
    </row>
    <row r="122" spans="4:4">
      <c r="D122" s="136"/>
    </row>
    <row r="123" spans="4:4">
      <c r="D123" s="136"/>
    </row>
    <row r="124" spans="4:4">
      <c r="D124" s="136"/>
    </row>
    <row r="125" spans="4:4">
      <c r="D125" s="136"/>
    </row>
    <row r="126" spans="4:4">
      <c r="D126" s="136"/>
    </row>
    <row r="127" spans="4:4">
      <c r="D127" s="136"/>
    </row>
    <row r="128" spans="4:4">
      <c r="D128" s="136"/>
    </row>
    <row r="129" spans="4:4">
      <c r="D129" s="136"/>
    </row>
    <row r="130" spans="4:4">
      <c r="D130" s="136"/>
    </row>
    <row r="131" spans="4:4">
      <c r="D131" s="136"/>
    </row>
    <row r="132" spans="4:4">
      <c r="D132" s="136"/>
    </row>
    <row r="133" spans="4:4">
      <c r="D133" s="136"/>
    </row>
    <row r="134" spans="4:4">
      <c r="D134" s="136"/>
    </row>
    <row r="135" spans="4:4">
      <c r="D135" s="136"/>
    </row>
    <row r="136" spans="4:4">
      <c r="D136" s="136"/>
    </row>
    <row r="137" spans="4:4">
      <c r="D137" s="136"/>
    </row>
    <row r="138" spans="4:4">
      <c r="D138" s="136"/>
    </row>
    <row r="139" spans="4:4">
      <c r="D139" s="136"/>
    </row>
    <row r="140" spans="4:4">
      <c r="D140" s="136"/>
    </row>
    <row r="141" spans="4:4">
      <c r="D141" s="136"/>
    </row>
    <row r="142" spans="4:4">
      <c r="D142" s="136"/>
    </row>
    <row r="143" spans="4:4">
      <c r="D143" s="136"/>
    </row>
    <row r="144" spans="4:4">
      <c r="D144" s="136"/>
    </row>
    <row r="145" spans="4:4">
      <c r="D145" s="136"/>
    </row>
    <row r="146" spans="4:4">
      <c r="D146" s="136"/>
    </row>
    <row r="147" spans="4:4">
      <c r="D147" s="136"/>
    </row>
    <row r="148" spans="4:4">
      <c r="D148" s="136"/>
    </row>
    <row r="149" spans="4:4">
      <c r="D149" s="136"/>
    </row>
    <row r="150" spans="4:4">
      <c r="D150" s="136"/>
    </row>
    <row r="151" spans="4:4">
      <c r="D151" s="136"/>
    </row>
    <row r="152" spans="4:4">
      <c r="D152" s="136"/>
    </row>
    <row r="153" spans="4:4">
      <c r="D153" s="136"/>
    </row>
    <row r="154" spans="4:4">
      <c r="D154" s="136"/>
    </row>
    <row r="155" spans="4:4">
      <c r="D155" s="136"/>
    </row>
    <row r="156" spans="4:4">
      <c r="D156" s="136"/>
    </row>
    <row r="157" spans="4:4">
      <c r="D157" s="136"/>
    </row>
    <row r="158" spans="4:4">
      <c r="D158" s="136"/>
    </row>
    <row r="159" spans="4:4">
      <c r="D159" s="136"/>
    </row>
    <row r="160" spans="4:4">
      <c r="D160" s="136"/>
    </row>
    <row r="161" spans="4:4">
      <c r="D161" s="136"/>
    </row>
    <row r="162" spans="4:4">
      <c r="D162" s="136"/>
    </row>
    <row r="163" spans="4:4">
      <c r="D163" s="136"/>
    </row>
    <row r="164" spans="4:4">
      <c r="D164" s="136"/>
    </row>
    <row r="165" spans="4:4">
      <c r="D165" s="136"/>
    </row>
    <row r="166" spans="4:4">
      <c r="D166" s="136"/>
    </row>
    <row r="167" spans="4:4">
      <c r="D167" s="136"/>
    </row>
    <row r="168" spans="4:4">
      <c r="D168" s="136"/>
    </row>
    <row r="169" spans="4:4">
      <c r="D169" s="136"/>
    </row>
    <row r="170" spans="4:4">
      <c r="D170" s="136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00EF-A3F7-4DF2-9C4D-715F6E1A6551}">
  <sheetPr>
    <pageSetUpPr fitToPage="1"/>
  </sheetPr>
  <dimension ref="A2:H39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4" customWidth="1"/>
    <col min="5" max="5" width="18.5703125" style="110" customWidth="1"/>
    <col min="6" max="6" width="58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8">
      <c r="B2" s="1305" t="s">
        <v>0</v>
      </c>
      <c r="C2" s="1305"/>
      <c r="D2" s="1305"/>
      <c r="E2" s="1305"/>
      <c r="F2" s="1305"/>
    </row>
    <row r="3" spans="1:8">
      <c r="B3" s="1305" t="s">
        <v>209</v>
      </c>
      <c r="C3" s="1305"/>
      <c r="D3" s="1305"/>
      <c r="E3" s="1305"/>
      <c r="F3" s="1305"/>
    </row>
    <row r="4" spans="1:8">
      <c r="B4" s="1305" t="s">
        <v>210</v>
      </c>
      <c r="C4" s="1305"/>
      <c r="D4" s="1305"/>
      <c r="E4" s="1305"/>
      <c r="F4" s="1305"/>
    </row>
    <row r="5" spans="1:8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  <c r="H5" s="126"/>
    </row>
    <row r="6" spans="1:8">
      <c r="B6" s="1309" t="s">
        <v>3</v>
      </c>
      <c r="C6" s="1309"/>
      <c r="D6" s="1309"/>
      <c r="E6" s="1309"/>
      <c r="F6" s="1309"/>
    </row>
    <row r="7" spans="1:8">
      <c r="B7" s="111"/>
      <c r="C7" s="112"/>
      <c r="D7" s="112"/>
      <c r="E7" s="111"/>
      <c r="F7" s="111"/>
    </row>
    <row r="8" spans="1:8">
      <c r="B8" s="1305" t="s">
        <v>285</v>
      </c>
      <c r="C8" s="1310"/>
      <c r="D8" s="1310"/>
      <c r="E8" s="1310"/>
      <c r="F8" s="1310"/>
    </row>
    <row r="10" spans="1:8">
      <c r="B10" s="862"/>
      <c r="C10" s="863" t="s">
        <v>80</v>
      </c>
      <c r="D10" s="864"/>
      <c r="E10" s="863"/>
      <c r="F10" s="864"/>
    </row>
    <row r="11" spans="1:8">
      <c r="B11" s="116"/>
      <c r="C11" s="121" t="s">
        <v>286</v>
      </c>
      <c r="D11" s="116"/>
      <c r="E11" s="121" t="s">
        <v>286</v>
      </c>
      <c r="F11" s="116"/>
    </row>
    <row r="12" spans="1:8">
      <c r="A12" s="119"/>
      <c r="B12" s="120"/>
      <c r="C12" s="109" t="s">
        <v>241</v>
      </c>
      <c r="D12" s="116"/>
      <c r="E12" s="121" t="s">
        <v>287</v>
      </c>
      <c r="F12" s="116"/>
      <c r="G12" s="119"/>
    </row>
    <row r="13" spans="1:8">
      <c r="A13" s="119" t="s">
        <v>4</v>
      </c>
      <c r="B13" s="120"/>
      <c r="C13" s="109" t="s">
        <v>238</v>
      </c>
      <c r="D13" s="116"/>
      <c r="E13" s="121" t="s">
        <v>238</v>
      </c>
      <c r="F13" s="116"/>
      <c r="G13" s="119" t="s">
        <v>4</v>
      </c>
    </row>
    <row r="14" spans="1:8">
      <c r="A14" s="119" t="s">
        <v>5</v>
      </c>
      <c r="B14" s="1021" t="s">
        <v>124</v>
      </c>
      <c r="C14" s="1118" t="s">
        <v>214</v>
      </c>
      <c r="D14" s="1021" t="s">
        <v>8</v>
      </c>
      <c r="E14" s="1119" t="s">
        <v>288</v>
      </c>
      <c r="F14" s="1021" t="s">
        <v>8</v>
      </c>
      <c r="G14" s="119" t="s">
        <v>5</v>
      </c>
    </row>
    <row r="15" spans="1:8">
      <c r="A15" s="119">
        <v>1</v>
      </c>
      <c r="B15" s="122" t="str">
        <f>"Dec-"&amp;RIGHT(Automation!$B$3-1,2)</f>
        <v>Dec-21</v>
      </c>
      <c r="C15" s="141">
        <v>0</v>
      </c>
      <c r="D15" s="124" t="s">
        <v>216</v>
      </c>
      <c r="E15" s="865">
        <v>0</v>
      </c>
      <c r="F15" s="124" t="s">
        <v>216</v>
      </c>
      <c r="G15" s="119">
        <f>A15</f>
        <v>1</v>
      </c>
      <c r="H15" s="126"/>
    </row>
    <row r="16" spans="1:8">
      <c r="A16" s="119">
        <f>A15+1</f>
        <v>2</v>
      </c>
      <c r="B16" s="122" t="str">
        <f>"Jan-"&amp;RIGHT(Automation!$B$3,2)</f>
        <v>Jan-22</v>
      </c>
      <c r="C16" s="142">
        <v>0</v>
      </c>
      <c r="D16" s="128"/>
      <c r="E16" s="866">
        <v>0</v>
      </c>
      <c r="F16" s="128"/>
      <c r="G16" s="119">
        <f>G15+1</f>
        <v>2</v>
      </c>
      <c r="H16" s="126"/>
    </row>
    <row r="17" spans="1:8">
      <c r="A17" s="119">
        <f t="shared" ref="A17:A33" si="0">A16+1</f>
        <v>3</v>
      </c>
      <c r="B17" s="122" t="s">
        <v>217</v>
      </c>
      <c r="C17" s="142">
        <v>0</v>
      </c>
      <c r="D17" s="128"/>
      <c r="E17" s="866">
        <v>0</v>
      </c>
      <c r="F17" s="128"/>
      <c r="G17" s="119">
        <f t="shared" ref="G17:G33" si="1">G16+1</f>
        <v>3</v>
      </c>
      <c r="H17" s="140"/>
    </row>
    <row r="18" spans="1:8">
      <c r="A18" s="119">
        <f t="shared" si="0"/>
        <v>4</v>
      </c>
      <c r="B18" s="122" t="s">
        <v>218</v>
      </c>
      <c r="C18" s="142">
        <v>0</v>
      </c>
      <c r="D18" s="128"/>
      <c r="E18" s="866">
        <v>0</v>
      </c>
      <c r="F18" s="128"/>
      <c r="G18" s="119">
        <f t="shared" si="1"/>
        <v>4</v>
      </c>
      <c r="H18" s="140"/>
    </row>
    <row r="19" spans="1:8">
      <c r="A19" s="119">
        <f t="shared" si="0"/>
        <v>5</v>
      </c>
      <c r="B19" s="122" t="s">
        <v>219</v>
      </c>
      <c r="C19" s="142">
        <v>0</v>
      </c>
      <c r="D19" s="128"/>
      <c r="E19" s="866">
        <v>0</v>
      </c>
      <c r="F19" s="128"/>
      <c r="G19" s="119">
        <f t="shared" si="1"/>
        <v>5</v>
      </c>
      <c r="H19" s="140"/>
    </row>
    <row r="20" spans="1:8">
      <c r="A20" s="119">
        <f t="shared" si="0"/>
        <v>6</v>
      </c>
      <c r="B20" s="122" t="s">
        <v>161</v>
      </c>
      <c r="C20" s="142">
        <v>0</v>
      </c>
      <c r="D20" s="128"/>
      <c r="E20" s="866">
        <v>0</v>
      </c>
      <c r="F20" s="128"/>
      <c r="G20" s="119">
        <f t="shared" si="1"/>
        <v>6</v>
      </c>
      <c r="H20" s="140"/>
    </row>
    <row r="21" spans="1:8">
      <c r="A21" s="119">
        <f>A20+1</f>
        <v>7</v>
      </c>
      <c r="B21" s="122" t="s">
        <v>220</v>
      </c>
      <c r="C21" s="142">
        <v>0</v>
      </c>
      <c r="D21" s="128"/>
      <c r="E21" s="866">
        <v>0</v>
      </c>
      <c r="F21" s="128"/>
      <c r="G21" s="119">
        <f>G20+1</f>
        <v>7</v>
      </c>
      <c r="H21" s="140"/>
    </row>
    <row r="22" spans="1:8">
      <c r="A22" s="119">
        <f t="shared" si="0"/>
        <v>8</v>
      </c>
      <c r="B22" s="122" t="s">
        <v>221</v>
      </c>
      <c r="C22" s="142">
        <v>0</v>
      </c>
      <c r="D22" s="128"/>
      <c r="E22" s="866">
        <v>0</v>
      </c>
      <c r="F22" s="128"/>
      <c r="G22" s="119">
        <f t="shared" si="1"/>
        <v>8</v>
      </c>
      <c r="H22" s="140"/>
    </row>
    <row r="23" spans="1:8">
      <c r="A23" s="119">
        <f t="shared" si="0"/>
        <v>9</v>
      </c>
      <c r="B23" s="122" t="s">
        <v>222</v>
      </c>
      <c r="C23" s="142">
        <v>0</v>
      </c>
      <c r="D23" s="128"/>
      <c r="E23" s="866">
        <v>0</v>
      </c>
      <c r="F23" s="128"/>
      <c r="G23" s="119">
        <f t="shared" si="1"/>
        <v>9</v>
      </c>
      <c r="H23" s="140"/>
    </row>
    <row r="24" spans="1:8">
      <c r="A24" s="119">
        <f t="shared" si="0"/>
        <v>10</v>
      </c>
      <c r="B24" s="122" t="s">
        <v>223</v>
      </c>
      <c r="C24" s="142">
        <v>0</v>
      </c>
      <c r="D24" s="128"/>
      <c r="E24" s="866">
        <v>0</v>
      </c>
      <c r="F24" s="128"/>
      <c r="G24" s="119">
        <f t="shared" si="1"/>
        <v>10</v>
      </c>
      <c r="H24" s="140"/>
    </row>
    <row r="25" spans="1:8">
      <c r="A25" s="119">
        <f t="shared" si="0"/>
        <v>11</v>
      </c>
      <c r="B25" s="122" t="s">
        <v>224</v>
      </c>
      <c r="C25" s="142">
        <v>0</v>
      </c>
      <c r="D25" s="128"/>
      <c r="E25" s="866">
        <v>0</v>
      </c>
      <c r="F25" s="128"/>
      <c r="G25" s="119">
        <f t="shared" si="1"/>
        <v>11</v>
      </c>
      <c r="H25" s="140"/>
    </row>
    <row r="26" spans="1:8">
      <c r="A26" s="119">
        <f t="shared" si="0"/>
        <v>12</v>
      </c>
      <c r="B26" s="122" t="s">
        <v>225</v>
      </c>
      <c r="C26" s="142">
        <v>0</v>
      </c>
      <c r="D26" s="128"/>
      <c r="E26" s="866">
        <v>0</v>
      </c>
      <c r="F26" s="128"/>
      <c r="G26" s="119">
        <f t="shared" si="1"/>
        <v>12</v>
      </c>
      <c r="H26" s="140"/>
    </row>
    <row r="27" spans="1:8">
      <c r="A27" s="119">
        <f t="shared" si="0"/>
        <v>13</v>
      </c>
      <c r="B27" s="1038" t="str">
        <f>"Dec-"&amp;RIGHT(Automation!$B$3,2)</f>
        <v>Dec-22</v>
      </c>
      <c r="C27" s="1124">
        <v>0</v>
      </c>
      <c r="D27" s="1123" t="s">
        <v>216</v>
      </c>
      <c r="E27" s="1139">
        <v>0</v>
      </c>
      <c r="F27" s="1123" t="s">
        <v>216</v>
      </c>
      <c r="G27" s="119">
        <f t="shared" si="1"/>
        <v>13</v>
      </c>
      <c r="H27" s="126"/>
    </row>
    <row r="28" spans="1:8">
      <c r="A28" s="119">
        <f t="shared" si="0"/>
        <v>14</v>
      </c>
      <c r="B28" s="130"/>
      <c r="C28" s="867"/>
      <c r="D28" s="148"/>
      <c r="E28" s="143"/>
      <c r="F28" s="868"/>
      <c r="G28" s="119">
        <f t="shared" si="1"/>
        <v>14</v>
      </c>
      <c r="H28" s="140"/>
    </row>
    <row r="29" spans="1:8">
      <c r="A29" s="119">
        <f t="shared" si="0"/>
        <v>15</v>
      </c>
      <c r="B29" s="130" t="s">
        <v>226</v>
      </c>
      <c r="C29" s="144">
        <f>SUM(C15:C27)</f>
        <v>0</v>
      </c>
      <c r="D29" s="341" t="str">
        <f>"Sum Lines "&amp;A15&amp;" thru "&amp;A27</f>
        <v>Sum Lines 1 thru 13</v>
      </c>
      <c r="E29" s="144">
        <f>SUM(E15:E27)</f>
        <v>0</v>
      </c>
      <c r="F29" s="525" t="str">
        <f>"Sum Lines "&amp;A15&amp;" thru "&amp;A27</f>
        <v>Sum Lines 1 thru 13</v>
      </c>
      <c r="G29" s="119">
        <f t="shared" si="1"/>
        <v>15</v>
      </c>
      <c r="H29" s="140"/>
    </row>
    <row r="30" spans="1:8">
      <c r="A30" s="119">
        <f t="shared" si="0"/>
        <v>16</v>
      </c>
      <c r="B30" s="1022"/>
      <c r="C30" s="1125"/>
      <c r="D30" s="1126"/>
      <c r="E30" s="1125"/>
      <c r="F30" s="1140"/>
      <c r="G30" s="119">
        <f t="shared" si="1"/>
        <v>16</v>
      </c>
      <c r="H30" s="140"/>
    </row>
    <row r="31" spans="1:8">
      <c r="A31" s="119">
        <f t="shared" si="0"/>
        <v>17</v>
      </c>
      <c r="B31" s="130"/>
      <c r="C31" s="143"/>
      <c r="D31" s="149"/>
      <c r="E31" s="143"/>
      <c r="F31" s="869"/>
      <c r="G31" s="119">
        <f t="shared" si="1"/>
        <v>17</v>
      </c>
      <c r="H31" s="140"/>
    </row>
    <row r="32" spans="1:8">
      <c r="A32" s="119">
        <f t="shared" si="0"/>
        <v>18</v>
      </c>
      <c r="B32" s="130" t="s">
        <v>227</v>
      </c>
      <c r="C32" s="151">
        <f>C29/13</f>
        <v>0</v>
      </c>
      <c r="D32" s="341" t="str">
        <f>"Average of Lines "&amp;A15&amp;" thru "&amp;A27</f>
        <v>Average of Lines 1 thru 13</v>
      </c>
      <c r="E32" s="151">
        <f>E29/13</f>
        <v>0</v>
      </c>
      <c r="F32" s="525" t="str">
        <f>"Average of Lines "&amp;A15&amp;" thru "&amp;A27</f>
        <v>Average of Lines 1 thru 13</v>
      </c>
      <c r="G32" s="119">
        <f t="shared" si="1"/>
        <v>18</v>
      </c>
      <c r="H32" s="140"/>
    </row>
    <row r="33" spans="1:8">
      <c r="A33" s="119">
        <f t="shared" si="0"/>
        <v>19</v>
      </c>
      <c r="B33" s="1022"/>
      <c r="C33" s="1125"/>
      <c r="D33" s="1126"/>
      <c r="E33" s="1125"/>
      <c r="F33" s="1140"/>
      <c r="G33" s="119">
        <f t="shared" si="1"/>
        <v>19</v>
      </c>
      <c r="H33" s="140"/>
    </row>
    <row r="34" spans="1:8">
      <c r="B34" s="136"/>
      <c r="C34" s="145"/>
      <c r="D34" s="145"/>
      <c r="E34" s="145"/>
      <c r="F34" s="146"/>
      <c r="G34" s="870"/>
      <c r="H34" s="140"/>
    </row>
    <row r="35" spans="1:8">
      <c r="B35" s="161"/>
      <c r="C35" s="146"/>
      <c r="D35" s="146"/>
      <c r="E35" s="146"/>
      <c r="F35" s="146"/>
      <c r="G35" s="580"/>
      <c r="H35" s="140"/>
    </row>
    <row r="36" spans="1:8">
      <c r="B36" s="136"/>
      <c r="C36" s="146"/>
      <c r="D36" s="146"/>
      <c r="E36" s="146"/>
      <c r="F36" s="146"/>
      <c r="G36" s="580"/>
      <c r="H36" s="140"/>
    </row>
    <row r="37" spans="1:8">
      <c r="B37" s="136"/>
      <c r="C37" s="146"/>
      <c r="D37" s="146"/>
      <c r="E37" s="146"/>
      <c r="F37" s="146"/>
      <c r="G37" s="580"/>
      <c r="H37" s="140"/>
    </row>
    <row r="38" spans="1:8">
      <c r="B38" s="136"/>
      <c r="C38" s="146"/>
      <c r="D38" s="146"/>
      <c r="E38" s="146"/>
      <c r="F38" s="146"/>
      <c r="G38" s="580"/>
      <c r="H38" s="140"/>
    </row>
    <row r="39" spans="1:8">
      <c r="C39" s="147"/>
      <c r="D39" s="147"/>
      <c r="E39" s="140"/>
      <c r="F39" s="140"/>
      <c r="G39" s="580"/>
      <c r="H39" s="140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F41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0" customWidth="1"/>
    <col min="4" max="4" width="62.5703125" style="110" customWidth="1"/>
    <col min="5" max="5" width="5.140625" style="109" customWidth="1"/>
    <col min="6" max="6" width="11" style="110" customWidth="1"/>
    <col min="7" max="7" width="7.140625" style="110" customWidth="1"/>
    <col min="8" max="8" width="9.140625" style="110" customWidth="1"/>
    <col min="9" max="9" width="14" style="110" customWidth="1"/>
    <col min="10" max="10" width="13.28515625" style="110" customWidth="1"/>
    <col min="11" max="16384" width="9.140625" style="110"/>
  </cols>
  <sheetData>
    <row r="2" spans="1:6">
      <c r="B2" s="1305" t="s">
        <v>0</v>
      </c>
      <c r="C2" s="1305"/>
      <c r="D2" s="1305"/>
    </row>
    <row r="3" spans="1:6">
      <c r="B3" s="1305" t="s">
        <v>209</v>
      </c>
      <c r="C3" s="1305"/>
      <c r="D3" s="1305"/>
    </row>
    <row r="4" spans="1:6">
      <c r="B4" s="1305" t="s">
        <v>210</v>
      </c>
      <c r="C4" s="1305"/>
      <c r="D4" s="1305"/>
    </row>
    <row r="5" spans="1:6">
      <c r="B5" s="1305" t="str">
        <f>"BASE PERIOD / TRUE UP PERIOD - 12/31/"&amp;Automation!$B$3&amp;" PER BOOK"</f>
        <v>BASE PERIOD / TRUE UP PERIOD - 12/31/2022 PER BOOK</v>
      </c>
      <c r="C5" s="1305"/>
      <c r="D5" s="1305"/>
    </row>
    <row r="6" spans="1:6">
      <c r="B6" s="1309" t="s">
        <v>3</v>
      </c>
      <c r="C6" s="1309"/>
      <c r="D6" s="1309"/>
    </row>
    <row r="7" spans="1:6">
      <c r="B7" s="111"/>
      <c r="C7" s="111"/>
      <c r="D7" s="111"/>
    </row>
    <row r="8" spans="1:6">
      <c r="B8" s="1305" t="s">
        <v>289</v>
      </c>
      <c r="C8" s="1305"/>
      <c r="D8" s="1305"/>
    </row>
    <row r="10" spans="1:6">
      <c r="B10" s="533"/>
      <c r="C10" s="970" t="s">
        <v>290</v>
      </c>
      <c r="D10" s="971"/>
      <c r="E10" s="119"/>
    </row>
    <row r="11" spans="1:6">
      <c r="A11" s="119" t="s">
        <v>4</v>
      </c>
      <c r="B11" s="171"/>
      <c r="C11" s="116" t="s">
        <v>291</v>
      </c>
      <c r="D11" s="194"/>
      <c r="E11" s="119" t="s">
        <v>4</v>
      </c>
    </row>
    <row r="12" spans="1:6">
      <c r="A12" s="119" t="s">
        <v>5</v>
      </c>
      <c r="B12" s="1024" t="s">
        <v>124</v>
      </c>
      <c r="C12" s="1021" t="s">
        <v>176</v>
      </c>
      <c r="D12" s="1119" t="s">
        <v>8</v>
      </c>
      <c r="E12" s="119" t="s">
        <v>5</v>
      </c>
    </row>
    <row r="13" spans="1:6">
      <c r="A13" s="119"/>
      <c r="B13" s="195"/>
      <c r="C13" s="196"/>
      <c r="D13" s="197"/>
      <c r="E13" s="119"/>
    </row>
    <row r="14" spans="1:6">
      <c r="A14" s="119">
        <v>1</v>
      </c>
      <c r="B14" s="198" t="str">
        <f>"Dec-"&amp;RIGHT(Automation!$B$3-1,2)</f>
        <v>Dec-21</v>
      </c>
      <c r="C14" s="199">
        <v>191893.59429000001</v>
      </c>
      <c r="D14" s="1246" t="s">
        <v>930</v>
      </c>
      <c r="E14" s="119">
        <f>A14</f>
        <v>1</v>
      </c>
      <c r="F14" s="126"/>
    </row>
    <row r="15" spans="1:6">
      <c r="A15" s="119">
        <f>A14+1</f>
        <v>2</v>
      </c>
      <c r="B15" s="200"/>
      <c r="C15" s="160"/>
      <c r="D15" s="1247"/>
      <c r="E15" s="119">
        <f>E14+1</f>
        <v>2</v>
      </c>
    </row>
    <row r="16" spans="1:6">
      <c r="A16" s="119">
        <f t="shared" ref="A16:A20" si="0">A15+1</f>
        <v>3</v>
      </c>
      <c r="B16" s="198" t="str">
        <f>"Dec-"&amp;RIGHT(Automation!$B$3,2)</f>
        <v>Dec-22</v>
      </c>
      <c r="C16" s="181">
        <v>112870.21666999999</v>
      </c>
      <c r="D16" s="1246" t="s">
        <v>931</v>
      </c>
      <c r="E16" s="119">
        <f t="shared" ref="E16:E20" si="1">E15+1</f>
        <v>3</v>
      </c>
      <c r="F16" s="126"/>
    </row>
    <row r="17" spans="1:5">
      <c r="A17" s="119">
        <f t="shared" si="0"/>
        <v>4</v>
      </c>
      <c r="B17" s="201"/>
      <c r="C17" s="1131"/>
      <c r="D17" s="1141"/>
      <c r="E17" s="119">
        <f t="shared" si="1"/>
        <v>4</v>
      </c>
    </row>
    <row r="18" spans="1:5">
      <c r="A18" s="119">
        <f t="shared" si="0"/>
        <v>5</v>
      </c>
      <c r="B18" s="533"/>
      <c r="C18" s="196"/>
      <c r="D18" s="197"/>
      <c r="E18" s="119">
        <f t="shared" si="1"/>
        <v>5</v>
      </c>
    </row>
    <row r="19" spans="1:5">
      <c r="A19" s="119">
        <f t="shared" si="0"/>
        <v>6</v>
      </c>
      <c r="B19" s="201" t="s">
        <v>239</v>
      </c>
      <c r="C19" s="202">
        <f>(C14+C16)/2</f>
        <v>152381.90548000002</v>
      </c>
      <c r="D19" s="203" t="str">
        <f>"Average of Line "&amp;A14&amp;" and Line "&amp;A16</f>
        <v>Average of Line 1 and Line 3</v>
      </c>
      <c r="E19" s="119">
        <f t="shared" si="1"/>
        <v>6</v>
      </c>
    </row>
    <row r="20" spans="1:5">
      <c r="A20" s="119">
        <f t="shared" si="0"/>
        <v>7</v>
      </c>
      <c r="B20" s="1142"/>
      <c r="C20" s="1047"/>
      <c r="D20" s="1125"/>
      <c r="E20" s="119">
        <f t="shared" si="1"/>
        <v>7</v>
      </c>
    </row>
    <row r="21" spans="1:5">
      <c r="A21" s="119"/>
      <c r="B21" s="136"/>
      <c r="C21" s="204"/>
      <c r="D21" s="136"/>
      <c r="E21" s="119"/>
    </row>
    <row r="22" spans="1:5">
      <c r="B22" s="136"/>
      <c r="C22" s="136"/>
      <c r="D22" s="136"/>
      <c r="E22" s="119"/>
    </row>
    <row r="23" spans="1:5">
      <c r="B23" s="136"/>
      <c r="C23" s="136"/>
      <c r="D23" s="136"/>
    </row>
    <row r="24" spans="1:5">
      <c r="B24" s="136"/>
      <c r="C24" s="136"/>
      <c r="D24" s="136"/>
    </row>
    <row r="25" spans="1:5">
      <c r="B25" s="136"/>
      <c r="C25" s="136"/>
      <c r="D25" s="136"/>
    </row>
    <row r="26" spans="1:5">
      <c r="B26" s="136"/>
      <c r="C26" s="136"/>
      <c r="D26" s="136"/>
    </row>
    <row r="27" spans="1:5">
      <c r="B27" s="136"/>
      <c r="C27" s="136"/>
      <c r="D27" s="136"/>
    </row>
    <row r="28" spans="1:5">
      <c r="B28" s="136"/>
      <c r="C28" s="136"/>
      <c r="D28" s="136"/>
    </row>
    <row r="29" spans="1:5">
      <c r="B29" s="136"/>
      <c r="C29" s="136"/>
      <c r="D29" s="136"/>
    </row>
    <row r="30" spans="1:5">
      <c r="B30" s="136"/>
      <c r="C30" s="136"/>
      <c r="D30" s="136"/>
    </row>
    <row r="31" spans="1:5">
      <c r="B31" s="136"/>
      <c r="C31" s="136"/>
      <c r="D31" s="136"/>
    </row>
    <row r="32" spans="1:5">
      <c r="B32" s="136"/>
      <c r="C32" s="136"/>
      <c r="D32" s="136"/>
    </row>
    <row r="33" spans="1:5">
      <c r="B33" s="136"/>
      <c r="C33" s="136"/>
      <c r="D33" s="136"/>
    </row>
    <row r="34" spans="1:5">
      <c r="B34" s="136"/>
      <c r="C34" s="136"/>
      <c r="D34" s="136"/>
    </row>
    <row r="35" spans="1:5" s="136" customFormat="1">
      <c r="A35" s="119"/>
      <c r="E35" s="119"/>
    </row>
    <row r="36" spans="1:5" s="136" customFormat="1">
      <c r="A36" s="119"/>
      <c r="E36" s="119"/>
    </row>
    <row r="37" spans="1:5" s="136" customFormat="1">
      <c r="A37" s="119"/>
      <c r="E37" s="119"/>
    </row>
    <row r="38" spans="1:5" s="136" customFormat="1">
      <c r="A38" s="119"/>
      <c r="E38" s="119"/>
    </row>
    <row r="39" spans="1:5" s="136" customFormat="1">
      <c r="A39" s="119"/>
      <c r="E39" s="119"/>
    </row>
    <row r="40" spans="1:5" s="136" customFormat="1">
      <c r="A40" s="119"/>
      <c r="E40" s="119"/>
    </row>
    <row r="41" spans="1:5" s="136" customFormat="1">
      <c r="A41" s="119"/>
      <c r="E41" s="119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H40"/>
  <sheetViews>
    <sheetView zoomScale="80" zoomScaleNormal="80" workbookViewId="0"/>
  </sheetViews>
  <sheetFormatPr defaultColWidth="9.140625" defaultRowHeight="15.75"/>
  <cols>
    <col min="1" max="1" width="4.7109375" style="109" bestFit="1" customWidth="1"/>
    <col min="2" max="2" width="57.5703125" style="110" customWidth="1"/>
    <col min="3" max="3" width="24.5703125" style="110" customWidth="1"/>
    <col min="4" max="4" width="55" style="110" customWidth="1"/>
    <col min="5" max="5" width="4.7109375" style="109" bestFit="1" customWidth="1"/>
    <col min="6" max="6" width="9.7109375" style="110" bestFit="1" customWidth="1"/>
    <col min="7" max="7" width="10.5703125" style="110" bestFit="1" customWidth="1"/>
    <col min="8" max="8" width="17.28515625" style="110" customWidth="1"/>
    <col min="9" max="9" width="14" style="110" customWidth="1"/>
    <col min="10" max="10" width="13.28515625" style="110" customWidth="1"/>
    <col min="11" max="16384" width="9.140625" style="110"/>
  </cols>
  <sheetData>
    <row r="2" spans="1:7">
      <c r="B2" s="1305" t="s">
        <v>0</v>
      </c>
      <c r="C2" s="1305"/>
      <c r="D2" s="1305"/>
    </row>
    <row r="3" spans="1:7">
      <c r="B3" s="1305" t="s">
        <v>209</v>
      </c>
      <c r="C3" s="1305"/>
      <c r="D3" s="1305"/>
    </row>
    <row r="4" spans="1:7">
      <c r="B4" s="1305" t="s">
        <v>210</v>
      </c>
      <c r="C4" s="1305"/>
      <c r="D4" s="1305"/>
    </row>
    <row r="5" spans="1:7">
      <c r="B5" s="1305" t="str">
        <f>"BASE PERIOD / TRUE UP PERIOD - 12/31/"&amp;Automation!$B$3&amp;" PER BOOK"</f>
        <v>BASE PERIOD / TRUE UP PERIOD - 12/31/2022 PER BOOK</v>
      </c>
      <c r="C5" s="1305"/>
      <c r="D5" s="1305"/>
    </row>
    <row r="6" spans="1:7">
      <c r="B6" s="1309" t="s">
        <v>3</v>
      </c>
      <c r="C6" s="1309"/>
      <c r="D6" s="1309"/>
    </row>
    <row r="7" spans="1:7">
      <c r="B7" s="111"/>
      <c r="C7" s="111"/>
      <c r="D7" s="111"/>
    </row>
    <row r="8" spans="1:7">
      <c r="B8" s="1305" t="s">
        <v>292</v>
      </c>
      <c r="C8" s="1305"/>
      <c r="D8" s="1305"/>
      <c r="E8" s="119"/>
    </row>
    <row r="9" spans="1:7">
      <c r="A9" s="119"/>
      <c r="E9" s="119"/>
    </row>
    <row r="10" spans="1:7">
      <c r="A10" s="119"/>
      <c r="B10" s="533"/>
      <c r="C10" s="970" t="s">
        <v>290</v>
      </c>
      <c r="D10" s="972"/>
      <c r="E10" s="119"/>
    </row>
    <row r="11" spans="1:7">
      <c r="A11" s="119" t="s">
        <v>4</v>
      </c>
      <c r="B11" s="171"/>
      <c r="C11" s="116" t="s">
        <v>293</v>
      </c>
      <c r="D11" s="118"/>
      <c r="E11" s="119" t="s">
        <v>4</v>
      </c>
    </row>
    <row r="12" spans="1:7">
      <c r="A12" s="119" t="s">
        <v>5</v>
      </c>
      <c r="B12" s="1024" t="s">
        <v>124</v>
      </c>
      <c r="C12" s="1021" t="s">
        <v>176</v>
      </c>
      <c r="D12" s="1021" t="s">
        <v>8</v>
      </c>
      <c r="E12" s="119" t="s">
        <v>5</v>
      </c>
    </row>
    <row r="13" spans="1:7">
      <c r="A13" s="119"/>
      <c r="B13" s="195"/>
      <c r="C13" s="196"/>
      <c r="D13" s="205"/>
      <c r="E13" s="119"/>
    </row>
    <row r="14" spans="1:7">
      <c r="A14" s="119">
        <v>1</v>
      </c>
      <c r="B14" s="198" t="str">
        <f>"Dec-"&amp;RIGHT(Automation!$B$3-1,2)</f>
        <v>Dec-21</v>
      </c>
      <c r="C14" s="199">
        <v>518902.72382000007</v>
      </c>
      <c r="D14" s="157" t="s">
        <v>930</v>
      </c>
      <c r="E14" s="119">
        <f>A14</f>
        <v>1</v>
      </c>
      <c r="F14" s="1211"/>
      <c r="G14" s="1212"/>
    </row>
    <row r="15" spans="1:7">
      <c r="A15" s="119">
        <f>A14+1</f>
        <v>2</v>
      </c>
      <c r="B15" s="200"/>
      <c r="C15" s="160"/>
      <c r="D15" s="160"/>
      <c r="E15" s="119">
        <f>E14+1</f>
        <v>2</v>
      </c>
    </row>
    <row r="16" spans="1:7">
      <c r="A16" s="119">
        <f t="shared" ref="A16:A20" si="0">A15+1</f>
        <v>3</v>
      </c>
      <c r="B16" s="198" t="str">
        <f>"Dec-"&amp;RIGHT(Automation!$B$3,2)</f>
        <v>Dec-22</v>
      </c>
      <c r="C16" s="181">
        <v>571823.00717</v>
      </c>
      <c r="D16" s="157" t="s">
        <v>931</v>
      </c>
      <c r="E16" s="119">
        <f t="shared" ref="E16:E20" si="1">E15+1</f>
        <v>3</v>
      </c>
      <c r="F16" s="126"/>
    </row>
    <row r="17" spans="1:8">
      <c r="A17" s="119">
        <f t="shared" si="0"/>
        <v>4</v>
      </c>
      <c r="B17" s="201"/>
      <c r="C17" s="1131"/>
      <c r="D17" s="1131"/>
      <c r="E17" s="119">
        <f t="shared" si="1"/>
        <v>4</v>
      </c>
    </row>
    <row r="18" spans="1:8">
      <c r="A18" s="119">
        <f t="shared" si="0"/>
        <v>5</v>
      </c>
      <c r="B18" s="533"/>
      <c r="C18" s="196"/>
      <c r="D18" s="205"/>
      <c r="E18" s="119">
        <f t="shared" si="1"/>
        <v>5</v>
      </c>
    </row>
    <row r="19" spans="1:8">
      <c r="A19" s="119">
        <f t="shared" si="0"/>
        <v>6</v>
      </c>
      <c r="B19" s="201" t="s">
        <v>239</v>
      </c>
      <c r="C19" s="206">
        <f>(C14+C16)/2</f>
        <v>545362.86549500003</v>
      </c>
      <c r="D19" s="207" t="str">
        <f>"Average of Line "&amp;A14&amp;" and Line "&amp;A16</f>
        <v>Average of Line 1 and Line 3</v>
      </c>
      <c r="E19" s="119">
        <f t="shared" si="1"/>
        <v>6</v>
      </c>
    </row>
    <row r="20" spans="1:8">
      <c r="A20" s="119">
        <f t="shared" si="0"/>
        <v>7</v>
      </c>
      <c r="B20" s="1142"/>
      <c r="C20" s="1143"/>
      <c r="D20" s="1023"/>
      <c r="E20" s="119">
        <f t="shared" si="1"/>
        <v>7</v>
      </c>
    </row>
    <row r="21" spans="1:8">
      <c r="A21" s="119"/>
      <c r="B21" s="136"/>
      <c r="C21" s="204"/>
      <c r="D21" s="136"/>
      <c r="E21" s="119"/>
    </row>
    <row r="22" spans="1:8">
      <c r="B22" s="136"/>
      <c r="C22" s="136"/>
      <c r="D22" s="136"/>
    </row>
    <row r="23" spans="1:8" ht="18.75">
      <c r="A23" s="135"/>
      <c r="B23" s="136"/>
      <c r="C23" s="136"/>
      <c r="D23" s="136"/>
    </row>
    <row r="24" spans="1:8">
      <c r="B24" s="136"/>
      <c r="C24" s="136"/>
      <c r="D24" s="136"/>
    </row>
    <row r="25" spans="1:8">
      <c r="B25" s="136"/>
      <c r="C25" s="136"/>
      <c r="D25" s="136"/>
      <c r="H25" s="193"/>
    </row>
    <row r="26" spans="1:8">
      <c r="B26" s="136"/>
      <c r="D26" s="136"/>
    </row>
    <row r="27" spans="1:8">
      <c r="B27" s="136"/>
      <c r="C27" s="136"/>
      <c r="D27" s="136"/>
    </row>
    <row r="28" spans="1:8">
      <c r="B28" s="136"/>
      <c r="C28" s="136"/>
      <c r="D28" s="136"/>
    </row>
    <row r="29" spans="1:8">
      <c r="B29" s="136"/>
      <c r="C29" s="136"/>
      <c r="D29" s="136"/>
    </row>
    <row r="30" spans="1:8">
      <c r="B30" s="136"/>
      <c r="C30" s="136"/>
      <c r="D30" s="136"/>
    </row>
    <row r="31" spans="1:8">
      <c r="B31" s="136"/>
      <c r="C31" s="136"/>
      <c r="D31" s="136"/>
    </row>
    <row r="32" spans="1:8">
      <c r="B32" s="136"/>
      <c r="C32" s="136"/>
      <c r="D32" s="136"/>
    </row>
    <row r="33" spans="1:5">
      <c r="B33" s="136"/>
      <c r="C33" s="136"/>
      <c r="D33" s="136"/>
    </row>
    <row r="34" spans="1:5" s="136" customFormat="1">
      <c r="A34" s="119"/>
      <c r="E34" s="119"/>
    </row>
    <row r="35" spans="1:5" s="136" customFormat="1">
      <c r="A35" s="119"/>
      <c r="E35" s="119"/>
    </row>
    <row r="36" spans="1:5" s="136" customFormat="1">
      <c r="A36" s="119"/>
      <c r="E36" s="119"/>
    </row>
    <row r="37" spans="1:5" s="136" customFormat="1">
      <c r="A37" s="119"/>
      <c r="E37" s="119"/>
    </row>
    <row r="38" spans="1:5" s="136" customFormat="1">
      <c r="A38" s="119"/>
      <c r="E38" s="119"/>
    </row>
    <row r="39" spans="1:5" s="136" customFormat="1">
      <c r="A39" s="119"/>
      <c r="E39" s="119"/>
    </row>
    <row r="40" spans="1:5" s="136" customFormat="1">
      <c r="A40" s="119"/>
      <c r="E40" s="119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86" orientation="landscape" r:id="rId1"/>
  <headerFooter scaleWithDoc="0">
    <oddFooter>&amp;C&amp;"Times New Roman,Regular"&amp;10&amp;A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30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8.5703125" style="110" customWidth="1"/>
    <col min="3" max="3" width="41.140625" style="110" customWidth="1"/>
    <col min="4" max="4" width="18.5703125" style="110" customWidth="1"/>
    <col min="5" max="5" width="62.5703125" style="110" customWidth="1"/>
    <col min="6" max="6" width="5.140625" style="109" customWidth="1"/>
    <col min="7" max="7" width="24" style="110" customWidth="1"/>
    <col min="8" max="8" width="11" style="110" customWidth="1"/>
    <col min="9" max="9" width="7.140625" style="110" customWidth="1"/>
    <col min="10" max="10" width="9.140625" style="110" customWidth="1"/>
    <col min="11" max="11" width="14" style="110" customWidth="1"/>
    <col min="12" max="12" width="15.140625" style="110" bestFit="1" customWidth="1"/>
    <col min="13" max="16384" width="9.140625" style="110"/>
  </cols>
  <sheetData>
    <row r="2" spans="1:7">
      <c r="B2" s="1305" t="s">
        <v>0</v>
      </c>
      <c r="C2" s="1305"/>
      <c r="D2" s="1305"/>
      <c r="E2" s="1305"/>
    </row>
    <row r="3" spans="1:7">
      <c r="B3" s="1305" t="s">
        <v>209</v>
      </c>
      <c r="C3" s="1305"/>
      <c r="D3" s="1305"/>
      <c r="E3" s="1305"/>
    </row>
    <row r="4" spans="1:7">
      <c r="B4" s="1305" t="s">
        <v>210</v>
      </c>
      <c r="C4" s="1305"/>
      <c r="D4" s="1305"/>
      <c r="E4" s="1305"/>
    </row>
    <row r="5" spans="1:7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G5"/>
    </row>
    <row r="6" spans="1:7">
      <c r="B6" s="1309" t="s">
        <v>3</v>
      </c>
      <c r="C6" s="1309"/>
      <c r="D6" s="1309"/>
      <c r="E6" s="1309"/>
    </row>
    <row r="7" spans="1:7">
      <c r="B7" s="111"/>
      <c r="C7" s="111"/>
      <c r="D7" s="111"/>
      <c r="E7" s="111"/>
    </row>
    <row r="8" spans="1:7">
      <c r="B8" s="1305" t="s">
        <v>294</v>
      </c>
      <c r="C8" s="1305"/>
      <c r="D8" s="1305"/>
      <c r="E8" s="1305"/>
      <c r="F8" s="119"/>
    </row>
    <row r="9" spans="1:7">
      <c r="A9" s="119"/>
      <c r="F9" s="119"/>
    </row>
    <row r="10" spans="1:7">
      <c r="A10" s="119" t="s">
        <v>4</v>
      </c>
      <c r="B10" s="529"/>
      <c r="C10" s="529"/>
      <c r="D10" s="530"/>
      <c r="E10" s="970"/>
      <c r="F10" s="119" t="s">
        <v>4</v>
      </c>
    </row>
    <row r="11" spans="1:7">
      <c r="A11" s="119" t="s">
        <v>5</v>
      </c>
      <c r="B11" s="1024" t="s">
        <v>124</v>
      </c>
      <c r="C11" s="1024" t="s">
        <v>262</v>
      </c>
      <c r="D11" s="1024" t="s">
        <v>7</v>
      </c>
      <c r="E11" s="1021" t="s">
        <v>8</v>
      </c>
      <c r="F11" s="119" t="s">
        <v>5</v>
      </c>
    </row>
    <row r="12" spans="1:7">
      <c r="A12" s="119"/>
      <c r="B12" s="973"/>
      <c r="C12" s="973"/>
      <c r="D12" s="158"/>
      <c r="E12" s="974"/>
      <c r="F12" s="119"/>
    </row>
    <row r="13" spans="1:7">
      <c r="A13" s="119">
        <v>1</v>
      </c>
      <c r="B13" s="198" t="str">
        <f>"Dec-"&amp;RIGHT(Automation!$B$3-1,2)</f>
        <v>Dec-21</v>
      </c>
      <c r="C13" s="198" t="s">
        <v>295</v>
      </c>
      <c r="D13" s="532">
        <v>2014291.9280000001</v>
      </c>
      <c r="E13" s="532" t="s">
        <v>1017</v>
      </c>
      <c r="F13" s="119">
        <f>A13</f>
        <v>1</v>
      </c>
    </row>
    <row r="14" spans="1:7">
      <c r="A14" s="119">
        <f>A13+1</f>
        <v>2</v>
      </c>
      <c r="B14" s="198"/>
      <c r="C14" s="198" t="s">
        <v>296</v>
      </c>
      <c r="D14" s="1025">
        <v>0.74670000000000003</v>
      </c>
      <c r="E14" s="544" t="s">
        <v>1019</v>
      </c>
      <c r="F14" s="119">
        <f>F13+1</f>
        <v>2</v>
      </c>
    </row>
    <row r="15" spans="1:7">
      <c r="A15" s="119">
        <f t="shared" ref="A15:A23" si="0">A14+1</f>
        <v>3</v>
      </c>
      <c r="B15" s="198"/>
      <c r="C15" s="198" t="s">
        <v>297</v>
      </c>
      <c r="D15" s="532">
        <f>D13*D14</f>
        <v>1504071.7826376001</v>
      </c>
      <c r="E15" s="157" t="str">
        <f>"Line "&amp;A13&amp;" x Line "&amp;A14</f>
        <v>Line 1 x Line 2</v>
      </c>
      <c r="F15" s="119">
        <f t="shared" ref="F15:F23" si="1">F14+1</f>
        <v>3</v>
      </c>
    </row>
    <row r="16" spans="1:7">
      <c r="A16" s="119">
        <f t="shared" si="0"/>
        <v>4</v>
      </c>
      <c r="B16" s="198"/>
      <c r="C16" s="198"/>
      <c r="D16" s="208"/>
      <c r="E16" s="157"/>
      <c r="F16" s="119">
        <f t="shared" si="1"/>
        <v>4</v>
      </c>
    </row>
    <row r="17" spans="1:12">
      <c r="A17" s="119">
        <f t="shared" si="0"/>
        <v>5</v>
      </c>
      <c r="B17" s="198" t="str">
        <f>"Dec-"&amp;RIGHT(Automation!$B$3,2)</f>
        <v>Dec-22</v>
      </c>
      <c r="C17" s="198" t="s">
        <v>295</v>
      </c>
      <c r="D17" s="532">
        <v>2126037.125</v>
      </c>
      <c r="E17" s="532" t="s">
        <v>1018</v>
      </c>
      <c r="F17" s="119">
        <f t="shared" si="1"/>
        <v>5</v>
      </c>
    </row>
    <row r="18" spans="1:12">
      <c r="A18" s="119">
        <f t="shared" si="0"/>
        <v>6</v>
      </c>
      <c r="B18" s="198"/>
      <c r="C18" s="198" t="s">
        <v>296</v>
      </c>
      <c r="D18" s="1025">
        <v>0.73170000000000002</v>
      </c>
      <c r="E18" s="544" t="s">
        <v>1019</v>
      </c>
      <c r="F18" s="119">
        <f t="shared" si="1"/>
        <v>6</v>
      </c>
      <c r="G18" s="418"/>
      <c r="L18" s="229"/>
    </row>
    <row r="19" spans="1:12">
      <c r="A19" s="119">
        <f t="shared" si="0"/>
        <v>7</v>
      </c>
      <c r="B19" s="198"/>
      <c r="C19" s="198" t="s">
        <v>297</v>
      </c>
      <c r="D19" s="532">
        <f>D17*D18</f>
        <v>1555621.3643625001</v>
      </c>
      <c r="E19" s="207" t="str">
        <f>"Line "&amp;A17&amp;" x Line "&amp;A18</f>
        <v>Line 5 x Line 6</v>
      </c>
      <c r="F19" s="119">
        <f t="shared" si="1"/>
        <v>7</v>
      </c>
      <c r="G19" s="423"/>
      <c r="L19" s="229"/>
    </row>
    <row r="20" spans="1:12">
      <c r="A20" s="119">
        <f t="shared" si="0"/>
        <v>8</v>
      </c>
      <c r="B20" s="1026"/>
      <c r="C20" s="1024"/>
      <c r="D20" s="1144"/>
      <c r="E20" s="1027"/>
      <c r="F20" s="119">
        <f t="shared" si="1"/>
        <v>8</v>
      </c>
      <c r="G20" s="423"/>
      <c r="L20" s="229"/>
    </row>
    <row r="21" spans="1:12">
      <c r="A21" s="119">
        <f t="shared" si="0"/>
        <v>9</v>
      </c>
      <c r="B21" s="533"/>
      <c r="D21" s="148"/>
      <c r="E21" s="130"/>
      <c r="F21" s="119">
        <f t="shared" si="1"/>
        <v>9</v>
      </c>
      <c r="G21" s="423"/>
    </row>
    <row r="22" spans="1:12">
      <c r="A22" s="119">
        <f t="shared" si="0"/>
        <v>10</v>
      </c>
      <c r="B22" s="201" t="s">
        <v>239</v>
      </c>
      <c r="D22" s="202">
        <f>(D15+D19)/2</f>
        <v>1529846.5735000502</v>
      </c>
      <c r="E22" s="158" t="str">
        <f>"Average of Line "&amp;A15&amp;" and Line "&amp;A19</f>
        <v>Average of Line 3 and Line 7</v>
      </c>
      <c r="F22" s="119">
        <f t="shared" si="1"/>
        <v>10</v>
      </c>
      <c r="G22" s="423"/>
      <c r="L22" s="229"/>
    </row>
    <row r="23" spans="1:12">
      <c r="A23" s="119">
        <f t="shared" si="0"/>
        <v>11</v>
      </c>
      <c r="B23" s="1142"/>
      <c r="C23" s="1145"/>
      <c r="D23" s="1047"/>
      <c r="E23" s="1131"/>
      <c r="F23" s="119">
        <f t="shared" si="1"/>
        <v>11</v>
      </c>
      <c r="G23" s="423"/>
    </row>
    <row r="24" spans="1:12">
      <c r="A24" s="119"/>
      <c r="B24" s="136"/>
      <c r="C24" s="136"/>
      <c r="D24" s="136"/>
      <c r="E24" s="136"/>
      <c r="F24" s="119"/>
      <c r="G24" s="423"/>
    </row>
    <row r="25" spans="1:12">
      <c r="A25" s="119"/>
      <c r="B25" s="136"/>
      <c r="C25" s="136"/>
      <c r="D25" s="136"/>
      <c r="E25" s="136"/>
      <c r="G25" s="423"/>
    </row>
    <row r="26" spans="1:12">
      <c r="A26" s="119"/>
      <c r="B26" s="136"/>
      <c r="C26" s="136"/>
      <c r="D26" s="136"/>
      <c r="E26" s="136"/>
      <c r="G26" s="423"/>
    </row>
    <row r="27" spans="1:12">
      <c r="G27" s="423"/>
    </row>
    <row r="28" spans="1:12">
      <c r="G28" s="423"/>
    </row>
    <row r="29" spans="1:12">
      <c r="G29" s="423"/>
    </row>
    <row r="30" spans="1:12">
      <c r="G30" s="423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40"/>
  <sheetViews>
    <sheetView zoomScale="80" zoomScaleNormal="80" zoomScalePageLayoutView="80" workbookViewId="0"/>
  </sheetViews>
  <sheetFormatPr defaultColWidth="8.7109375" defaultRowHeight="15.75"/>
  <cols>
    <col min="1" max="1" width="5.140625" style="119" bestFit="1" customWidth="1"/>
    <col min="2" max="2" width="67.5703125" style="136" customWidth="1"/>
    <col min="3" max="3" width="24" style="119" customWidth="1"/>
    <col min="4" max="4" width="1.5703125" style="136" customWidth="1"/>
    <col min="5" max="5" width="16.7109375" style="136" customWidth="1"/>
    <col min="6" max="6" width="1.5703125" style="136" customWidth="1"/>
    <col min="7" max="7" width="16.7109375" style="136" customWidth="1"/>
    <col min="8" max="8" width="1.5703125" style="136" customWidth="1"/>
    <col min="9" max="9" width="16.7109375" style="136" customWidth="1"/>
    <col min="10" max="10" width="1.5703125" style="136" customWidth="1"/>
    <col min="11" max="11" width="34.5703125" style="136" customWidth="1"/>
    <col min="12" max="12" width="5.140625" style="136" bestFit="1" customWidth="1"/>
    <col min="13" max="13" width="8.7109375" style="136"/>
    <col min="14" max="14" width="33.28515625" style="136" customWidth="1"/>
    <col min="15" max="16384" width="8.7109375" style="136"/>
  </cols>
  <sheetData>
    <row r="1" spans="1:14">
      <c r="H1" s="119"/>
      <c r="I1" s="119"/>
      <c r="J1" s="119"/>
      <c r="K1" s="119"/>
      <c r="L1" s="119"/>
    </row>
    <row r="2" spans="1:14"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L2" s="119"/>
    </row>
    <row r="3" spans="1:14">
      <c r="B3" s="1305" t="s">
        <v>298</v>
      </c>
      <c r="C3" s="1305"/>
      <c r="D3" s="1305"/>
      <c r="E3" s="1305"/>
      <c r="F3" s="1305"/>
      <c r="G3" s="1305"/>
      <c r="H3" s="1305"/>
      <c r="I3" s="1305"/>
      <c r="J3" s="1305"/>
      <c r="K3" s="1305"/>
      <c r="L3" s="119"/>
    </row>
    <row r="4" spans="1:14">
      <c r="B4" s="1305" t="s">
        <v>299</v>
      </c>
      <c r="C4" s="1305"/>
      <c r="D4" s="1305"/>
      <c r="E4" s="1305"/>
      <c r="F4" s="1305"/>
      <c r="G4" s="1305"/>
      <c r="H4" s="1305"/>
      <c r="I4" s="1305"/>
      <c r="J4" s="1305"/>
      <c r="K4" s="1305"/>
      <c r="L4" s="119"/>
    </row>
    <row r="5" spans="1:14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  <c r="H5" s="1307"/>
      <c r="I5" s="1307"/>
      <c r="J5" s="1307"/>
      <c r="K5" s="1307"/>
      <c r="L5" s="119"/>
      <c r="N5" s="110"/>
    </row>
    <row r="6" spans="1:14">
      <c r="B6" s="1309" t="s">
        <v>3</v>
      </c>
      <c r="C6" s="1306"/>
      <c r="D6" s="1306"/>
      <c r="E6" s="1306"/>
      <c r="F6" s="1306"/>
      <c r="G6" s="1306"/>
      <c r="H6" s="1306"/>
      <c r="I6" s="1306"/>
      <c r="J6" s="1306"/>
      <c r="K6" s="1306"/>
      <c r="L6" s="119"/>
      <c r="N6" s="429"/>
    </row>
    <row r="7" spans="1:14">
      <c r="B7" s="119"/>
      <c r="D7" s="119"/>
      <c r="E7" s="119"/>
      <c r="F7" s="119"/>
      <c r="G7" s="119"/>
      <c r="H7" s="109"/>
      <c r="I7" s="109"/>
      <c r="J7" s="109"/>
      <c r="K7" s="119"/>
      <c r="L7" s="119"/>
    </row>
    <row r="8" spans="1:14">
      <c r="A8" s="119" t="s">
        <v>4</v>
      </c>
      <c r="B8" s="109"/>
      <c r="C8" s="250" t="s">
        <v>189</v>
      </c>
      <c r="D8" s="109"/>
      <c r="E8" s="346" t="s">
        <v>77</v>
      </c>
      <c r="F8" s="119"/>
      <c r="G8" s="346" t="s">
        <v>78</v>
      </c>
      <c r="H8" s="119"/>
      <c r="I8" s="346" t="s">
        <v>190</v>
      </c>
      <c r="J8" s="109"/>
      <c r="K8" s="119"/>
      <c r="L8" s="119" t="s">
        <v>4</v>
      </c>
    </row>
    <row r="9" spans="1:14">
      <c r="A9" s="119" t="s">
        <v>5</v>
      </c>
      <c r="B9" s="109"/>
      <c r="C9" s="1003" t="s">
        <v>191</v>
      </c>
      <c r="D9" s="109"/>
      <c r="E9" s="1146" t="str">
        <f>'Stmt AD'!E9</f>
        <v>31-Dec-21</v>
      </c>
      <c r="F9" s="109"/>
      <c r="G9" s="1146" t="str">
        <f>'Stmt AD'!G9</f>
        <v>31-Dec-22</v>
      </c>
      <c r="H9" s="109"/>
      <c r="I9" s="1017" t="s">
        <v>192</v>
      </c>
      <c r="J9" s="109"/>
      <c r="K9" s="1018" t="s">
        <v>8</v>
      </c>
      <c r="L9" s="119" t="s">
        <v>5</v>
      </c>
    </row>
    <row r="10" spans="1:14">
      <c r="B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4" ht="18.75">
      <c r="A11" s="119">
        <v>1</v>
      </c>
      <c r="B11" s="16" t="s">
        <v>300</v>
      </c>
      <c r="D11" s="119"/>
      <c r="E11" s="430"/>
      <c r="F11" s="354"/>
      <c r="G11" s="430"/>
      <c r="H11" s="431"/>
      <c r="I11" s="432">
        <f>'AE-1'!F36</f>
        <v>1736237.7221999997</v>
      </c>
      <c r="J11" s="357"/>
      <c r="K11" s="119" t="str">
        <f>"AE-1; Line "&amp;'AE-1'!A36</f>
        <v>AE-1; Line 23</v>
      </c>
      <c r="L11" s="119">
        <f>A11</f>
        <v>1</v>
      </c>
    </row>
    <row r="12" spans="1:14">
      <c r="A12" s="119">
        <f>A11+1</f>
        <v>2</v>
      </c>
      <c r="B12" s="16"/>
      <c r="E12" s="347"/>
      <c r="G12" s="347"/>
      <c r="H12" s="360"/>
      <c r="I12" s="347"/>
      <c r="J12" s="360"/>
      <c r="K12" s="433"/>
      <c r="L12" s="119">
        <f>L11+1</f>
        <v>2</v>
      </c>
    </row>
    <row r="13" spans="1:14" ht="18.75">
      <c r="A13" s="119">
        <f t="shared" ref="A13:A29" si="0">+A12+1</f>
        <v>3</v>
      </c>
      <c r="B13" s="16" t="s">
        <v>917</v>
      </c>
      <c r="E13" s="434">
        <f>'AE-2'!C14</f>
        <v>173963.95592000001</v>
      </c>
      <c r="F13" s="435"/>
      <c r="G13" s="434">
        <f>'AE-2'!C16</f>
        <v>69951.332410000003</v>
      </c>
      <c r="H13" s="357"/>
      <c r="I13" s="365">
        <f>(E13+G13)/2</f>
        <v>121957.64416500001</v>
      </c>
      <c r="J13" s="357"/>
      <c r="K13" s="119" t="str">
        <f>"AE-2; Line "&amp;'AE-2'!A19</f>
        <v>AE-2; Line 6</v>
      </c>
      <c r="L13" s="119">
        <f t="shared" ref="L13:L29" si="1">+L12+1</f>
        <v>3</v>
      </c>
    </row>
    <row r="14" spans="1:14">
      <c r="A14" s="119">
        <f t="shared" si="0"/>
        <v>4</v>
      </c>
      <c r="B14" s="16"/>
      <c r="E14" s="347"/>
      <c r="G14" s="347"/>
      <c r="H14" s="360"/>
      <c r="I14" s="365"/>
      <c r="J14" s="360"/>
      <c r="K14" s="352"/>
      <c r="L14" s="119">
        <f t="shared" si="1"/>
        <v>4</v>
      </c>
    </row>
    <row r="15" spans="1:14" ht="18.75">
      <c r="A15" s="119">
        <f t="shared" si="0"/>
        <v>5</v>
      </c>
      <c r="B15" s="16" t="s">
        <v>918</v>
      </c>
      <c r="E15" s="394">
        <f>'AE-3'!C14</f>
        <v>219537.53417000003</v>
      </c>
      <c r="G15" s="394">
        <f>'AE-3'!C16</f>
        <v>243049.83005000002</v>
      </c>
      <c r="H15" s="436"/>
      <c r="I15" s="365">
        <f>(E15+G15)/2</f>
        <v>231293.68211000002</v>
      </c>
      <c r="J15" s="360"/>
      <c r="K15" s="119" t="str">
        <f>"AE-3; Line "&amp;'AE-3'!A19</f>
        <v>AE-3; Line 6</v>
      </c>
      <c r="L15" s="119">
        <f t="shared" si="1"/>
        <v>5</v>
      </c>
    </row>
    <row r="16" spans="1:14">
      <c r="A16" s="119">
        <f t="shared" si="0"/>
        <v>6</v>
      </c>
      <c r="B16" s="16"/>
      <c r="E16" s="365"/>
      <c r="G16" s="365"/>
      <c r="H16" s="360"/>
      <c r="I16" s="366"/>
      <c r="J16" s="360"/>
      <c r="K16" s="352"/>
      <c r="L16" s="119">
        <f t="shared" si="1"/>
        <v>6</v>
      </c>
    </row>
    <row r="17" spans="1:12" ht="18.75">
      <c r="A17" s="119">
        <f t="shared" si="0"/>
        <v>7</v>
      </c>
      <c r="B17" s="16" t="s">
        <v>301</v>
      </c>
      <c r="E17" s="394">
        <f>'AE-4'!D15</f>
        <v>640617.78183810005</v>
      </c>
      <c r="G17" s="394">
        <f>'AE-4'!D19</f>
        <v>646344.7064883</v>
      </c>
      <c r="H17" s="436"/>
      <c r="I17" s="365">
        <f>(E17+G17)/2</f>
        <v>643481.24416320003</v>
      </c>
      <c r="J17" s="360"/>
      <c r="K17" s="119" t="str">
        <f>"AE-4; Line "&amp;'AE-4'!A22</f>
        <v>AE-4; Line 10</v>
      </c>
      <c r="L17" s="119">
        <f t="shared" si="1"/>
        <v>7</v>
      </c>
    </row>
    <row r="18" spans="1:12">
      <c r="A18" s="119">
        <f t="shared" si="0"/>
        <v>8</v>
      </c>
      <c r="B18" s="16"/>
      <c r="E18" s="347"/>
      <c r="G18" s="347"/>
      <c r="H18" s="360"/>
      <c r="I18" s="347"/>
      <c r="J18" s="360"/>
      <c r="K18" s="359"/>
      <c r="L18" s="119">
        <f t="shared" si="1"/>
        <v>8</v>
      </c>
    </row>
    <row r="19" spans="1:12">
      <c r="A19" s="119">
        <f t="shared" si="0"/>
        <v>9</v>
      </c>
      <c r="B19" s="16" t="s">
        <v>198</v>
      </c>
      <c r="E19" s="361"/>
      <c r="G19" s="361"/>
      <c r="H19" s="362"/>
      <c r="I19" s="1019">
        <f>'Stmt AI'!E27</f>
        <v>0.10215928815161097</v>
      </c>
      <c r="J19" s="362"/>
      <c r="K19" s="352" t="str">
        <f>"Statement AI; Line "&amp;'Stmt AI'!A27</f>
        <v>Statement AI; Line 17</v>
      </c>
      <c r="L19" s="119">
        <f t="shared" si="1"/>
        <v>9</v>
      </c>
    </row>
    <row r="20" spans="1:12">
      <c r="A20" s="119">
        <f t="shared" si="0"/>
        <v>10</v>
      </c>
      <c r="B20" s="16"/>
      <c r="E20" s="347"/>
      <c r="G20" s="347"/>
      <c r="H20" s="360"/>
      <c r="I20" s="386"/>
      <c r="J20" s="360"/>
      <c r="K20" s="359"/>
      <c r="L20" s="119">
        <f t="shared" si="1"/>
        <v>10</v>
      </c>
    </row>
    <row r="21" spans="1:12">
      <c r="A21" s="119">
        <f t="shared" si="0"/>
        <v>11</v>
      </c>
      <c r="B21" s="16" t="s">
        <v>302</v>
      </c>
      <c r="E21" s="347"/>
      <c r="G21" s="347"/>
      <c r="H21" s="360"/>
      <c r="I21" s="437">
        <f>I13*I19</f>
        <v>12459.106112543872</v>
      </c>
      <c r="J21" s="357"/>
      <c r="K21" s="359" t="str">
        <f>"Line "&amp;A13&amp;" x Line "&amp;A19</f>
        <v>Line 3 x Line 9</v>
      </c>
      <c r="L21" s="119">
        <f t="shared" si="1"/>
        <v>11</v>
      </c>
    </row>
    <row r="22" spans="1:12">
      <c r="A22" s="119">
        <f t="shared" si="0"/>
        <v>12</v>
      </c>
      <c r="B22" s="16"/>
      <c r="E22" s="347"/>
      <c r="G22" s="347"/>
      <c r="H22" s="360"/>
      <c r="I22" s="386"/>
      <c r="J22" s="360"/>
      <c r="K22" s="359"/>
      <c r="L22" s="119">
        <f t="shared" si="1"/>
        <v>12</v>
      </c>
    </row>
    <row r="23" spans="1:12">
      <c r="A23" s="119">
        <f t="shared" si="0"/>
        <v>13</v>
      </c>
      <c r="B23" s="16" t="s">
        <v>303</v>
      </c>
      <c r="E23" s="365"/>
      <c r="F23" s="183"/>
      <c r="G23" s="365"/>
      <c r="H23" s="438"/>
      <c r="I23" s="439">
        <f>I15*I19</f>
        <v>23628.797918322602</v>
      </c>
      <c r="J23" s="360"/>
      <c r="K23" s="359" t="str">
        <f>"Line "&amp;A15&amp;" x Line "&amp;A19</f>
        <v>Line 5 x Line 9</v>
      </c>
      <c r="L23" s="119">
        <f t="shared" si="1"/>
        <v>13</v>
      </c>
    </row>
    <row r="24" spans="1:12">
      <c r="A24" s="119">
        <f t="shared" si="0"/>
        <v>14</v>
      </c>
      <c r="B24" s="16"/>
      <c r="E24" s="365"/>
      <c r="F24" s="183"/>
      <c r="G24" s="365"/>
      <c r="H24" s="436"/>
      <c r="I24" s="396"/>
      <c r="J24" s="360"/>
      <c r="K24" s="359"/>
      <c r="L24" s="119">
        <f t="shared" si="1"/>
        <v>14</v>
      </c>
    </row>
    <row r="25" spans="1:12">
      <c r="A25" s="119">
        <f t="shared" si="0"/>
        <v>15</v>
      </c>
      <c r="B25" s="16" t="s">
        <v>304</v>
      </c>
      <c r="E25" s="439"/>
      <c r="F25" s="183"/>
      <c r="G25" s="439"/>
      <c r="H25" s="436"/>
      <c r="I25" s="1147">
        <f>I17*I19</f>
        <v>65737.585842625485</v>
      </c>
      <c r="J25" s="360"/>
      <c r="K25" s="359" t="str">
        <f>"Line "&amp;A17&amp;" x Line "&amp;A19</f>
        <v>Line 7 x Line 9</v>
      </c>
      <c r="L25" s="119">
        <f t="shared" si="1"/>
        <v>15</v>
      </c>
    </row>
    <row r="26" spans="1:12">
      <c r="A26" s="119">
        <f t="shared" si="0"/>
        <v>16</v>
      </c>
      <c r="B26" s="16"/>
      <c r="E26" s="439"/>
      <c r="F26" s="183"/>
      <c r="G26" s="439"/>
      <c r="H26" s="436"/>
      <c r="I26" s="396"/>
      <c r="J26" s="360"/>
      <c r="K26" s="359"/>
      <c r="L26" s="119">
        <f t="shared" si="1"/>
        <v>16</v>
      </c>
    </row>
    <row r="27" spans="1:12" ht="16.5" thickBot="1">
      <c r="A27" s="119">
        <f t="shared" si="0"/>
        <v>17</v>
      </c>
      <c r="B27" s="16" t="s">
        <v>305</v>
      </c>
      <c r="E27" s="363"/>
      <c r="F27" s="183"/>
      <c r="G27" s="363"/>
      <c r="H27" s="436"/>
      <c r="I27" s="364">
        <f>I11+I21+I23+I25</f>
        <v>1838063.2120734917</v>
      </c>
      <c r="J27" s="357"/>
      <c r="K27" s="359" t="str">
        <f>"Line "&amp;A11&amp;" + (Sum Lines "&amp;A21&amp;" thru "&amp;A25&amp;")"</f>
        <v>Line 1 + (Sum Lines 11 thru 15)</v>
      </c>
      <c r="L27" s="119">
        <f t="shared" si="1"/>
        <v>17</v>
      </c>
    </row>
    <row r="28" spans="1:12" ht="16.5" thickTop="1">
      <c r="A28" s="119">
        <f t="shared" si="0"/>
        <v>18</v>
      </c>
      <c r="B28" s="16"/>
      <c r="E28" s="363"/>
      <c r="F28" s="183"/>
      <c r="G28" s="363"/>
      <c r="H28" s="436"/>
      <c r="I28" s="363"/>
      <c r="J28" s="357"/>
      <c r="K28" s="359"/>
      <c r="L28" s="119">
        <f t="shared" si="1"/>
        <v>18</v>
      </c>
    </row>
    <row r="29" spans="1:12" ht="19.5" thickBot="1">
      <c r="A29" s="119">
        <f t="shared" si="0"/>
        <v>19</v>
      </c>
      <c r="B29" s="16" t="s">
        <v>306</v>
      </c>
      <c r="E29" s="363"/>
      <c r="F29" s="183"/>
      <c r="G29" s="363"/>
      <c r="H29" s="436"/>
      <c r="I29" s="887">
        <v>0</v>
      </c>
      <c r="J29" s="119"/>
      <c r="K29" s="119" t="s">
        <v>307</v>
      </c>
      <c r="L29" s="119">
        <f t="shared" si="1"/>
        <v>19</v>
      </c>
    </row>
    <row r="30" spans="1:12" ht="16.5" thickTop="1">
      <c r="B30" s="16"/>
      <c r="G30" s="356"/>
      <c r="H30" s="360"/>
      <c r="I30" s="360"/>
      <c r="J30" s="360"/>
      <c r="K30" s="359"/>
      <c r="L30" s="119"/>
    </row>
    <row r="32" spans="1:12" ht="18.75">
      <c r="A32" s="2">
        <v>1</v>
      </c>
      <c r="B32" s="136" t="s">
        <v>308</v>
      </c>
    </row>
    <row r="33" spans="1:14" ht="18.75">
      <c r="A33" s="1">
        <v>2</v>
      </c>
      <c r="B33" s="16" t="s">
        <v>309</v>
      </c>
    </row>
    <row r="34" spans="1:14" ht="18.75">
      <c r="A34" s="1">
        <v>3</v>
      </c>
      <c r="B34" s="136" t="s">
        <v>310</v>
      </c>
    </row>
    <row r="35" spans="1:14" ht="18.75">
      <c r="A35" s="1">
        <v>4</v>
      </c>
      <c r="B35" s="136" t="s">
        <v>207</v>
      </c>
    </row>
    <row r="36" spans="1:14" ht="18.75">
      <c r="A36" s="1"/>
    </row>
    <row r="38" spans="1:14" ht="18.75">
      <c r="A38" s="1"/>
    </row>
    <row r="40" spans="1:14">
      <c r="N40" s="193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0" orientation="portrait" r:id="rId1"/>
  <headerFooter scaleWithDoc="0">
    <oddFooter>&amp;C&amp;"Times New Roman,Regular"&amp;10AE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J49"/>
  <sheetViews>
    <sheetView zoomScale="80" zoomScaleNormal="80" workbookViewId="0">
      <selection activeCell="H36" sqref="H36"/>
    </sheetView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.7109375" style="114" customWidth="1"/>
    <col min="5" max="5" width="25.140625" style="114" customWidth="1"/>
    <col min="6" max="6" width="18.5703125" style="110" customWidth="1"/>
    <col min="7" max="7" width="3.42578125" style="110" customWidth="1"/>
    <col min="8" max="8" width="69.5703125" style="110" bestFit="1" customWidth="1"/>
    <col min="9" max="9" width="5.140625" style="109" customWidth="1"/>
    <col min="10" max="10" width="24" style="110" customWidth="1"/>
    <col min="11" max="11" width="11" style="110" customWidth="1"/>
    <col min="12" max="12" width="7.140625" style="110" customWidth="1"/>
    <col min="13" max="13" width="9.140625" style="110" customWidth="1"/>
    <col min="14" max="14" width="14" style="110" customWidth="1"/>
    <col min="15" max="15" width="13.28515625" style="110" customWidth="1"/>
    <col min="16" max="16384" width="9.140625" style="110"/>
  </cols>
  <sheetData>
    <row r="2" spans="1:10">
      <c r="B2" s="1305" t="s">
        <v>0</v>
      </c>
      <c r="C2" s="1305"/>
      <c r="D2" s="1305"/>
      <c r="E2" s="1305"/>
      <c r="F2" s="1305"/>
      <c r="G2" s="1305"/>
      <c r="H2" s="1305"/>
    </row>
    <row r="3" spans="1:10">
      <c r="B3" s="1305" t="s">
        <v>311</v>
      </c>
      <c r="C3" s="1305"/>
      <c r="D3" s="1305"/>
      <c r="E3" s="1305"/>
      <c r="F3" s="1305"/>
      <c r="G3" s="1305"/>
      <c r="H3" s="1305"/>
    </row>
    <row r="4" spans="1:10">
      <c r="B4" s="1305" t="s">
        <v>312</v>
      </c>
      <c r="C4" s="1305"/>
      <c r="D4" s="1305"/>
      <c r="E4" s="1305"/>
      <c r="F4" s="1305"/>
      <c r="G4" s="1305"/>
      <c r="H4" s="1305"/>
    </row>
    <row r="5" spans="1:10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  <c r="G5" s="1305"/>
      <c r="H5" s="1305"/>
    </row>
    <row r="6" spans="1:10">
      <c r="B6" s="1309" t="s">
        <v>3</v>
      </c>
      <c r="C6" s="1309"/>
      <c r="D6" s="1309"/>
      <c r="E6" s="1309"/>
      <c r="F6" s="1309"/>
      <c r="G6" s="1309"/>
      <c r="H6" s="1309"/>
    </row>
    <row r="7" spans="1:10">
      <c r="B7" s="111"/>
      <c r="C7" s="112"/>
      <c r="D7" s="112"/>
      <c r="E7" s="112"/>
      <c r="F7" s="111"/>
      <c r="G7" s="111"/>
      <c r="H7" s="111"/>
    </row>
    <row r="8" spans="1:10">
      <c r="B8" s="1305" t="s">
        <v>240</v>
      </c>
      <c r="C8" s="1305"/>
      <c r="D8" s="1305"/>
      <c r="E8" s="1305"/>
      <c r="F8" s="1305"/>
      <c r="G8" s="1305"/>
      <c r="H8" s="1305"/>
    </row>
    <row r="9" spans="1:10">
      <c r="D9" s="1036"/>
      <c r="G9" s="1145"/>
    </row>
    <row r="10" spans="1:10">
      <c r="A10" s="119"/>
      <c r="B10" s="862"/>
      <c r="C10" s="1265" t="s">
        <v>80</v>
      </c>
      <c r="D10" s="863"/>
      <c r="E10" s="863"/>
      <c r="F10" s="1265"/>
      <c r="G10" s="863"/>
      <c r="H10" s="863"/>
    </row>
    <row r="11" spans="1:10">
      <c r="A11" s="119"/>
      <c r="B11" s="116"/>
      <c r="C11" s="109" t="s">
        <v>241</v>
      </c>
      <c r="D11" s="121"/>
      <c r="E11" s="121"/>
      <c r="F11" s="109" t="s">
        <v>241</v>
      </c>
      <c r="G11" s="121"/>
      <c r="H11" s="121"/>
    </row>
    <row r="12" spans="1:10">
      <c r="A12" s="119" t="s">
        <v>4</v>
      </c>
      <c r="B12" s="120"/>
      <c r="C12" s="109" t="s">
        <v>313</v>
      </c>
      <c r="D12" s="121"/>
      <c r="E12" s="194"/>
      <c r="F12" s="109" t="s">
        <v>313</v>
      </c>
      <c r="G12" s="121"/>
      <c r="H12" s="194"/>
      <c r="I12" s="119" t="s">
        <v>4</v>
      </c>
    </row>
    <row r="13" spans="1:10" ht="18.75">
      <c r="A13" s="119" t="s">
        <v>5</v>
      </c>
      <c r="B13" s="1021" t="s">
        <v>124</v>
      </c>
      <c r="C13" s="1118" t="s">
        <v>214</v>
      </c>
      <c r="D13" s="1119"/>
      <c r="E13" s="1119" t="s">
        <v>8</v>
      </c>
      <c r="F13" s="1118" t="s">
        <v>215</v>
      </c>
      <c r="G13" s="1119"/>
      <c r="H13" s="1119" t="s">
        <v>8</v>
      </c>
      <c r="I13" s="119" t="s">
        <v>5</v>
      </c>
    </row>
    <row r="14" spans="1:10" ht="18.75">
      <c r="A14" s="119">
        <v>1</v>
      </c>
      <c r="B14" s="122" t="str">
        <f>"Dec-"&amp;RIGHT(Automation!$B$3-1,2)</f>
        <v>Dec-21</v>
      </c>
      <c r="C14" s="881">
        <v>1662868.65796</v>
      </c>
      <c r="D14" s="1276">
        <v>2</v>
      </c>
      <c r="E14" s="1246" t="s">
        <v>216</v>
      </c>
      <c r="F14" s="881">
        <v>1635135.3677999999</v>
      </c>
      <c r="G14" s="1276">
        <v>2</v>
      </c>
      <c r="H14" s="1246" t="str">
        <f>Automation!B3-1&amp;" Form 1; Page 200-201; Footnote Data (b)"</f>
        <v>2021 Form 1; Page 200-201; Footnote Data (b)</v>
      </c>
      <c r="I14" s="119">
        <f>A14</f>
        <v>1</v>
      </c>
      <c r="J14" s="126"/>
    </row>
    <row r="15" spans="1:10">
      <c r="A15" s="119">
        <f>A14+1</f>
        <v>2</v>
      </c>
      <c r="B15" s="122" t="str">
        <f>"Jan-"&amp;RIGHT(Automation!$B$3,2)</f>
        <v>Jan-22</v>
      </c>
      <c r="C15" s="1280">
        <v>1678732.00538</v>
      </c>
      <c r="D15" s="127"/>
      <c r="E15" s="1270"/>
      <c r="F15" s="1277">
        <v>1650848.0354899999</v>
      </c>
      <c r="G15" s="210"/>
      <c r="H15" s="1270"/>
      <c r="I15" s="119">
        <f>I14+1</f>
        <v>2</v>
      </c>
    </row>
    <row r="16" spans="1:10">
      <c r="A16" s="119">
        <f t="shared" ref="A16:A36" si="0">A15+1</f>
        <v>3</v>
      </c>
      <c r="B16" s="122" t="s">
        <v>217</v>
      </c>
      <c r="C16" s="1280">
        <v>1695018.1403099999</v>
      </c>
      <c r="D16" s="127"/>
      <c r="E16" s="1270"/>
      <c r="F16" s="1277">
        <v>1666828.2505599998</v>
      </c>
      <c r="G16" s="210"/>
      <c r="H16" s="1270"/>
      <c r="I16" s="119">
        <f t="shared" ref="I16:I36" si="1">I15+1</f>
        <v>3</v>
      </c>
    </row>
    <row r="17" spans="1:10">
      <c r="A17" s="119">
        <f t="shared" si="0"/>
        <v>4</v>
      </c>
      <c r="B17" s="122" t="s">
        <v>218</v>
      </c>
      <c r="C17" s="1280">
        <v>1712001.1455900001</v>
      </c>
      <c r="D17" s="127"/>
      <c r="E17" s="1270"/>
      <c r="F17" s="1277">
        <v>1683939.73921</v>
      </c>
      <c r="G17" s="210"/>
      <c r="H17" s="1270"/>
      <c r="I17" s="119">
        <f t="shared" si="1"/>
        <v>4</v>
      </c>
    </row>
    <row r="18" spans="1:10">
      <c r="A18" s="119">
        <f t="shared" si="0"/>
        <v>5</v>
      </c>
      <c r="B18" s="122" t="s">
        <v>219</v>
      </c>
      <c r="C18" s="1280">
        <v>1728444.90396</v>
      </c>
      <c r="D18" s="127"/>
      <c r="E18" s="1270"/>
      <c r="F18" s="1277">
        <v>1700121.7176099999</v>
      </c>
      <c r="G18" s="210"/>
      <c r="H18" s="1270"/>
      <c r="I18" s="119">
        <f t="shared" si="1"/>
        <v>5</v>
      </c>
      <c r="J18" s="211"/>
    </row>
    <row r="19" spans="1:10">
      <c r="A19" s="119">
        <f t="shared" si="0"/>
        <v>6</v>
      </c>
      <c r="B19" s="122" t="s">
        <v>161</v>
      </c>
      <c r="C19" s="1280">
        <v>1745459.0146999999</v>
      </c>
      <c r="D19" s="127"/>
      <c r="E19" s="1270"/>
      <c r="F19" s="1277">
        <v>1716870.57433</v>
      </c>
      <c r="G19" s="210"/>
      <c r="H19" s="1270"/>
      <c r="I19" s="119">
        <f t="shared" si="1"/>
        <v>6</v>
      </c>
    </row>
    <row r="20" spans="1:10">
      <c r="A20" s="119">
        <f>A19+1</f>
        <v>7</v>
      </c>
      <c r="B20" s="122" t="s">
        <v>220</v>
      </c>
      <c r="C20" s="1280">
        <v>1762449.6848200001</v>
      </c>
      <c r="D20" s="127"/>
      <c r="E20" s="1270"/>
      <c r="F20" s="1277">
        <v>1733208.3164900001</v>
      </c>
      <c r="G20" s="210"/>
      <c r="H20" s="1270"/>
      <c r="I20" s="119">
        <f>I19+1</f>
        <v>7</v>
      </c>
    </row>
    <row r="21" spans="1:10">
      <c r="A21" s="119">
        <f t="shared" si="0"/>
        <v>8</v>
      </c>
      <c r="B21" s="122" t="s">
        <v>221</v>
      </c>
      <c r="C21" s="1280">
        <v>1779826.2777499999</v>
      </c>
      <c r="D21" s="127"/>
      <c r="E21" s="1270"/>
      <c r="F21" s="1277">
        <v>1750302.74587</v>
      </c>
      <c r="G21" s="210"/>
      <c r="H21" s="1270"/>
      <c r="I21" s="119">
        <f t="shared" si="1"/>
        <v>8</v>
      </c>
    </row>
    <row r="22" spans="1:10">
      <c r="A22" s="119">
        <f t="shared" si="0"/>
        <v>9</v>
      </c>
      <c r="B22" s="122" t="s">
        <v>222</v>
      </c>
      <c r="C22" s="1280">
        <v>1796769.3136400001</v>
      </c>
      <c r="D22" s="127"/>
      <c r="E22" s="1270"/>
      <c r="F22" s="1277">
        <v>1766985.48352</v>
      </c>
      <c r="G22" s="210"/>
      <c r="H22" s="1270"/>
      <c r="I22" s="119">
        <f t="shared" si="1"/>
        <v>9</v>
      </c>
    </row>
    <row r="23" spans="1:10">
      <c r="A23" s="119">
        <f t="shared" si="0"/>
        <v>10</v>
      </c>
      <c r="B23" s="122" t="s">
        <v>223</v>
      </c>
      <c r="C23" s="1280">
        <v>1813706.4766899999</v>
      </c>
      <c r="D23" s="127"/>
      <c r="E23" s="1270"/>
      <c r="F23" s="1277">
        <v>1783658.0374999999</v>
      </c>
      <c r="G23" s="210"/>
      <c r="H23" s="1270"/>
      <c r="I23" s="119">
        <f t="shared" si="1"/>
        <v>10</v>
      </c>
    </row>
    <row r="24" spans="1:10">
      <c r="A24" s="119">
        <f t="shared" si="0"/>
        <v>11</v>
      </c>
      <c r="B24" s="122" t="s">
        <v>224</v>
      </c>
      <c r="C24" s="1280">
        <v>1830245.54015</v>
      </c>
      <c r="D24" s="127"/>
      <c r="E24" s="1270"/>
      <c r="F24" s="1277">
        <v>1799937.8152000001</v>
      </c>
      <c r="G24" s="210"/>
      <c r="H24" s="1270"/>
      <c r="I24" s="119">
        <f t="shared" si="1"/>
        <v>11</v>
      </c>
    </row>
    <row r="25" spans="1:10">
      <c r="A25" s="119">
        <f t="shared" si="0"/>
        <v>12</v>
      </c>
      <c r="B25" s="122" t="s">
        <v>225</v>
      </c>
      <c r="C25" s="1280">
        <v>1847702.3612800001</v>
      </c>
      <c r="D25" s="127"/>
      <c r="E25" s="1270"/>
      <c r="F25" s="1277">
        <v>1817191.4926400001</v>
      </c>
      <c r="G25" s="210"/>
      <c r="H25" s="1270"/>
      <c r="I25" s="119">
        <f t="shared" si="1"/>
        <v>12</v>
      </c>
    </row>
    <row r="26" spans="1:10">
      <c r="A26" s="119">
        <f t="shared" si="0"/>
        <v>13</v>
      </c>
      <c r="B26" s="1038" t="str">
        <f>"Dec-"&amp;RIGHT(Automation!$B$3,2)</f>
        <v>Dec-22</v>
      </c>
      <c r="C26" s="1266">
        <v>1861233.6263900001</v>
      </c>
      <c r="D26" s="1120"/>
      <c r="E26" s="1271" t="s">
        <v>216</v>
      </c>
      <c r="F26" s="1278">
        <v>1830611.7693800002</v>
      </c>
      <c r="G26" s="1330"/>
      <c r="H26" s="1246" t="str">
        <f>Automation!B3&amp;" Form 1; Page 200-201; Footnote Data (b)"</f>
        <v>2022 Form 1; Page 200-201; Footnote Data (b)</v>
      </c>
      <c r="I26" s="119">
        <f t="shared" si="1"/>
        <v>13</v>
      </c>
      <c r="J26" s="126"/>
    </row>
    <row r="27" spans="1:10">
      <c r="A27" s="119">
        <f t="shared" si="0"/>
        <v>14</v>
      </c>
      <c r="B27" s="130"/>
      <c r="C27" s="1267"/>
      <c r="D27" s="143"/>
      <c r="E27" s="932"/>
      <c r="F27" s="155"/>
      <c r="G27" s="143"/>
      <c r="H27" s="932"/>
      <c r="I27" s="119">
        <f t="shared" si="1"/>
        <v>14</v>
      </c>
    </row>
    <row r="28" spans="1:10">
      <c r="A28" s="119">
        <f t="shared" si="0"/>
        <v>15</v>
      </c>
      <c r="B28" s="130" t="s">
        <v>226</v>
      </c>
      <c r="C28" s="236">
        <f>SUM(C14:C26)</f>
        <v>22914457.148620002</v>
      </c>
      <c r="D28" s="212"/>
      <c r="E28" s="203" t="str">
        <f>"Sum Lines "&amp;A14&amp;" thru "&amp;A26</f>
        <v>Sum Lines 1 thru 13</v>
      </c>
      <c r="F28" s="446">
        <f>SUM(F14:F26)</f>
        <v>22535639.345599998</v>
      </c>
      <c r="G28" s="132"/>
      <c r="H28" s="203" t="str">
        <f>"Sum Lines "&amp;A14&amp;" thru "&amp;A26</f>
        <v>Sum Lines 1 thru 13</v>
      </c>
      <c r="I28" s="119">
        <f t="shared" si="1"/>
        <v>15</v>
      </c>
    </row>
    <row r="29" spans="1:10">
      <c r="A29" s="119">
        <f t="shared" si="0"/>
        <v>16</v>
      </c>
      <c r="B29" s="1022"/>
      <c r="C29" s="1281"/>
      <c r="D29" s="1148"/>
      <c r="E29" s="1273"/>
      <c r="F29" s="1268"/>
      <c r="G29" s="1121"/>
      <c r="H29" s="1273"/>
      <c r="I29" s="119">
        <f t="shared" si="1"/>
        <v>16</v>
      </c>
    </row>
    <row r="30" spans="1:10">
      <c r="A30" s="119">
        <f t="shared" si="0"/>
        <v>17</v>
      </c>
      <c r="B30" s="130"/>
      <c r="C30" s="134"/>
      <c r="D30" s="213"/>
      <c r="E30" s="1279"/>
      <c r="F30" s="134"/>
      <c r="G30" s="213"/>
      <c r="H30" s="1279"/>
      <c r="I30" s="119">
        <f t="shared" si="1"/>
        <v>17</v>
      </c>
    </row>
    <row r="31" spans="1:10">
      <c r="A31" s="119">
        <f t="shared" si="0"/>
        <v>18</v>
      </c>
      <c r="B31" s="130" t="s">
        <v>227</v>
      </c>
      <c r="C31" s="236">
        <f>C28/13</f>
        <v>1762650.5498938463</v>
      </c>
      <c r="D31" s="212"/>
      <c r="E31" s="203" t="str">
        <f>"Average of Lines "&amp;A14&amp;" thru "&amp;A26</f>
        <v>Average of Lines 1 thru 13</v>
      </c>
      <c r="F31" s="446">
        <f>F28/13</f>
        <v>1733510.7188923075</v>
      </c>
      <c r="G31" s="132"/>
      <c r="H31" s="1246" t="str">
        <f>Automation!B3&amp;" Form 1; Page 200-201; Footnote Data (b)"</f>
        <v>2022 Form 1; Page 200-201; Footnote Data (b)</v>
      </c>
      <c r="I31" s="119">
        <f t="shared" si="1"/>
        <v>18</v>
      </c>
      <c r="J31" s="126"/>
    </row>
    <row r="32" spans="1:10">
      <c r="A32" s="119">
        <f t="shared" si="0"/>
        <v>19</v>
      </c>
      <c r="B32" s="1022"/>
      <c r="C32" s="1269"/>
      <c r="D32" s="1122"/>
      <c r="E32" s="1122"/>
      <c r="F32" s="1269"/>
      <c r="G32" s="1122"/>
      <c r="H32" s="1122"/>
      <c r="I32" s="119">
        <f t="shared" si="1"/>
        <v>19</v>
      </c>
    </row>
    <row r="33" spans="1:9">
      <c r="A33" s="119">
        <f t="shared" si="0"/>
        <v>20</v>
      </c>
      <c r="B33" s="136"/>
      <c r="C33" s="136"/>
      <c r="D33" s="136"/>
      <c r="E33" s="136"/>
      <c r="F33" s="136"/>
      <c r="G33" s="136"/>
      <c r="H33" s="136"/>
      <c r="I33" s="119">
        <f t="shared" si="1"/>
        <v>20</v>
      </c>
    </row>
    <row r="34" spans="1:9">
      <c r="A34" s="119">
        <f t="shared" si="0"/>
        <v>21</v>
      </c>
      <c r="B34" s="136" t="s">
        <v>314</v>
      </c>
      <c r="C34" s="136"/>
      <c r="D34" s="136"/>
      <c r="E34" s="136"/>
      <c r="F34" s="1134">
        <f>'AE-1A'!E31</f>
        <v>2727.0033076923082</v>
      </c>
      <c r="G34" s="593"/>
      <c r="H34" s="119" t="str">
        <f>"AE-1A; Line "&amp;'AE-1A'!A31</f>
        <v>AE-1A; Line 18</v>
      </c>
      <c r="I34" s="119">
        <f t="shared" si="1"/>
        <v>21</v>
      </c>
    </row>
    <row r="35" spans="1:9">
      <c r="A35" s="119">
        <f t="shared" si="0"/>
        <v>22</v>
      </c>
      <c r="B35" s="136"/>
      <c r="C35" s="136"/>
      <c r="D35" s="136"/>
      <c r="E35" s="136"/>
      <c r="F35" s="136"/>
      <c r="G35" s="136"/>
      <c r="H35" s="136"/>
      <c r="I35" s="119">
        <f t="shared" si="1"/>
        <v>22</v>
      </c>
    </row>
    <row r="36" spans="1:9" ht="16.5" thickBot="1">
      <c r="A36" s="119">
        <f t="shared" si="0"/>
        <v>23</v>
      </c>
      <c r="B36" s="110" t="s">
        <v>315</v>
      </c>
      <c r="C36" s="136"/>
      <c r="D36" s="136"/>
      <c r="E36" s="136"/>
      <c r="F36" s="327">
        <f>F31+F34</f>
        <v>1736237.7221999997</v>
      </c>
      <c r="G36" s="328"/>
      <c r="H36" s="119" t="str">
        <f>"Line "&amp;A31&amp;" + Line "&amp;A34</f>
        <v>Line 18 + Line 21</v>
      </c>
      <c r="I36" s="119">
        <f t="shared" si="1"/>
        <v>23</v>
      </c>
    </row>
    <row r="37" spans="1:9" ht="16.5" thickTop="1">
      <c r="A37" s="119"/>
      <c r="C37" s="136"/>
      <c r="D37" s="136"/>
      <c r="E37" s="136"/>
      <c r="F37" s="136"/>
      <c r="G37" s="136"/>
      <c r="H37" s="136"/>
    </row>
    <row r="38" spans="1:9">
      <c r="C38" s="136"/>
      <c r="D38" s="136"/>
      <c r="E38" s="136"/>
      <c r="F38" s="159"/>
      <c r="G38" s="159"/>
      <c r="H38" s="136"/>
    </row>
    <row r="39" spans="1:9" ht="18.75">
      <c r="A39" s="135">
        <v>1</v>
      </c>
      <c r="B39" s="136" t="s">
        <v>316</v>
      </c>
      <c r="C39" s="136"/>
      <c r="D39" s="136"/>
      <c r="E39" s="136"/>
      <c r="F39" s="136"/>
      <c r="G39" s="136"/>
      <c r="H39" s="136"/>
    </row>
    <row r="40" spans="1:9">
      <c r="B40" s="136" t="s">
        <v>317</v>
      </c>
      <c r="C40" s="136"/>
      <c r="D40" s="136"/>
      <c r="E40" s="136"/>
      <c r="F40" s="136"/>
      <c r="G40" s="136"/>
      <c r="H40" s="136"/>
    </row>
    <row r="41" spans="1:9">
      <c r="B41" s="136"/>
      <c r="C41" s="136"/>
      <c r="D41" s="136"/>
      <c r="E41" s="136"/>
      <c r="F41" s="136"/>
      <c r="G41" s="136"/>
      <c r="H41" s="136"/>
    </row>
    <row r="42" spans="1:9" ht="18.75">
      <c r="A42" s="482">
        <v>2</v>
      </c>
      <c r="B42" s="219" t="s">
        <v>1046</v>
      </c>
      <c r="C42" s="136"/>
      <c r="D42" s="136"/>
      <c r="E42" s="136"/>
      <c r="F42" s="136"/>
      <c r="G42" s="136"/>
      <c r="H42" s="136"/>
    </row>
    <row r="43" spans="1:9">
      <c r="A43" s="556"/>
      <c r="B43" s="219" t="s">
        <v>1045</v>
      </c>
    </row>
    <row r="46" spans="1:9">
      <c r="A46" s="1095"/>
    </row>
    <row r="49" spans="1:1">
      <c r="A49" s="1095"/>
    </row>
  </sheetData>
  <mergeCells count="6">
    <mergeCell ref="B8:H8"/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I4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25.140625" style="115" customWidth="1"/>
    <col min="5" max="5" width="18.5703125" style="110" customWidth="1"/>
    <col min="6" max="6" width="62.570312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9">
      <c r="B2" s="1305" t="s">
        <v>0</v>
      </c>
      <c r="C2" s="1305"/>
      <c r="D2" s="1305"/>
      <c r="E2" s="1305"/>
      <c r="F2" s="1305"/>
    </row>
    <row r="3" spans="1:9">
      <c r="B3" s="1305" t="s">
        <v>311</v>
      </c>
      <c r="C3" s="1305"/>
      <c r="D3" s="1305"/>
      <c r="E3" s="1305"/>
      <c r="F3" s="1305"/>
    </row>
    <row r="4" spans="1:9">
      <c r="B4" s="1305" t="s">
        <v>312</v>
      </c>
      <c r="C4" s="1305"/>
      <c r="D4" s="1305"/>
      <c r="E4" s="1305"/>
      <c r="F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  <c r="F5" s="1305"/>
    </row>
    <row r="6" spans="1:9">
      <c r="B6" s="1309" t="s">
        <v>3</v>
      </c>
      <c r="C6" s="1309"/>
      <c r="D6" s="1309"/>
      <c r="E6" s="1309"/>
      <c r="F6" s="1309"/>
    </row>
    <row r="7" spans="1:9">
      <c r="B7" s="111"/>
      <c r="C7" s="112"/>
      <c r="D7" s="113"/>
      <c r="E7" s="111"/>
      <c r="F7" s="111"/>
    </row>
    <row r="8" spans="1:9">
      <c r="B8" s="1305" t="s">
        <v>240</v>
      </c>
      <c r="C8" s="1305"/>
      <c r="D8" s="1305"/>
      <c r="E8" s="1305"/>
      <c r="F8" s="1305"/>
    </row>
    <row r="10" spans="1:9">
      <c r="B10" s="862"/>
      <c r="C10" s="863" t="s">
        <v>80</v>
      </c>
      <c r="D10" s="864"/>
      <c r="E10" s="863"/>
      <c r="F10" s="864"/>
    </row>
    <row r="11" spans="1:9">
      <c r="B11" s="116"/>
      <c r="C11" s="109" t="s">
        <v>241</v>
      </c>
      <c r="D11" s="116"/>
      <c r="E11" s="117" t="s">
        <v>241</v>
      </c>
      <c r="F11" s="118"/>
    </row>
    <row r="12" spans="1:9">
      <c r="A12" s="119" t="s">
        <v>4</v>
      </c>
      <c r="B12" s="120"/>
      <c r="C12" s="109" t="s">
        <v>313</v>
      </c>
      <c r="D12" s="116"/>
      <c r="E12" s="121" t="s">
        <v>313</v>
      </c>
      <c r="F12" s="118"/>
      <c r="G12" s="119" t="s">
        <v>4</v>
      </c>
    </row>
    <row r="13" spans="1:9" ht="18.75">
      <c r="A13" s="119" t="s">
        <v>5</v>
      </c>
      <c r="B13" s="1021" t="s">
        <v>124</v>
      </c>
      <c r="C13" s="1118" t="s">
        <v>214</v>
      </c>
      <c r="D13" s="1021" t="s">
        <v>8</v>
      </c>
      <c r="E13" s="1119" t="s">
        <v>215</v>
      </c>
      <c r="F13" s="1021" t="s">
        <v>8</v>
      </c>
      <c r="G13" s="119" t="s">
        <v>5</v>
      </c>
    </row>
    <row r="14" spans="1:9">
      <c r="A14" s="119">
        <v>1</v>
      </c>
      <c r="B14" s="122" t="str">
        <f>"Dec-"&amp;RIGHT(Automation!$B$3-1,2)</f>
        <v>Dec-21</v>
      </c>
      <c r="C14" s="209">
        <v>2234.0529999999999</v>
      </c>
      <c r="D14" s="157" t="s">
        <v>216</v>
      </c>
      <c r="E14" s="209">
        <f>C14</f>
        <v>2234.0529999999999</v>
      </c>
      <c r="F14" s="157" t="s">
        <v>216</v>
      </c>
      <c r="G14" s="119">
        <f>A14</f>
        <v>1</v>
      </c>
      <c r="H14" s="126"/>
      <c r="I14" s="126"/>
    </row>
    <row r="15" spans="1:9">
      <c r="A15" s="119">
        <f>A14+1</f>
        <v>2</v>
      </c>
      <c r="B15" s="122" t="str">
        <f>"Jan-"&amp;RIGHT(Automation!$B$3,2)</f>
        <v>Jan-22</v>
      </c>
      <c r="C15" s="127">
        <v>2316.212</v>
      </c>
      <c r="D15" s="128"/>
      <c r="E15" s="127">
        <f t="shared" ref="E15:E26" si="0">C15</f>
        <v>2316.212</v>
      </c>
      <c r="F15" s="128"/>
      <c r="G15" s="119">
        <f>G14+1</f>
        <v>2</v>
      </c>
    </row>
    <row r="16" spans="1:9">
      <c r="A16" s="119">
        <f t="shared" ref="A16:A32" si="1">A15+1</f>
        <v>3</v>
      </c>
      <c r="B16" s="122" t="s">
        <v>217</v>
      </c>
      <c r="C16" s="127">
        <v>2398.3710000000001</v>
      </c>
      <c r="D16" s="128"/>
      <c r="E16" s="127">
        <f t="shared" si="0"/>
        <v>2398.3710000000001</v>
      </c>
      <c r="F16" s="128"/>
      <c r="G16" s="119">
        <f t="shared" ref="G16:G32" si="2">G15+1</f>
        <v>3</v>
      </c>
    </row>
    <row r="17" spans="1:9">
      <c r="A17" s="119">
        <f t="shared" si="1"/>
        <v>4</v>
      </c>
      <c r="B17" s="122" t="s">
        <v>218</v>
      </c>
      <c r="C17" s="127">
        <v>2480.5300000000002</v>
      </c>
      <c r="D17" s="128"/>
      <c r="E17" s="127">
        <f t="shared" si="0"/>
        <v>2480.5300000000002</v>
      </c>
      <c r="F17" s="128"/>
      <c r="G17" s="119">
        <f t="shared" si="2"/>
        <v>4</v>
      </c>
    </row>
    <row r="18" spans="1:9">
      <c r="A18" s="119">
        <f t="shared" si="1"/>
        <v>5</v>
      </c>
      <c r="B18" s="122" t="s">
        <v>219</v>
      </c>
      <c r="C18" s="127">
        <v>2562.6889999999999</v>
      </c>
      <c r="D18" s="128"/>
      <c r="E18" s="127">
        <f t="shared" si="0"/>
        <v>2562.6889999999999</v>
      </c>
      <c r="F18" s="128"/>
      <c r="G18" s="119">
        <f t="shared" si="2"/>
        <v>5</v>
      </c>
    </row>
    <row r="19" spans="1:9">
      <c r="A19" s="119">
        <f t="shared" si="1"/>
        <v>6</v>
      </c>
      <c r="B19" s="122" t="s">
        <v>161</v>
      </c>
      <c r="C19" s="127">
        <v>2644.848</v>
      </c>
      <c r="D19" s="128"/>
      <c r="E19" s="127">
        <f t="shared" si="0"/>
        <v>2644.848</v>
      </c>
      <c r="F19" s="128"/>
      <c r="G19" s="119">
        <f t="shared" si="2"/>
        <v>6</v>
      </c>
    </row>
    <row r="20" spans="1:9">
      <c r="A20" s="119">
        <f>A19+1</f>
        <v>7</v>
      </c>
      <c r="B20" s="122" t="s">
        <v>220</v>
      </c>
      <c r="C20" s="127">
        <v>2727.0070000000001</v>
      </c>
      <c r="D20" s="128"/>
      <c r="E20" s="127">
        <f t="shared" si="0"/>
        <v>2727.0070000000001</v>
      </c>
      <c r="F20" s="128"/>
      <c r="G20" s="119">
        <f>G19+1</f>
        <v>7</v>
      </c>
    </row>
    <row r="21" spans="1:9">
      <c r="A21" s="119">
        <f t="shared" si="1"/>
        <v>8</v>
      </c>
      <c r="B21" s="122" t="s">
        <v>221</v>
      </c>
      <c r="C21" s="127">
        <v>2809.1660000000002</v>
      </c>
      <c r="D21" s="128"/>
      <c r="E21" s="127">
        <f t="shared" si="0"/>
        <v>2809.1660000000002</v>
      </c>
      <c r="F21" s="128"/>
      <c r="G21" s="119">
        <f t="shared" si="2"/>
        <v>8</v>
      </c>
    </row>
    <row r="22" spans="1:9">
      <c r="A22" s="119">
        <f t="shared" si="1"/>
        <v>9</v>
      </c>
      <c r="B22" s="122" t="s">
        <v>222</v>
      </c>
      <c r="C22" s="127">
        <v>2891.3249999999998</v>
      </c>
      <c r="D22" s="128"/>
      <c r="E22" s="127">
        <f t="shared" si="0"/>
        <v>2891.3249999999998</v>
      </c>
      <c r="F22" s="128"/>
      <c r="G22" s="119">
        <f t="shared" si="2"/>
        <v>9</v>
      </c>
    </row>
    <row r="23" spans="1:9">
      <c r="A23" s="119">
        <f t="shared" si="1"/>
        <v>10</v>
      </c>
      <c r="B23" s="122" t="s">
        <v>223</v>
      </c>
      <c r="C23" s="127">
        <v>2973.4720000000002</v>
      </c>
      <c r="D23" s="128"/>
      <c r="E23" s="127">
        <f t="shared" si="0"/>
        <v>2973.4720000000002</v>
      </c>
      <c r="F23" s="128"/>
      <c r="G23" s="119">
        <f t="shared" si="2"/>
        <v>10</v>
      </c>
    </row>
    <row r="24" spans="1:9">
      <c r="A24" s="119">
        <f t="shared" si="1"/>
        <v>11</v>
      </c>
      <c r="B24" s="122" t="s">
        <v>224</v>
      </c>
      <c r="C24" s="127">
        <v>3055.6309999999999</v>
      </c>
      <c r="D24" s="128"/>
      <c r="E24" s="127">
        <f t="shared" si="0"/>
        <v>3055.6309999999999</v>
      </c>
      <c r="F24" s="128"/>
      <c r="G24" s="119">
        <f t="shared" si="2"/>
        <v>11</v>
      </c>
    </row>
    <row r="25" spans="1:9">
      <c r="A25" s="119">
        <f t="shared" si="1"/>
        <v>12</v>
      </c>
      <c r="B25" s="122" t="s">
        <v>225</v>
      </c>
      <c r="C25" s="127">
        <v>3137.79</v>
      </c>
      <c r="D25" s="128"/>
      <c r="E25" s="127">
        <f t="shared" si="0"/>
        <v>3137.79</v>
      </c>
      <c r="F25" s="128"/>
      <c r="G25" s="119">
        <f t="shared" si="2"/>
        <v>12</v>
      </c>
    </row>
    <row r="26" spans="1:9">
      <c r="A26" s="119">
        <f t="shared" si="1"/>
        <v>13</v>
      </c>
      <c r="B26" s="1038" t="str">
        <f>"Dec-"&amp;RIGHT(Automation!$B$3,2)</f>
        <v>Dec-22</v>
      </c>
      <c r="C26" s="1126">
        <v>3219.9490000000001</v>
      </c>
      <c r="D26" s="1027" t="s">
        <v>216</v>
      </c>
      <c r="E26" s="1126">
        <f t="shared" si="0"/>
        <v>3219.9490000000001</v>
      </c>
      <c r="F26" s="1027" t="s">
        <v>216</v>
      </c>
      <c r="G26" s="119">
        <f t="shared" si="2"/>
        <v>13</v>
      </c>
      <c r="I26" s="126"/>
    </row>
    <row r="27" spans="1:9">
      <c r="A27" s="119">
        <f t="shared" si="1"/>
        <v>14</v>
      </c>
      <c r="B27" s="130"/>
      <c r="C27" s="932"/>
      <c r="D27" s="862"/>
      <c r="E27" s="131"/>
      <c r="F27" s="862"/>
      <c r="G27" s="119">
        <f t="shared" si="2"/>
        <v>14</v>
      </c>
    </row>
    <row r="28" spans="1:9">
      <c r="A28" s="119">
        <f t="shared" si="1"/>
        <v>15</v>
      </c>
      <c r="B28" s="130" t="s">
        <v>226</v>
      </c>
      <c r="C28" s="132">
        <f>SUM(C14:C26)</f>
        <v>35451.043000000005</v>
      </c>
      <c r="D28" s="207" t="str">
        <f>"Sum Lines "&amp;A14&amp;" thru "&amp;A26</f>
        <v>Sum Lines 1 thru 13</v>
      </c>
      <c r="E28" s="132">
        <f>SUM(E14:E26)</f>
        <v>35451.043000000005</v>
      </c>
      <c r="F28" s="158" t="str">
        <f>"Sum Lines "&amp;A14&amp;" thru "&amp;A26</f>
        <v>Sum Lines 1 thru 13</v>
      </c>
      <c r="G28" s="119">
        <f t="shared" si="2"/>
        <v>15</v>
      </c>
    </row>
    <row r="29" spans="1:9">
      <c r="A29" s="119">
        <f t="shared" si="1"/>
        <v>16</v>
      </c>
      <c r="B29" s="1022"/>
      <c r="C29" s="1121"/>
      <c r="D29" s="1133"/>
      <c r="E29" s="1121"/>
      <c r="F29" s="1022"/>
      <c r="G29" s="119">
        <f t="shared" si="2"/>
        <v>16</v>
      </c>
    </row>
    <row r="30" spans="1:9">
      <c r="A30" s="119">
        <f t="shared" si="1"/>
        <v>17</v>
      </c>
      <c r="B30" s="130"/>
      <c r="C30" s="132"/>
      <c r="D30" s="214"/>
      <c r="E30" s="132"/>
      <c r="F30" s="130"/>
      <c r="G30" s="119">
        <f t="shared" si="2"/>
        <v>17</v>
      </c>
    </row>
    <row r="31" spans="1:9">
      <c r="A31" s="119">
        <f t="shared" si="1"/>
        <v>18</v>
      </c>
      <c r="B31" s="130" t="s">
        <v>227</v>
      </c>
      <c r="C31" s="132">
        <f>C28/13</f>
        <v>2727.0033076923082</v>
      </c>
      <c r="D31" s="207" t="str">
        <f>"Average of Lines "&amp;A14&amp;" thru "&amp;A26</f>
        <v>Average of Lines 1 thru 13</v>
      </c>
      <c r="E31" s="132">
        <f>E28/13</f>
        <v>2727.0033076923082</v>
      </c>
      <c r="F31" s="158" t="str">
        <f>"Average of Lines "&amp;A14&amp;" thru "&amp;A26</f>
        <v>Average of Lines 1 thru 13</v>
      </c>
      <c r="G31" s="119">
        <f t="shared" si="2"/>
        <v>18</v>
      </c>
      <c r="H31" s="126"/>
      <c r="I31" s="126"/>
    </row>
    <row r="32" spans="1:9">
      <c r="A32" s="119">
        <f t="shared" si="1"/>
        <v>19</v>
      </c>
      <c r="B32" s="1022"/>
      <c r="C32" s="1122"/>
      <c r="D32" s="1022"/>
      <c r="E32" s="1122"/>
      <c r="F32" s="1022"/>
      <c r="G32" s="119">
        <f t="shared" si="2"/>
        <v>19</v>
      </c>
    </row>
    <row r="33" spans="1:5">
      <c r="A33" s="119"/>
      <c r="C33" s="134"/>
      <c r="D33" s="110"/>
      <c r="E33" s="134"/>
    </row>
    <row r="34" spans="1:5">
      <c r="C34" s="134"/>
      <c r="D34" s="110"/>
      <c r="E34" s="134"/>
    </row>
    <row r="35" spans="1:5" ht="18.75">
      <c r="A35" s="135">
        <v>1</v>
      </c>
      <c r="B35" s="136" t="s">
        <v>318</v>
      </c>
      <c r="C35" s="134"/>
      <c r="D35" s="110"/>
      <c r="E35" s="134"/>
    </row>
    <row r="36" spans="1:5">
      <c r="B36" s="136"/>
      <c r="C36" s="134"/>
      <c r="D36" s="110"/>
      <c r="E36" s="134"/>
    </row>
    <row r="37" spans="1:5">
      <c r="C37" s="134"/>
      <c r="D37" s="110"/>
      <c r="E37" s="134"/>
    </row>
    <row r="38" spans="1:5">
      <c r="C38" s="134"/>
      <c r="D38" s="110"/>
      <c r="E38" s="134"/>
    </row>
    <row r="39" spans="1:5">
      <c r="C39" s="137"/>
      <c r="E39" s="134"/>
    </row>
    <row r="40" spans="1:5">
      <c r="C40" s="137"/>
      <c r="E40" s="134"/>
    </row>
    <row r="41" spans="1:5">
      <c r="C41" s="137"/>
      <c r="E41" s="134"/>
    </row>
    <row r="42" spans="1:5">
      <c r="C42" s="137"/>
      <c r="E42" s="134"/>
    </row>
    <row r="43" spans="1:5">
      <c r="C43" s="137"/>
      <c r="E43" s="134"/>
    </row>
    <row r="44" spans="1:5">
      <c r="C44" s="137"/>
      <c r="E44" s="134"/>
    </row>
    <row r="45" spans="1:5">
      <c r="C45" s="137"/>
      <c r="E45" s="134"/>
    </row>
    <row r="46" spans="1:5">
      <c r="C46" s="137"/>
      <c r="E46" s="134"/>
    </row>
    <row r="47" spans="1:5">
      <c r="C47" s="137"/>
      <c r="E47" s="134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5" orientation="landscape" r:id="rId1"/>
  <headerFooter scaleWithDoc="0">
    <oddFooter>&amp;C&amp;"Times New Roman,Regular"&amp;10&amp;A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O171"/>
  <sheetViews>
    <sheetView zoomScale="80" zoomScaleNormal="80" workbookViewId="0"/>
  </sheetViews>
  <sheetFormatPr defaultColWidth="9.140625" defaultRowHeight="15.75"/>
  <cols>
    <col min="1" max="1" width="5.140625" style="119" customWidth="1"/>
    <col min="2" max="2" width="11.140625" style="136" customWidth="1"/>
    <col min="3" max="3" width="32.5703125" style="136" customWidth="1"/>
    <col min="4" max="11" width="18.5703125" style="189" customWidth="1"/>
    <col min="12" max="12" width="24" style="189" customWidth="1"/>
    <col min="13" max="13" width="5.140625" style="119" customWidth="1"/>
    <col min="14" max="16384" width="9.140625" style="136"/>
  </cols>
  <sheetData>
    <row r="2" spans="1:13" s="110" customFormat="1">
      <c r="A2" s="109"/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09"/>
    </row>
    <row r="3" spans="1:13" s="110" customFormat="1">
      <c r="A3" s="109"/>
      <c r="B3" s="1305" t="s">
        <v>247</v>
      </c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09"/>
    </row>
    <row r="4" spans="1:13">
      <c r="B4" s="1305" t="s">
        <v>319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</row>
    <row r="5" spans="1:13">
      <c r="B5" s="1305" t="s">
        <v>312</v>
      </c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3">
      <c r="B6" s="1305" t="str">
        <f>"BALANCES AS OF 12/31/"&amp;Automation!$B$3-1</f>
        <v>BALANCES AS OF 12/31/2021</v>
      </c>
      <c r="C6" s="1305"/>
      <c r="D6" s="1305"/>
      <c r="E6" s="1305"/>
      <c r="F6" s="1305"/>
      <c r="G6" s="1305"/>
      <c r="H6" s="1305"/>
      <c r="I6" s="1305"/>
      <c r="J6" s="1305"/>
      <c r="K6" s="1305"/>
      <c r="L6" s="1305"/>
    </row>
    <row r="7" spans="1:13">
      <c r="B7" s="1309" t="s">
        <v>3</v>
      </c>
      <c r="C7" s="1305"/>
      <c r="D7" s="1305"/>
      <c r="E7" s="1305"/>
      <c r="F7" s="1305"/>
      <c r="G7" s="1305"/>
      <c r="H7" s="1305"/>
      <c r="I7" s="1305"/>
      <c r="J7" s="1305"/>
      <c r="K7" s="1305"/>
      <c r="L7" s="1305"/>
    </row>
    <row r="8" spans="1:13">
      <c r="C8" s="111"/>
      <c r="D8" s="112"/>
      <c r="E8" s="165"/>
      <c r="F8" s="165"/>
      <c r="G8" s="165"/>
      <c r="H8" s="165"/>
      <c r="I8" s="165"/>
      <c r="J8" s="165"/>
      <c r="K8" s="165"/>
      <c r="L8" s="165"/>
    </row>
    <row r="9" spans="1:13" s="109" customFormat="1">
      <c r="B9" s="972"/>
      <c r="C9" s="963"/>
      <c r="D9" s="964" t="s">
        <v>249</v>
      </c>
      <c r="E9" s="965" t="s">
        <v>250</v>
      </c>
      <c r="F9" s="965" t="s">
        <v>251</v>
      </c>
      <c r="G9" s="965" t="s">
        <v>252</v>
      </c>
      <c r="H9" s="965" t="s">
        <v>253</v>
      </c>
      <c r="I9" s="965" t="s">
        <v>254</v>
      </c>
      <c r="J9" s="965" t="s">
        <v>255</v>
      </c>
      <c r="K9" s="975" t="s">
        <v>256</v>
      </c>
      <c r="L9" s="864"/>
    </row>
    <row r="10" spans="1:13">
      <c r="B10" s="215"/>
      <c r="C10" s="118"/>
      <c r="D10" s="167"/>
      <c r="E10" s="168"/>
      <c r="F10" s="216"/>
      <c r="G10" s="168"/>
      <c r="H10" s="168"/>
      <c r="I10" s="168"/>
      <c r="J10" s="168"/>
      <c r="K10" s="217" t="s">
        <v>80</v>
      </c>
      <c r="L10" s="166"/>
    </row>
    <row r="11" spans="1:13">
      <c r="B11" s="215"/>
      <c r="C11" s="118"/>
      <c r="D11" s="167"/>
      <c r="E11" s="168" t="s">
        <v>257</v>
      </c>
      <c r="F11" s="216" t="s">
        <v>237</v>
      </c>
      <c r="G11" s="168" t="s">
        <v>241</v>
      </c>
      <c r="H11" s="168" t="s">
        <v>241</v>
      </c>
      <c r="I11" s="168" t="s">
        <v>241</v>
      </c>
      <c r="J11" s="168" t="s">
        <v>241</v>
      </c>
      <c r="K11" s="216" t="s">
        <v>241</v>
      </c>
      <c r="L11" s="158"/>
    </row>
    <row r="12" spans="1:13">
      <c r="B12" s="218"/>
      <c r="C12" s="133"/>
      <c r="D12" s="172" t="s">
        <v>80</v>
      </c>
      <c r="E12" s="168" t="s">
        <v>320</v>
      </c>
      <c r="F12" s="168" t="s">
        <v>320</v>
      </c>
      <c r="G12" s="168" t="s">
        <v>320</v>
      </c>
      <c r="H12" s="168" t="s">
        <v>320</v>
      </c>
      <c r="I12" s="168" t="s">
        <v>320</v>
      </c>
      <c r="J12" s="168" t="s">
        <v>320</v>
      </c>
      <c r="K12" s="216" t="s">
        <v>313</v>
      </c>
      <c r="L12" s="116"/>
    </row>
    <row r="13" spans="1:13">
      <c r="A13" s="119" t="s">
        <v>4</v>
      </c>
      <c r="B13" s="201"/>
      <c r="C13" s="130"/>
      <c r="D13" s="172" t="s">
        <v>241</v>
      </c>
      <c r="E13" s="168" t="s">
        <v>321</v>
      </c>
      <c r="F13" s="168" t="s">
        <v>321</v>
      </c>
      <c r="G13" s="168" t="s">
        <v>321</v>
      </c>
      <c r="H13" s="168" t="s">
        <v>321</v>
      </c>
      <c r="I13" s="168" t="s">
        <v>321</v>
      </c>
      <c r="J13" s="168" t="s">
        <v>321</v>
      </c>
      <c r="K13" s="216" t="s">
        <v>288</v>
      </c>
      <c r="L13" s="116"/>
      <c r="M13" s="119" t="s">
        <v>4</v>
      </c>
    </row>
    <row r="14" spans="1:13">
      <c r="A14" s="119" t="s">
        <v>5</v>
      </c>
      <c r="B14" s="1024" t="s">
        <v>261</v>
      </c>
      <c r="C14" s="1021" t="s">
        <v>262</v>
      </c>
      <c r="D14" s="1149" t="s">
        <v>320</v>
      </c>
      <c r="E14" s="1136" t="s">
        <v>263</v>
      </c>
      <c r="F14" s="1136" t="s">
        <v>264</v>
      </c>
      <c r="G14" s="1136" t="s">
        <v>322</v>
      </c>
      <c r="H14" s="1136" t="s">
        <v>323</v>
      </c>
      <c r="I14" s="1136" t="s">
        <v>324</v>
      </c>
      <c r="J14" s="1136" t="s">
        <v>267</v>
      </c>
      <c r="K14" s="1119" t="s">
        <v>268</v>
      </c>
      <c r="L14" s="1021" t="s">
        <v>8</v>
      </c>
      <c r="M14" s="119" t="s">
        <v>5</v>
      </c>
    </row>
    <row r="15" spans="1:13">
      <c r="B15" s="133"/>
      <c r="C15" s="133" t="s">
        <v>269</v>
      </c>
      <c r="D15" s="133"/>
      <c r="E15" s="133"/>
      <c r="F15" s="133"/>
      <c r="G15" s="133"/>
      <c r="H15" s="133"/>
      <c r="I15" s="133"/>
      <c r="J15" s="133"/>
      <c r="K15" s="174"/>
      <c r="L15" s="158"/>
    </row>
    <row r="16" spans="1:13">
      <c r="A16" s="119">
        <v>1</v>
      </c>
      <c r="B16" s="190">
        <v>303</v>
      </c>
      <c r="C16" s="62" t="s">
        <v>270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41">
        <f>SUM(D16:J16)</f>
        <v>0</v>
      </c>
      <c r="L16" s="158" t="s">
        <v>216</v>
      </c>
      <c r="M16" s="119">
        <f>A16</f>
        <v>1</v>
      </c>
    </row>
    <row r="17" spans="1:15">
      <c r="A17" s="119">
        <f>A16+1</f>
        <v>2</v>
      </c>
      <c r="B17" s="191">
        <v>310.10000000000002</v>
      </c>
      <c r="C17" s="62" t="s">
        <v>271</v>
      </c>
      <c r="D17" s="178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42">
        <f>SUM(D17:J17)</f>
        <v>0</v>
      </c>
      <c r="L17" s="158" t="s">
        <v>216</v>
      </c>
      <c r="M17" s="119">
        <f>M16+1</f>
        <v>2</v>
      </c>
    </row>
    <row r="18" spans="1:15">
      <c r="A18" s="119">
        <f t="shared" ref="A18:A36" si="0">A17+1</f>
        <v>3</v>
      </c>
      <c r="B18" s="190">
        <v>340</v>
      </c>
      <c r="C18" s="192" t="s">
        <v>272</v>
      </c>
      <c r="D18" s="178">
        <v>0</v>
      </c>
      <c r="E18" s="179">
        <v>1.1260899999999998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80">
        <f>SUM(D18:J18)</f>
        <v>1.1260899999999998</v>
      </c>
      <c r="L18" s="158" t="s">
        <v>216</v>
      </c>
      <c r="M18" s="119">
        <f t="shared" ref="M18:M36" si="1">M17+1</f>
        <v>3</v>
      </c>
    </row>
    <row r="19" spans="1:15">
      <c r="A19" s="119">
        <f t="shared" si="0"/>
        <v>4</v>
      </c>
      <c r="B19" s="190">
        <v>360</v>
      </c>
      <c r="C19" s="192" t="s">
        <v>272</v>
      </c>
      <c r="D19" s="178">
        <v>0</v>
      </c>
      <c r="E19" s="179">
        <v>0</v>
      </c>
      <c r="F19" s="179">
        <v>48.117260000000002</v>
      </c>
      <c r="G19" s="179">
        <v>0</v>
      </c>
      <c r="H19" s="179">
        <v>0</v>
      </c>
      <c r="I19" s="179">
        <v>0</v>
      </c>
      <c r="J19" s="179">
        <v>0</v>
      </c>
      <c r="K19" s="180">
        <f>SUM(D19:J19)</f>
        <v>48.117260000000002</v>
      </c>
      <c r="L19" s="158" t="s">
        <v>216</v>
      </c>
      <c r="M19" s="119">
        <f t="shared" si="1"/>
        <v>4</v>
      </c>
    </row>
    <row r="20" spans="1:15">
      <c r="A20" s="119">
        <f t="shared" si="0"/>
        <v>5</v>
      </c>
      <c r="B20" s="190">
        <v>361</v>
      </c>
      <c r="C20" s="62" t="s">
        <v>273</v>
      </c>
      <c r="D20" s="178">
        <v>0</v>
      </c>
      <c r="E20" s="179">
        <v>0</v>
      </c>
      <c r="F20" s="179">
        <v>591.56626000000006</v>
      </c>
      <c r="G20" s="179">
        <v>0</v>
      </c>
      <c r="H20" s="179">
        <v>0</v>
      </c>
      <c r="I20" s="179">
        <v>0</v>
      </c>
      <c r="J20" s="179">
        <v>0</v>
      </c>
      <c r="K20" s="180">
        <f>SUM(D20:J20)</f>
        <v>591.56626000000006</v>
      </c>
      <c r="L20" s="158" t="s">
        <v>216</v>
      </c>
      <c r="M20" s="119">
        <f t="shared" si="1"/>
        <v>5</v>
      </c>
    </row>
    <row r="21" spans="1:15">
      <c r="A21" s="119">
        <f t="shared" si="0"/>
        <v>6</v>
      </c>
      <c r="B21" s="158"/>
      <c r="C21" s="133"/>
      <c r="D21" s="133"/>
      <c r="E21" s="133"/>
      <c r="F21" s="133"/>
      <c r="G21" s="133"/>
      <c r="H21" s="133"/>
      <c r="I21" s="133"/>
      <c r="J21" s="133"/>
      <c r="K21" s="180"/>
      <c r="L21" s="158"/>
      <c r="M21" s="119">
        <f t="shared" si="1"/>
        <v>6</v>
      </c>
    </row>
    <row r="22" spans="1:15" s="110" customFormat="1">
      <c r="A22" s="119">
        <f t="shared" si="0"/>
        <v>7</v>
      </c>
      <c r="B22" s="1188" t="s">
        <v>274</v>
      </c>
      <c r="C22" s="1189" t="s">
        <v>275</v>
      </c>
      <c r="D22" s="1190">
        <f t="shared" ref="D22:I22" si="2">SUM(D16:D21)</f>
        <v>0</v>
      </c>
      <c r="E22" s="1190">
        <f t="shared" si="2"/>
        <v>1.1260899999999998</v>
      </c>
      <c r="F22" s="1190">
        <f>SUM(F16:F21)</f>
        <v>639.68352000000004</v>
      </c>
      <c r="G22" s="1190">
        <f t="shared" si="2"/>
        <v>0</v>
      </c>
      <c r="H22" s="1190">
        <f t="shared" si="2"/>
        <v>0</v>
      </c>
      <c r="I22" s="1190">
        <f t="shared" si="2"/>
        <v>0</v>
      </c>
      <c r="J22" s="1190">
        <f>SUM(J16:J21)</f>
        <v>0</v>
      </c>
      <c r="K22" s="966">
        <f>SUM(K16:K21)</f>
        <v>640.80961000000002</v>
      </c>
      <c r="L22" s="1191" t="str">
        <f>"Sum Lines "&amp;A16&amp;" thru "&amp;A20</f>
        <v>Sum Lines 1 thru 5</v>
      </c>
      <c r="M22" s="119">
        <f t="shared" si="1"/>
        <v>7</v>
      </c>
    </row>
    <row r="23" spans="1:15">
      <c r="A23" s="119">
        <f t="shared" si="0"/>
        <v>8</v>
      </c>
      <c r="B23" s="158"/>
      <c r="C23" s="133"/>
      <c r="D23" s="181"/>
      <c r="E23" s="182"/>
      <c r="F23" s="182"/>
      <c r="G23" s="182"/>
      <c r="H23" s="182"/>
      <c r="I23" s="182"/>
      <c r="J23" s="182"/>
      <c r="K23" s="220"/>
      <c r="L23" s="158"/>
      <c r="M23" s="119">
        <f t="shared" si="1"/>
        <v>8</v>
      </c>
    </row>
    <row r="24" spans="1:15">
      <c r="A24" s="119">
        <f t="shared" si="0"/>
        <v>9</v>
      </c>
      <c r="B24" s="190">
        <v>350</v>
      </c>
      <c r="C24" s="62" t="s">
        <v>272</v>
      </c>
      <c r="D24" s="176">
        <v>30121.029480000001</v>
      </c>
      <c r="E24" s="177">
        <v>0</v>
      </c>
      <c r="F24" s="176">
        <v>0</v>
      </c>
      <c r="G24" s="176">
        <v>0</v>
      </c>
      <c r="H24" s="176">
        <v>0</v>
      </c>
      <c r="I24" s="177">
        <v>0</v>
      </c>
      <c r="J24" s="177">
        <v>-375.76431999999994</v>
      </c>
      <c r="K24" s="141">
        <f t="shared" ref="K24:K32" si="3">SUM(D24:J24)</f>
        <v>29745.265160000003</v>
      </c>
      <c r="L24" s="158" t="s">
        <v>216</v>
      </c>
      <c r="M24" s="119">
        <f t="shared" si="1"/>
        <v>9</v>
      </c>
    </row>
    <row r="25" spans="1:15">
      <c r="A25" s="119">
        <f t="shared" si="0"/>
        <v>10</v>
      </c>
      <c r="B25" s="190">
        <v>352</v>
      </c>
      <c r="C25" s="62" t="s">
        <v>273</v>
      </c>
      <c r="D25" s="181">
        <v>122728.35791000001</v>
      </c>
      <c r="E25" s="179">
        <v>0</v>
      </c>
      <c r="F25" s="179">
        <v>0</v>
      </c>
      <c r="G25" s="181">
        <v>-541.53980999999999</v>
      </c>
      <c r="H25" s="178">
        <v>0</v>
      </c>
      <c r="I25" s="179">
        <v>0</v>
      </c>
      <c r="J25" s="182">
        <v>-21174.891939999998</v>
      </c>
      <c r="K25" s="180">
        <f t="shared" si="3"/>
        <v>101011.92616</v>
      </c>
      <c r="L25" s="158" t="s">
        <v>216</v>
      </c>
      <c r="M25" s="119">
        <f t="shared" si="1"/>
        <v>10</v>
      </c>
      <c r="O25" s="145"/>
    </row>
    <row r="26" spans="1:15">
      <c r="A26" s="119">
        <f t="shared" si="0"/>
        <v>11</v>
      </c>
      <c r="B26" s="190">
        <v>353</v>
      </c>
      <c r="C26" s="62" t="s">
        <v>276</v>
      </c>
      <c r="D26" s="181">
        <v>532734.98178000003</v>
      </c>
      <c r="E26" s="179">
        <v>0</v>
      </c>
      <c r="F26" s="179">
        <v>0</v>
      </c>
      <c r="G26" s="181">
        <v>-3527.4251399999998</v>
      </c>
      <c r="H26" s="178">
        <v>-545.20190000000002</v>
      </c>
      <c r="I26" s="179">
        <v>0</v>
      </c>
      <c r="J26" s="182">
        <v>-1598.00729</v>
      </c>
      <c r="K26" s="180">
        <f t="shared" si="3"/>
        <v>527064.34745000012</v>
      </c>
      <c r="L26" s="158" t="s">
        <v>216</v>
      </c>
      <c r="M26" s="119">
        <f t="shared" si="1"/>
        <v>11</v>
      </c>
    </row>
    <row r="27" spans="1:15">
      <c r="A27" s="119">
        <f t="shared" si="0"/>
        <v>12</v>
      </c>
      <c r="B27" s="190">
        <v>354</v>
      </c>
      <c r="C27" s="62" t="s">
        <v>277</v>
      </c>
      <c r="D27" s="181">
        <v>254068.40857999999</v>
      </c>
      <c r="E27" s="179">
        <v>0</v>
      </c>
      <c r="F27" s="179">
        <v>0</v>
      </c>
      <c r="G27" s="181">
        <v>0</v>
      </c>
      <c r="H27" s="178">
        <v>0</v>
      </c>
      <c r="I27" s="179">
        <v>0</v>
      </c>
      <c r="J27" s="182">
        <v>0</v>
      </c>
      <c r="K27" s="180">
        <f t="shared" si="3"/>
        <v>254068.40857999999</v>
      </c>
      <c r="L27" s="158" t="s">
        <v>216</v>
      </c>
      <c r="M27" s="119">
        <f t="shared" si="1"/>
        <v>12</v>
      </c>
    </row>
    <row r="28" spans="1:15">
      <c r="A28" s="119">
        <f t="shared" si="0"/>
        <v>13</v>
      </c>
      <c r="B28" s="190">
        <v>355</v>
      </c>
      <c r="C28" s="62" t="s">
        <v>278</v>
      </c>
      <c r="D28" s="181">
        <v>174687.89191999999</v>
      </c>
      <c r="E28" s="179">
        <v>0</v>
      </c>
      <c r="F28" s="179">
        <v>0</v>
      </c>
      <c r="G28" s="181">
        <v>0</v>
      </c>
      <c r="H28" s="178">
        <v>0</v>
      </c>
      <c r="I28" s="179">
        <v>0</v>
      </c>
      <c r="J28" s="182">
        <v>0</v>
      </c>
      <c r="K28" s="180">
        <f t="shared" si="3"/>
        <v>174687.89191999999</v>
      </c>
      <c r="L28" s="158" t="s">
        <v>216</v>
      </c>
      <c r="M28" s="119">
        <f t="shared" si="1"/>
        <v>13</v>
      </c>
    </row>
    <row r="29" spans="1:15">
      <c r="A29" s="119">
        <f t="shared" si="0"/>
        <v>14</v>
      </c>
      <c r="B29" s="190">
        <v>356</v>
      </c>
      <c r="C29" s="62" t="s">
        <v>279</v>
      </c>
      <c r="D29" s="181">
        <v>287529.21023999999</v>
      </c>
      <c r="E29" s="179">
        <v>0</v>
      </c>
      <c r="F29" s="179">
        <v>0</v>
      </c>
      <c r="G29" s="181">
        <v>0</v>
      </c>
      <c r="H29" s="178">
        <v>0</v>
      </c>
      <c r="I29" s="179">
        <v>0</v>
      </c>
      <c r="J29" s="182">
        <v>0</v>
      </c>
      <c r="K29" s="180">
        <f t="shared" si="3"/>
        <v>287529.21023999999</v>
      </c>
      <c r="L29" s="158" t="s">
        <v>216</v>
      </c>
      <c r="M29" s="119">
        <f t="shared" si="1"/>
        <v>14</v>
      </c>
    </row>
    <row r="30" spans="1:15">
      <c r="A30" s="119">
        <f t="shared" si="0"/>
        <v>15</v>
      </c>
      <c r="B30" s="190">
        <v>357</v>
      </c>
      <c r="C30" s="62" t="s">
        <v>280</v>
      </c>
      <c r="D30" s="181">
        <v>102870.26463000001</v>
      </c>
      <c r="E30" s="179">
        <v>0</v>
      </c>
      <c r="F30" s="179">
        <v>0</v>
      </c>
      <c r="G30" s="181">
        <v>0</v>
      </c>
      <c r="H30" s="178">
        <v>0</v>
      </c>
      <c r="I30" s="179">
        <v>0</v>
      </c>
      <c r="J30" s="182">
        <v>0</v>
      </c>
      <c r="K30" s="180">
        <f t="shared" si="3"/>
        <v>102870.26463000001</v>
      </c>
      <c r="L30" s="158" t="s">
        <v>216</v>
      </c>
      <c r="M30" s="119">
        <f t="shared" si="1"/>
        <v>15</v>
      </c>
    </row>
    <row r="31" spans="1:15">
      <c r="A31" s="119">
        <f t="shared" si="0"/>
        <v>16</v>
      </c>
      <c r="B31" s="190">
        <v>358</v>
      </c>
      <c r="C31" s="62" t="s">
        <v>281</v>
      </c>
      <c r="D31" s="181">
        <v>102689.34135</v>
      </c>
      <c r="E31" s="179">
        <v>0</v>
      </c>
      <c r="F31" s="179">
        <v>0</v>
      </c>
      <c r="G31" s="181">
        <v>-611.28782000000001</v>
      </c>
      <c r="H31" s="178">
        <v>0</v>
      </c>
      <c r="I31" s="179">
        <v>0</v>
      </c>
      <c r="J31" s="182">
        <v>0</v>
      </c>
      <c r="K31" s="180">
        <f t="shared" si="3"/>
        <v>102078.05353</v>
      </c>
      <c r="L31" s="158" t="s">
        <v>216</v>
      </c>
      <c r="M31" s="119">
        <f t="shared" si="1"/>
        <v>16</v>
      </c>
    </row>
    <row r="32" spans="1:15">
      <c r="A32" s="119">
        <f t="shared" si="0"/>
        <v>17</v>
      </c>
      <c r="B32" s="190">
        <v>359</v>
      </c>
      <c r="C32" s="62" t="s">
        <v>282</v>
      </c>
      <c r="D32" s="181">
        <v>55439.172070000001</v>
      </c>
      <c r="E32" s="179">
        <v>0</v>
      </c>
      <c r="F32" s="179">
        <v>0</v>
      </c>
      <c r="G32" s="181">
        <v>0</v>
      </c>
      <c r="H32" s="178">
        <v>0</v>
      </c>
      <c r="I32" s="179">
        <v>0</v>
      </c>
      <c r="J32" s="182">
        <v>0</v>
      </c>
      <c r="K32" s="180">
        <f t="shared" si="3"/>
        <v>55439.172070000001</v>
      </c>
      <c r="L32" s="158" t="s">
        <v>216</v>
      </c>
      <c r="M32" s="119">
        <f t="shared" si="1"/>
        <v>17</v>
      </c>
    </row>
    <row r="33" spans="1:13">
      <c r="A33" s="119">
        <f t="shared" si="0"/>
        <v>18</v>
      </c>
      <c r="B33" s="221"/>
      <c r="C33" s="133"/>
      <c r="D33" s="181"/>
      <c r="F33" s="1039"/>
      <c r="G33" s="1039"/>
      <c r="H33" s="1039"/>
      <c r="I33" s="1039"/>
      <c r="J33" s="182"/>
      <c r="K33" s="1150"/>
      <c r="L33" s="175"/>
      <c r="M33" s="119">
        <f t="shared" si="1"/>
        <v>18</v>
      </c>
    </row>
    <row r="34" spans="1:13">
      <c r="A34" s="119">
        <f t="shared" si="0"/>
        <v>19</v>
      </c>
      <c r="B34" s="1192" t="s">
        <v>274</v>
      </c>
      <c r="C34" s="1189" t="s">
        <v>240</v>
      </c>
      <c r="D34" s="1190">
        <f t="shared" ref="D34:I34" si="4">SUM(D24:D33)</f>
        <v>1662868.6579600002</v>
      </c>
      <c r="E34" s="1190">
        <f t="shared" si="4"/>
        <v>0</v>
      </c>
      <c r="F34" s="1190">
        <f>SUM(F24:F33)</f>
        <v>0</v>
      </c>
      <c r="G34" s="1190">
        <f t="shared" si="4"/>
        <v>-4680.2527699999991</v>
      </c>
      <c r="H34" s="1190">
        <f t="shared" si="4"/>
        <v>-545.20190000000002</v>
      </c>
      <c r="I34" s="1190">
        <f t="shared" si="4"/>
        <v>0</v>
      </c>
      <c r="J34" s="1190">
        <f>SUM(J24:J33)</f>
        <v>-23148.663549999997</v>
      </c>
      <c r="K34" s="966">
        <f>SUM(K24:K33)</f>
        <v>1634494.5397400002</v>
      </c>
      <c r="L34" s="1193" t="str">
        <f>"Sum Lines "&amp;A24&amp;" thru "&amp;A32</f>
        <v>Sum Lines 9 thru 17</v>
      </c>
      <c r="M34" s="119">
        <f t="shared" si="1"/>
        <v>19</v>
      </c>
    </row>
    <row r="35" spans="1:13">
      <c r="A35" s="119">
        <f t="shared" si="0"/>
        <v>20</v>
      </c>
      <c r="B35" s="218"/>
      <c r="D35" s="136"/>
      <c r="J35" s="183"/>
      <c r="K35" s="183"/>
      <c r="L35" s="967"/>
      <c r="M35" s="119">
        <f t="shared" si="1"/>
        <v>20</v>
      </c>
    </row>
    <row r="36" spans="1:13">
      <c r="A36" s="119">
        <f t="shared" si="0"/>
        <v>21</v>
      </c>
      <c r="B36" s="1197" t="s">
        <v>283</v>
      </c>
      <c r="C36" s="968"/>
      <c r="D36" s="1195">
        <f t="shared" ref="D36:I36" si="5">D34+D22</f>
        <v>1662868.6579600002</v>
      </c>
      <c r="E36" s="1195">
        <f t="shared" si="5"/>
        <v>1.1260899999999998</v>
      </c>
      <c r="F36" s="1195">
        <f>F34+F22</f>
        <v>639.68352000000004</v>
      </c>
      <c r="G36" s="1195">
        <f t="shared" si="5"/>
        <v>-4680.2527699999991</v>
      </c>
      <c r="H36" s="1195">
        <f t="shared" si="5"/>
        <v>-545.20190000000002</v>
      </c>
      <c r="I36" s="1196">
        <f t="shared" si="5"/>
        <v>0</v>
      </c>
      <c r="J36" s="1195">
        <f>J34+J22</f>
        <v>-23148.663549999997</v>
      </c>
      <c r="K36" s="1195">
        <f>K34+K22</f>
        <v>1635135.3493500003</v>
      </c>
      <c r="L36" s="1191" t="str">
        <f>"Line "&amp;A22&amp;" + Line "&amp;A34</f>
        <v>Line 7 + Line 19</v>
      </c>
      <c r="M36" s="119">
        <f t="shared" si="1"/>
        <v>21</v>
      </c>
    </row>
    <row r="37" spans="1:13">
      <c r="D37" s="136"/>
      <c r="K37" s="222"/>
      <c r="L37" s="222"/>
    </row>
    <row r="38" spans="1:13">
      <c r="D38" s="136"/>
      <c r="K38" s="222"/>
      <c r="L38" s="222"/>
    </row>
    <row r="39" spans="1:13">
      <c r="B39" s="136" t="s">
        <v>325</v>
      </c>
      <c r="D39" s="136"/>
    </row>
    <row r="40" spans="1:13">
      <c r="D40" s="136"/>
    </row>
    <row r="41" spans="1:13">
      <c r="D41" s="136"/>
    </row>
    <row r="42" spans="1:13">
      <c r="D42" s="136"/>
    </row>
    <row r="43" spans="1:13">
      <c r="D43" s="136"/>
    </row>
    <row r="44" spans="1:13">
      <c r="D44" s="136"/>
    </row>
    <row r="45" spans="1:13">
      <c r="D45" s="136"/>
    </row>
    <row r="46" spans="1:13">
      <c r="D46" s="136"/>
    </row>
    <row r="47" spans="1:13">
      <c r="D47" s="136"/>
    </row>
    <row r="48" spans="1:13">
      <c r="D48" s="136"/>
    </row>
    <row r="49" spans="4:4">
      <c r="D49" s="136"/>
    </row>
    <row r="50" spans="4:4">
      <c r="D50" s="136"/>
    </row>
    <row r="51" spans="4:4">
      <c r="D51" s="136"/>
    </row>
    <row r="52" spans="4:4">
      <c r="D52" s="136"/>
    </row>
    <row r="53" spans="4:4">
      <c r="D53" s="136"/>
    </row>
    <row r="54" spans="4:4">
      <c r="D54" s="136"/>
    </row>
    <row r="55" spans="4:4">
      <c r="D55" s="136"/>
    </row>
    <row r="56" spans="4:4">
      <c r="D56" s="136"/>
    </row>
    <row r="57" spans="4:4">
      <c r="D57" s="136"/>
    </row>
    <row r="58" spans="4:4">
      <c r="D58" s="136"/>
    </row>
    <row r="59" spans="4:4">
      <c r="D59" s="136"/>
    </row>
    <row r="60" spans="4:4">
      <c r="D60" s="136"/>
    </row>
    <row r="61" spans="4:4">
      <c r="D61" s="136"/>
    </row>
    <row r="62" spans="4:4">
      <c r="D62" s="136"/>
    </row>
    <row r="63" spans="4:4">
      <c r="D63" s="136"/>
    </row>
    <row r="64" spans="4:4">
      <c r="D64" s="136"/>
    </row>
    <row r="65" spans="4:4">
      <c r="D65" s="136"/>
    </row>
    <row r="66" spans="4:4">
      <c r="D66" s="136"/>
    </row>
    <row r="67" spans="4:4">
      <c r="D67" s="136"/>
    </row>
    <row r="68" spans="4:4">
      <c r="D68" s="136"/>
    </row>
    <row r="69" spans="4:4">
      <c r="D69" s="136"/>
    </row>
    <row r="70" spans="4:4">
      <c r="D70" s="136"/>
    </row>
    <row r="71" spans="4:4">
      <c r="D71" s="136"/>
    </row>
    <row r="72" spans="4:4">
      <c r="D72" s="136"/>
    </row>
    <row r="73" spans="4:4">
      <c r="D73" s="136"/>
    </row>
    <row r="74" spans="4:4">
      <c r="D74" s="136"/>
    </row>
    <row r="75" spans="4:4">
      <c r="D75" s="136"/>
    </row>
    <row r="76" spans="4:4">
      <c r="D76" s="136"/>
    </row>
    <row r="77" spans="4:4">
      <c r="D77" s="136"/>
    </row>
    <row r="78" spans="4:4">
      <c r="D78" s="136"/>
    </row>
    <row r="79" spans="4:4">
      <c r="D79" s="136"/>
    </row>
    <row r="80" spans="4:4">
      <c r="D80" s="136"/>
    </row>
    <row r="81" spans="4:4">
      <c r="D81" s="136"/>
    </row>
    <row r="82" spans="4:4">
      <c r="D82" s="136"/>
    </row>
    <row r="83" spans="4:4">
      <c r="D83" s="136"/>
    </row>
    <row r="84" spans="4:4">
      <c r="D84" s="136"/>
    </row>
    <row r="85" spans="4:4">
      <c r="D85" s="136"/>
    </row>
    <row r="86" spans="4:4">
      <c r="D86" s="136"/>
    </row>
    <row r="87" spans="4:4">
      <c r="D87" s="136"/>
    </row>
    <row r="88" spans="4:4">
      <c r="D88" s="136"/>
    </row>
    <row r="89" spans="4:4">
      <c r="D89" s="136"/>
    </row>
    <row r="90" spans="4:4">
      <c r="D90" s="136"/>
    </row>
    <row r="91" spans="4:4">
      <c r="D91" s="136"/>
    </row>
    <row r="92" spans="4:4">
      <c r="D92" s="136"/>
    </row>
    <row r="93" spans="4:4">
      <c r="D93" s="136"/>
    </row>
    <row r="94" spans="4:4">
      <c r="D94" s="136"/>
    </row>
    <row r="95" spans="4:4">
      <c r="D95" s="136"/>
    </row>
    <row r="96" spans="4:4">
      <c r="D96" s="136"/>
    </row>
    <row r="97" spans="4:4">
      <c r="D97" s="136"/>
    </row>
    <row r="98" spans="4:4">
      <c r="D98" s="136"/>
    </row>
    <row r="99" spans="4:4">
      <c r="D99" s="136"/>
    </row>
    <row r="100" spans="4:4">
      <c r="D100" s="136"/>
    </row>
    <row r="101" spans="4:4">
      <c r="D101" s="136"/>
    </row>
    <row r="102" spans="4:4">
      <c r="D102" s="136"/>
    </row>
    <row r="103" spans="4:4">
      <c r="D103" s="136"/>
    </row>
    <row r="104" spans="4:4">
      <c r="D104" s="136"/>
    </row>
    <row r="105" spans="4:4">
      <c r="D105" s="136"/>
    </row>
    <row r="106" spans="4:4">
      <c r="D106" s="136"/>
    </row>
    <row r="107" spans="4:4">
      <c r="D107" s="136"/>
    </row>
    <row r="108" spans="4:4">
      <c r="D108" s="136"/>
    </row>
    <row r="109" spans="4:4">
      <c r="D109" s="136"/>
    </row>
    <row r="110" spans="4:4">
      <c r="D110" s="136"/>
    </row>
    <row r="111" spans="4:4">
      <c r="D111" s="136"/>
    </row>
    <row r="112" spans="4:4">
      <c r="D112" s="136"/>
    </row>
    <row r="113" spans="4:4">
      <c r="D113" s="136"/>
    </row>
    <row r="114" spans="4:4">
      <c r="D114" s="136"/>
    </row>
    <row r="115" spans="4:4">
      <c r="D115" s="136"/>
    </row>
    <row r="116" spans="4:4">
      <c r="D116" s="136"/>
    </row>
    <row r="117" spans="4:4">
      <c r="D117" s="136"/>
    </row>
    <row r="118" spans="4:4">
      <c r="D118" s="136"/>
    </row>
    <row r="119" spans="4:4">
      <c r="D119" s="136"/>
    </row>
    <row r="120" spans="4:4">
      <c r="D120" s="136"/>
    </row>
    <row r="121" spans="4:4">
      <c r="D121" s="136"/>
    </row>
    <row r="122" spans="4:4">
      <c r="D122" s="136"/>
    </row>
    <row r="123" spans="4:4">
      <c r="D123" s="136"/>
    </row>
    <row r="124" spans="4:4">
      <c r="D124" s="136"/>
    </row>
    <row r="125" spans="4:4">
      <c r="D125" s="136"/>
    </row>
    <row r="126" spans="4:4">
      <c r="D126" s="136"/>
    </row>
    <row r="127" spans="4:4">
      <c r="D127" s="136"/>
    </row>
    <row r="128" spans="4:4">
      <c r="D128" s="136"/>
    </row>
    <row r="129" spans="4:4">
      <c r="D129" s="136"/>
    </row>
    <row r="130" spans="4:4">
      <c r="D130" s="136"/>
    </row>
    <row r="131" spans="4:4">
      <c r="D131" s="136"/>
    </row>
    <row r="132" spans="4:4">
      <c r="D132" s="136"/>
    </row>
    <row r="133" spans="4:4">
      <c r="D133" s="136"/>
    </row>
    <row r="134" spans="4:4">
      <c r="D134" s="136"/>
    </row>
    <row r="135" spans="4:4">
      <c r="D135" s="136"/>
    </row>
    <row r="136" spans="4:4">
      <c r="D136" s="136"/>
    </row>
    <row r="137" spans="4:4">
      <c r="D137" s="136"/>
    </row>
    <row r="138" spans="4:4">
      <c r="D138" s="136"/>
    </row>
    <row r="139" spans="4:4">
      <c r="D139" s="136"/>
    </row>
    <row r="140" spans="4:4">
      <c r="D140" s="136"/>
    </row>
    <row r="141" spans="4:4">
      <c r="D141" s="136"/>
    </row>
    <row r="142" spans="4:4">
      <c r="D142" s="136"/>
    </row>
    <row r="143" spans="4:4">
      <c r="D143" s="136"/>
    </row>
    <row r="144" spans="4:4">
      <c r="D144" s="136"/>
    </row>
    <row r="145" spans="4:4">
      <c r="D145" s="136"/>
    </row>
    <row r="146" spans="4:4">
      <c r="D146" s="136"/>
    </row>
    <row r="147" spans="4:4">
      <c r="D147" s="136"/>
    </row>
    <row r="148" spans="4:4">
      <c r="D148" s="136"/>
    </row>
    <row r="149" spans="4:4">
      <c r="D149" s="136"/>
    </row>
    <row r="150" spans="4:4">
      <c r="D150" s="136"/>
    </row>
    <row r="151" spans="4:4">
      <c r="D151" s="136"/>
    </row>
    <row r="152" spans="4:4">
      <c r="D152" s="136"/>
    </row>
    <row r="153" spans="4:4">
      <c r="D153" s="136"/>
    </row>
    <row r="154" spans="4:4">
      <c r="D154" s="136"/>
    </row>
    <row r="155" spans="4:4">
      <c r="D155" s="136"/>
    </row>
    <row r="156" spans="4:4">
      <c r="D156" s="136"/>
    </row>
    <row r="157" spans="4:4">
      <c r="D157" s="136"/>
    </row>
    <row r="158" spans="4:4">
      <c r="D158" s="136"/>
    </row>
    <row r="159" spans="4:4">
      <c r="D159" s="136"/>
    </row>
    <row r="160" spans="4:4">
      <c r="D160" s="136"/>
    </row>
    <row r="161" spans="4:4">
      <c r="D161" s="136"/>
    </row>
    <row r="162" spans="4:4">
      <c r="D162" s="136"/>
    </row>
    <row r="163" spans="4:4">
      <c r="D163" s="136"/>
    </row>
    <row r="164" spans="4:4">
      <c r="D164" s="136"/>
    </row>
    <row r="165" spans="4:4">
      <c r="D165" s="136"/>
    </row>
    <row r="166" spans="4:4">
      <c r="D166" s="136"/>
    </row>
    <row r="167" spans="4:4">
      <c r="D167" s="136"/>
    </row>
    <row r="168" spans="4:4">
      <c r="D168" s="136"/>
    </row>
    <row r="169" spans="4:4">
      <c r="D169" s="136"/>
    </row>
    <row r="170" spans="4:4">
      <c r="D170" s="136"/>
    </row>
    <row r="171" spans="4:4">
      <c r="D171" s="136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O171"/>
  <sheetViews>
    <sheetView zoomScale="80" zoomScaleNormal="80" workbookViewId="0"/>
  </sheetViews>
  <sheetFormatPr defaultColWidth="9.140625" defaultRowHeight="15.75"/>
  <cols>
    <col min="1" max="1" width="5.140625" style="119" customWidth="1"/>
    <col min="2" max="2" width="11.140625" style="136" customWidth="1"/>
    <col min="3" max="3" width="32.5703125" style="136" customWidth="1"/>
    <col min="4" max="11" width="18.5703125" style="189" customWidth="1"/>
    <col min="12" max="12" width="24" style="189" customWidth="1"/>
    <col min="13" max="13" width="5.140625" style="119" customWidth="1"/>
    <col min="14" max="16384" width="9.140625" style="136"/>
  </cols>
  <sheetData>
    <row r="2" spans="1:13" s="110" customFormat="1">
      <c r="A2" s="109"/>
      <c r="B2" s="1305" t="s">
        <v>0</v>
      </c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09"/>
    </row>
    <row r="3" spans="1:13" s="110" customFormat="1">
      <c r="A3" s="109"/>
      <c r="B3" s="1305" t="s">
        <v>247</v>
      </c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09"/>
    </row>
    <row r="4" spans="1:13">
      <c r="B4" s="1305" t="s">
        <v>319</v>
      </c>
      <c r="C4" s="1305"/>
      <c r="D4" s="1305"/>
      <c r="E4" s="1305"/>
      <c r="F4" s="1305"/>
      <c r="G4" s="1305"/>
      <c r="H4" s="1305"/>
      <c r="I4" s="1305"/>
      <c r="J4" s="1305"/>
      <c r="K4" s="1305"/>
      <c r="L4" s="1305"/>
    </row>
    <row r="5" spans="1:13">
      <c r="B5" s="1305" t="s">
        <v>312</v>
      </c>
      <c r="C5" s="1305"/>
      <c r="D5" s="1305"/>
      <c r="E5" s="1305"/>
      <c r="F5" s="1305"/>
      <c r="G5" s="1305"/>
      <c r="H5" s="1305"/>
      <c r="I5" s="1305"/>
      <c r="J5" s="1305"/>
      <c r="K5" s="1305"/>
      <c r="L5" s="1305"/>
    </row>
    <row r="6" spans="1:13">
      <c r="B6" s="1305" t="str">
        <f>"BALANCES AS OF 12/31/"&amp;Automation!$B$3</f>
        <v>BALANCES AS OF 12/31/2022</v>
      </c>
      <c r="C6" s="1305"/>
      <c r="D6" s="1305"/>
      <c r="E6" s="1305"/>
      <c r="F6" s="1305"/>
      <c r="G6" s="1305"/>
      <c r="H6" s="1305"/>
      <c r="I6" s="1305"/>
      <c r="J6" s="1305"/>
      <c r="K6" s="1305"/>
      <c r="L6" s="1305"/>
    </row>
    <row r="7" spans="1:13">
      <c r="B7" s="1309" t="s">
        <v>3</v>
      </c>
      <c r="C7" s="1305"/>
      <c r="D7" s="1305"/>
      <c r="E7" s="1305"/>
      <c r="F7" s="1305"/>
      <c r="G7" s="1305"/>
      <c r="H7" s="1305"/>
      <c r="I7" s="1305"/>
      <c r="J7" s="1305"/>
      <c r="K7" s="1305"/>
      <c r="L7" s="1305"/>
    </row>
    <row r="8" spans="1:13">
      <c r="C8" s="111"/>
      <c r="D8" s="112"/>
      <c r="E8" s="165"/>
      <c r="F8" s="165"/>
      <c r="G8" s="165"/>
      <c r="H8" s="165"/>
      <c r="I8" s="165"/>
      <c r="J8" s="165"/>
      <c r="K8" s="165"/>
      <c r="L8" s="165"/>
    </row>
    <row r="9" spans="1:13" s="109" customFormat="1">
      <c r="B9" s="972"/>
      <c r="C9" s="963"/>
      <c r="D9" s="964" t="s">
        <v>249</v>
      </c>
      <c r="E9" s="965" t="s">
        <v>250</v>
      </c>
      <c r="F9" s="965" t="s">
        <v>251</v>
      </c>
      <c r="G9" s="965" t="s">
        <v>252</v>
      </c>
      <c r="H9" s="965" t="s">
        <v>253</v>
      </c>
      <c r="I9" s="965" t="s">
        <v>254</v>
      </c>
      <c r="J9" s="965" t="s">
        <v>255</v>
      </c>
      <c r="K9" s="975" t="s">
        <v>256</v>
      </c>
      <c r="L9" s="864"/>
    </row>
    <row r="10" spans="1:13">
      <c r="B10" s="215"/>
      <c r="C10" s="118"/>
      <c r="D10" s="167"/>
      <c r="E10" s="168"/>
      <c r="F10" s="216"/>
      <c r="G10" s="168"/>
      <c r="H10" s="168"/>
      <c r="I10" s="168"/>
      <c r="J10" s="168"/>
      <c r="K10" s="217" t="s">
        <v>80</v>
      </c>
      <c r="L10" s="166"/>
    </row>
    <row r="11" spans="1:13">
      <c r="B11" s="215"/>
      <c r="C11" s="118"/>
      <c r="D11" s="167"/>
      <c r="E11" s="168" t="s">
        <v>257</v>
      </c>
      <c r="F11" s="216" t="s">
        <v>237</v>
      </c>
      <c r="G11" s="168" t="s">
        <v>241</v>
      </c>
      <c r="H11" s="168" t="s">
        <v>241</v>
      </c>
      <c r="I11" s="168" t="s">
        <v>241</v>
      </c>
      <c r="J11" s="168" t="s">
        <v>241</v>
      </c>
      <c r="K11" s="216" t="s">
        <v>241</v>
      </c>
      <c r="L11" s="158"/>
    </row>
    <row r="12" spans="1:13">
      <c r="B12" s="218"/>
      <c r="C12" s="133"/>
      <c r="D12" s="172" t="s">
        <v>80</v>
      </c>
      <c r="E12" s="168" t="s">
        <v>320</v>
      </c>
      <c r="F12" s="168" t="s">
        <v>320</v>
      </c>
      <c r="G12" s="168" t="s">
        <v>320</v>
      </c>
      <c r="H12" s="168" t="s">
        <v>320</v>
      </c>
      <c r="I12" s="168" t="s">
        <v>320</v>
      </c>
      <c r="J12" s="168" t="s">
        <v>320</v>
      </c>
      <c r="K12" s="216" t="s">
        <v>313</v>
      </c>
      <c r="L12" s="116"/>
    </row>
    <row r="13" spans="1:13">
      <c r="A13" s="119" t="s">
        <v>4</v>
      </c>
      <c r="B13" s="201"/>
      <c r="C13" s="130"/>
      <c r="D13" s="172" t="s">
        <v>241</v>
      </c>
      <c r="E13" s="168" t="s">
        <v>321</v>
      </c>
      <c r="F13" s="168" t="s">
        <v>321</v>
      </c>
      <c r="G13" s="168" t="s">
        <v>321</v>
      </c>
      <c r="H13" s="168" t="s">
        <v>321</v>
      </c>
      <c r="I13" s="168" t="s">
        <v>321</v>
      </c>
      <c r="J13" s="168" t="s">
        <v>321</v>
      </c>
      <c r="K13" s="216" t="s">
        <v>288</v>
      </c>
      <c r="L13" s="116"/>
      <c r="M13" s="119" t="s">
        <v>4</v>
      </c>
    </row>
    <row r="14" spans="1:13">
      <c r="A14" s="119" t="s">
        <v>5</v>
      </c>
      <c r="B14" s="1024" t="s">
        <v>261</v>
      </c>
      <c r="C14" s="1021" t="s">
        <v>262</v>
      </c>
      <c r="D14" s="1149" t="s">
        <v>320</v>
      </c>
      <c r="E14" s="1136" t="s">
        <v>263</v>
      </c>
      <c r="F14" s="1136" t="s">
        <v>264</v>
      </c>
      <c r="G14" s="1136" t="s">
        <v>322</v>
      </c>
      <c r="H14" s="1136" t="s">
        <v>323</v>
      </c>
      <c r="I14" s="1136" t="s">
        <v>324</v>
      </c>
      <c r="J14" s="1136" t="s">
        <v>267</v>
      </c>
      <c r="K14" s="1119" t="s">
        <v>268</v>
      </c>
      <c r="L14" s="1021" t="s">
        <v>8</v>
      </c>
      <c r="M14" s="119" t="s">
        <v>5</v>
      </c>
    </row>
    <row r="15" spans="1:13">
      <c r="B15" s="133"/>
      <c r="C15" s="133" t="s">
        <v>269</v>
      </c>
      <c r="D15" s="133"/>
      <c r="E15" s="133"/>
      <c r="F15" s="133"/>
      <c r="G15" s="133"/>
      <c r="H15" s="133"/>
      <c r="I15" s="133"/>
      <c r="J15" s="133"/>
      <c r="K15" s="174"/>
      <c r="L15" s="158"/>
    </row>
    <row r="16" spans="1:13">
      <c r="A16" s="119">
        <v>1</v>
      </c>
      <c r="B16" s="190">
        <v>303</v>
      </c>
      <c r="C16" s="62" t="s">
        <v>270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41">
        <f>SUM(D16:J16)</f>
        <v>0</v>
      </c>
      <c r="L16" s="158" t="s">
        <v>216</v>
      </c>
      <c r="M16" s="119">
        <f>A16</f>
        <v>1</v>
      </c>
    </row>
    <row r="17" spans="1:15">
      <c r="A17" s="119">
        <f>A16+1</f>
        <v>2</v>
      </c>
      <c r="B17" s="191">
        <v>310.10000000000002</v>
      </c>
      <c r="C17" s="62" t="s">
        <v>271</v>
      </c>
      <c r="D17" s="178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42">
        <f>SUM(D17:J17)</f>
        <v>0</v>
      </c>
      <c r="L17" s="158" t="s">
        <v>216</v>
      </c>
      <c r="M17" s="119">
        <f>M16+1</f>
        <v>2</v>
      </c>
    </row>
    <row r="18" spans="1:15">
      <c r="A18" s="119">
        <f t="shared" ref="A18:A36" si="0">A17+1</f>
        <v>3</v>
      </c>
      <c r="B18" s="190">
        <v>340</v>
      </c>
      <c r="C18" s="192" t="s">
        <v>272</v>
      </c>
      <c r="D18" s="178">
        <v>0</v>
      </c>
      <c r="E18" s="179">
        <v>1.1178300000000001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80">
        <f>SUM(D18:J18)</f>
        <v>1.1178300000000001</v>
      </c>
      <c r="L18" s="158" t="s">
        <v>216</v>
      </c>
      <c r="M18" s="119">
        <f t="shared" ref="M18:M36" si="1">M17+1</f>
        <v>3</v>
      </c>
    </row>
    <row r="19" spans="1:15">
      <c r="A19" s="119">
        <f t="shared" si="0"/>
        <v>4</v>
      </c>
      <c r="B19" s="190">
        <v>360</v>
      </c>
      <c r="C19" s="192" t="s">
        <v>272</v>
      </c>
      <c r="D19" s="178">
        <v>0</v>
      </c>
      <c r="E19" s="179">
        <v>0</v>
      </c>
      <c r="F19" s="179">
        <v>48.730400000000003</v>
      </c>
      <c r="G19" s="179">
        <v>0</v>
      </c>
      <c r="H19" s="179">
        <v>0</v>
      </c>
      <c r="I19" s="179">
        <v>0</v>
      </c>
      <c r="J19" s="179">
        <v>0</v>
      </c>
      <c r="K19" s="180">
        <f>SUM(D19:J19)</f>
        <v>48.730400000000003</v>
      </c>
      <c r="L19" s="158" t="s">
        <v>216</v>
      </c>
      <c r="M19" s="119">
        <f t="shared" si="1"/>
        <v>4</v>
      </c>
    </row>
    <row r="20" spans="1:15">
      <c r="A20" s="119">
        <f t="shared" si="0"/>
        <v>5</v>
      </c>
      <c r="B20" s="190">
        <v>361</v>
      </c>
      <c r="C20" s="62" t="s">
        <v>273</v>
      </c>
      <c r="D20" s="178">
        <v>0</v>
      </c>
      <c r="E20" s="179">
        <v>0</v>
      </c>
      <c r="F20" s="179">
        <v>681.28647999999998</v>
      </c>
      <c r="G20" s="179">
        <v>0</v>
      </c>
      <c r="H20" s="179">
        <v>0</v>
      </c>
      <c r="I20" s="179">
        <v>0</v>
      </c>
      <c r="J20" s="179">
        <v>0</v>
      </c>
      <c r="K20" s="180">
        <f>SUM(D20:J20)</f>
        <v>681.28647999999998</v>
      </c>
      <c r="L20" s="158" t="s">
        <v>216</v>
      </c>
      <c r="M20" s="119">
        <f t="shared" si="1"/>
        <v>5</v>
      </c>
    </row>
    <row r="21" spans="1:15">
      <c r="A21" s="119">
        <f t="shared" si="0"/>
        <v>6</v>
      </c>
      <c r="B21" s="158"/>
      <c r="C21" s="133"/>
      <c r="D21" s="133"/>
      <c r="E21" s="133"/>
      <c r="F21" s="133"/>
      <c r="G21" s="133"/>
      <c r="H21" s="133"/>
      <c r="I21" s="133"/>
      <c r="J21" s="133"/>
      <c r="K21" s="180"/>
      <c r="L21" s="158"/>
      <c r="M21" s="119">
        <f t="shared" si="1"/>
        <v>6</v>
      </c>
    </row>
    <row r="22" spans="1:15" s="110" customFormat="1">
      <c r="A22" s="119">
        <f t="shared" si="0"/>
        <v>7</v>
      </c>
      <c r="B22" s="1188" t="s">
        <v>274</v>
      </c>
      <c r="C22" s="1189" t="s">
        <v>275</v>
      </c>
      <c r="D22" s="1190">
        <f t="shared" ref="D22:I22" si="2">SUM(D16:D21)</f>
        <v>0</v>
      </c>
      <c r="E22" s="1190">
        <f t="shared" si="2"/>
        <v>1.1178300000000001</v>
      </c>
      <c r="F22" s="1190">
        <f>SUM(F16:F21)</f>
        <v>730.01688000000001</v>
      </c>
      <c r="G22" s="1190">
        <f t="shared" si="2"/>
        <v>0</v>
      </c>
      <c r="H22" s="1190">
        <f t="shared" si="2"/>
        <v>0</v>
      </c>
      <c r="I22" s="1190">
        <f t="shared" si="2"/>
        <v>0</v>
      </c>
      <c r="J22" s="1190">
        <f>SUM(J16:J21)</f>
        <v>0</v>
      </c>
      <c r="K22" s="966">
        <f>SUM(K16:K21)</f>
        <v>731.13471000000004</v>
      </c>
      <c r="L22" s="1191" t="str">
        <f>"Sum Lines "&amp;A16&amp;" thru "&amp;A20</f>
        <v>Sum Lines 1 thru 5</v>
      </c>
      <c r="M22" s="119">
        <f t="shared" si="1"/>
        <v>7</v>
      </c>
    </row>
    <row r="23" spans="1:15">
      <c r="A23" s="119">
        <f t="shared" si="0"/>
        <v>8</v>
      </c>
      <c r="B23" s="158"/>
      <c r="C23" s="133"/>
      <c r="D23" s="181"/>
      <c r="E23" s="182"/>
      <c r="F23" s="182"/>
      <c r="G23" s="182"/>
      <c r="H23" s="182"/>
      <c r="I23" s="182"/>
      <c r="J23" s="182"/>
      <c r="K23" s="220"/>
      <c r="L23" s="158"/>
      <c r="M23" s="119">
        <f t="shared" si="1"/>
        <v>8</v>
      </c>
    </row>
    <row r="24" spans="1:15">
      <c r="A24" s="119">
        <f t="shared" si="0"/>
        <v>9</v>
      </c>
      <c r="B24" s="190">
        <v>350</v>
      </c>
      <c r="C24" s="62" t="s">
        <v>272</v>
      </c>
      <c r="D24" s="176">
        <v>32112.64817</v>
      </c>
      <c r="E24" s="177">
        <v>0</v>
      </c>
      <c r="F24" s="176">
        <v>0</v>
      </c>
      <c r="G24" s="176">
        <v>0</v>
      </c>
      <c r="H24" s="176">
        <v>0</v>
      </c>
      <c r="I24" s="177">
        <v>0</v>
      </c>
      <c r="J24" s="177">
        <v>-387.33722999999998</v>
      </c>
      <c r="K24" s="141">
        <f t="shared" ref="K24:K32" si="3">SUM(D24:J24)</f>
        <v>31725.310939999999</v>
      </c>
      <c r="L24" s="158" t="s">
        <v>216</v>
      </c>
      <c r="M24" s="119">
        <f t="shared" si="1"/>
        <v>9</v>
      </c>
    </row>
    <row r="25" spans="1:15">
      <c r="A25" s="119">
        <f t="shared" si="0"/>
        <v>10</v>
      </c>
      <c r="B25" s="190">
        <v>352</v>
      </c>
      <c r="C25" s="62" t="s">
        <v>273</v>
      </c>
      <c r="D25" s="181">
        <v>139587.35045999999</v>
      </c>
      <c r="E25" s="179">
        <v>0</v>
      </c>
      <c r="F25" s="179">
        <v>0</v>
      </c>
      <c r="G25" s="181">
        <v>-581.32852000000003</v>
      </c>
      <c r="H25" s="178">
        <v>0</v>
      </c>
      <c r="I25" s="179">
        <v>0</v>
      </c>
      <c r="J25" s="182">
        <v>-23517.656760000002</v>
      </c>
      <c r="K25" s="180">
        <f t="shared" si="3"/>
        <v>115488.36517999998</v>
      </c>
      <c r="L25" s="158" t="s">
        <v>216</v>
      </c>
      <c r="M25" s="119">
        <f t="shared" si="1"/>
        <v>10</v>
      </c>
      <c r="O25" s="145"/>
    </row>
    <row r="26" spans="1:15">
      <c r="A26" s="119">
        <f t="shared" si="0"/>
        <v>11</v>
      </c>
      <c r="B26" s="190">
        <v>353</v>
      </c>
      <c r="C26" s="62" t="s">
        <v>276</v>
      </c>
      <c r="D26" s="181">
        <v>603767.11250000005</v>
      </c>
      <c r="E26" s="179">
        <v>0</v>
      </c>
      <c r="F26" s="179">
        <v>0</v>
      </c>
      <c r="G26" s="181">
        <v>-3921.8576200000002</v>
      </c>
      <c r="H26" s="178">
        <v>-596.89500999999996</v>
      </c>
      <c r="I26" s="179">
        <v>0</v>
      </c>
      <c r="J26" s="182">
        <v>-1704.54414</v>
      </c>
      <c r="K26" s="180">
        <f t="shared" si="3"/>
        <v>597543.81573000003</v>
      </c>
      <c r="L26" s="158" t="s">
        <v>216</v>
      </c>
      <c r="M26" s="119">
        <f t="shared" si="1"/>
        <v>11</v>
      </c>
    </row>
    <row r="27" spans="1:15">
      <c r="A27" s="119">
        <f t="shared" si="0"/>
        <v>12</v>
      </c>
      <c r="B27" s="190">
        <v>354</v>
      </c>
      <c r="C27" s="62" t="s">
        <v>277</v>
      </c>
      <c r="D27" s="181">
        <v>277447.47269000002</v>
      </c>
      <c r="E27" s="179">
        <v>0</v>
      </c>
      <c r="F27" s="179">
        <v>0</v>
      </c>
      <c r="G27" s="181">
        <v>0</v>
      </c>
      <c r="H27" s="178">
        <v>0</v>
      </c>
      <c r="I27" s="179">
        <v>0</v>
      </c>
      <c r="J27" s="182">
        <v>0</v>
      </c>
      <c r="K27" s="180">
        <f t="shared" si="3"/>
        <v>277447.47269000002</v>
      </c>
      <c r="L27" s="158" t="s">
        <v>216</v>
      </c>
      <c r="M27" s="119">
        <f t="shared" si="1"/>
        <v>12</v>
      </c>
    </row>
    <row r="28" spans="1:15">
      <c r="A28" s="119">
        <f t="shared" si="0"/>
        <v>13</v>
      </c>
      <c r="B28" s="190">
        <v>355</v>
      </c>
      <c r="C28" s="62" t="s">
        <v>278</v>
      </c>
      <c r="D28" s="181">
        <v>209140.11919</v>
      </c>
      <c r="E28" s="179">
        <v>0</v>
      </c>
      <c r="F28" s="179">
        <v>0</v>
      </c>
      <c r="G28" s="181">
        <v>0</v>
      </c>
      <c r="H28" s="178">
        <v>0</v>
      </c>
      <c r="I28" s="179">
        <v>0</v>
      </c>
      <c r="J28" s="182">
        <v>0</v>
      </c>
      <c r="K28" s="180">
        <f t="shared" si="3"/>
        <v>209140.11919</v>
      </c>
      <c r="L28" s="158" t="s">
        <v>216</v>
      </c>
      <c r="M28" s="119">
        <f t="shared" si="1"/>
        <v>13</v>
      </c>
    </row>
    <row r="29" spans="1:15">
      <c r="A29" s="119">
        <f t="shared" si="0"/>
        <v>14</v>
      </c>
      <c r="B29" s="190">
        <v>356</v>
      </c>
      <c r="C29" s="62" t="s">
        <v>279</v>
      </c>
      <c r="D29" s="181">
        <v>307343.48389999999</v>
      </c>
      <c r="E29" s="179">
        <v>0</v>
      </c>
      <c r="F29" s="179">
        <v>0</v>
      </c>
      <c r="G29" s="181">
        <v>0</v>
      </c>
      <c r="H29" s="178">
        <v>0</v>
      </c>
      <c r="I29" s="179">
        <v>0</v>
      </c>
      <c r="J29" s="182">
        <v>0</v>
      </c>
      <c r="K29" s="180">
        <f t="shared" si="3"/>
        <v>307343.48389999999</v>
      </c>
      <c r="L29" s="158" t="s">
        <v>216</v>
      </c>
      <c r="M29" s="119">
        <f t="shared" si="1"/>
        <v>14</v>
      </c>
    </row>
    <row r="30" spans="1:15">
      <c r="A30" s="119">
        <f t="shared" si="0"/>
        <v>15</v>
      </c>
      <c r="B30" s="190">
        <v>357</v>
      </c>
      <c r="C30" s="62" t="s">
        <v>280</v>
      </c>
      <c r="D30" s="181">
        <v>115076.96838999999</v>
      </c>
      <c r="E30" s="179">
        <v>0</v>
      </c>
      <c r="F30" s="179">
        <v>0</v>
      </c>
      <c r="G30" s="181">
        <v>0</v>
      </c>
      <c r="H30" s="178">
        <v>0</v>
      </c>
      <c r="I30" s="179">
        <v>0</v>
      </c>
      <c r="J30" s="182">
        <v>0</v>
      </c>
      <c r="K30" s="180">
        <f t="shared" si="3"/>
        <v>115076.96838999999</v>
      </c>
      <c r="L30" s="158" t="s">
        <v>216</v>
      </c>
      <c r="M30" s="119">
        <f t="shared" si="1"/>
        <v>15</v>
      </c>
    </row>
    <row r="31" spans="1:15">
      <c r="A31" s="119">
        <f t="shared" si="0"/>
        <v>16</v>
      </c>
      <c r="B31" s="190">
        <v>358</v>
      </c>
      <c r="C31" s="62" t="s">
        <v>281</v>
      </c>
      <c r="D31" s="181">
        <v>114872.02962</v>
      </c>
      <c r="E31" s="179">
        <v>0</v>
      </c>
      <c r="F31" s="179">
        <v>0</v>
      </c>
      <c r="G31" s="181">
        <v>-643.37243999999998</v>
      </c>
      <c r="H31" s="178">
        <v>0</v>
      </c>
      <c r="I31" s="179">
        <v>0</v>
      </c>
      <c r="J31" s="182">
        <v>0</v>
      </c>
      <c r="K31" s="180">
        <f t="shared" si="3"/>
        <v>114228.65717999999</v>
      </c>
      <c r="L31" s="158" t="s">
        <v>216</v>
      </c>
      <c r="M31" s="119">
        <f t="shared" si="1"/>
        <v>16</v>
      </c>
    </row>
    <row r="32" spans="1:15">
      <c r="A32" s="119">
        <f t="shared" si="0"/>
        <v>17</v>
      </c>
      <c r="B32" s="190">
        <v>359</v>
      </c>
      <c r="C32" s="62" t="s">
        <v>282</v>
      </c>
      <c r="D32" s="181">
        <v>61886.441469999998</v>
      </c>
      <c r="E32" s="179">
        <v>0</v>
      </c>
      <c r="F32" s="179">
        <v>0</v>
      </c>
      <c r="G32" s="181">
        <v>0</v>
      </c>
      <c r="H32" s="178">
        <v>0</v>
      </c>
      <c r="I32" s="179">
        <v>0</v>
      </c>
      <c r="J32" s="182">
        <v>0</v>
      </c>
      <c r="K32" s="180">
        <f t="shared" si="3"/>
        <v>61886.441469999998</v>
      </c>
      <c r="L32" s="158" t="s">
        <v>216</v>
      </c>
      <c r="M32" s="119">
        <f t="shared" si="1"/>
        <v>17</v>
      </c>
    </row>
    <row r="33" spans="1:13">
      <c r="A33" s="119">
        <f t="shared" si="0"/>
        <v>18</v>
      </c>
      <c r="B33" s="221"/>
      <c r="C33" s="133"/>
      <c r="D33" s="181"/>
      <c r="F33" s="1039"/>
      <c r="G33" s="1039"/>
      <c r="H33" s="1039"/>
      <c r="I33" s="1039"/>
      <c r="J33" s="182"/>
      <c r="K33" s="1150"/>
      <c r="L33" s="175"/>
      <c r="M33" s="119">
        <f t="shared" si="1"/>
        <v>18</v>
      </c>
    </row>
    <row r="34" spans="1:13">
      <c r="A34" s="119">
        <f t="shared" si="0"/>
        <v>19</v>
      </c>
      <c r="B34" s="1192" t="s">
        <v>274</v>
      </c>
      <c r="C34" s="1189" t="s">
        <v>240</v>
      </c>
      <c r="D34" s="1190">
        <f t="shared" ref="D34:I34" si="4">SUM(D24:D33)</f>
        <v>1861233.6263900001</v>
      </c>
      <c r="E34" s="1190">
        <f t="shared" si="4"/>
        <v>0</v>
      </c>
      <c r="F34" s="1190">
        <f>SUM(F24:F33)</f>
        <v>0</v>
      </c>
      <c r="G34" s="1190">
        <f t="shared" si="4"/>
        <v>-5146.5585799999999</v>
      </c>
      <c r="H34" s="1190">
        <f t="shared" si="4"/>
        <v>-596.89500999999996</v>
      </c>
      <c r="I34" s="1190">
        <f t="shared" si="4"/>
        <v>0</v>
      </c>
      <c r="J34" s="1190">
        <f>SUM(J24:J33)</f>
        <v>-25609.538130000001</v>
      </c>
      <c r="K34" s="966">
        <f>SUM(K24:K33)</f>
        <v>1829880.6346700001</v>
      </c>
      <c r="L34" s="1193" t="str">
        <f>"Sum Lines "&amp;A24&amp;" thru "&amp;A32</f>
        <v>Sum Lines 9 thru 17</v>
      </c>
      <c r="M34" s="119">
        <f t="shared" si="1"/>
        <v>19</v>
      </c>
    </row>
    <row r="35" spans="1:13">
      <c r="A35" s="119">
        <f t="shared" si="0"/>
        <v>20</v>
      </c>
      <c r="B35" s="218"/>
      <c r="D35" s="136"/>
      <c r="J35" s="183"/>
      <c r="K35" s="183"/>
      <c r="L35" s="967"/>
      <c r="M35" s="119">
        <f t="shared" si="1"/>
        <v>20</v>
      </c>
    </row>
    <row r="36" spans="1:13">
      <c r="A36" s="119">
        <f t="shared" si="0"/>
        <v>21</v>
      </c>
      <c r="B36" s="1197" t="s">
        <v>283</v>
      </c>
      <c r="C36" s="968"/>
      <c r="D36" s="1195">
        <f t="shared" ref="D36:I36" si="5">D34+D22</f>
        <v>1861233.6263900001</v>
      </c>
      <c r="E36" s="1195">
        <f t="shared" si="5"/>
        <v>1.1178300000000001</v>
      </c>
      <c r="F36" s="1195">
        <f>F34+F22</f>
        <v>730.01688000000001</v>
      </c>
      <c r="G36" s="1195">
        <f t="shared" si="5"/>
        <v>-5146.5585799999999</v>
      </c>
      <c r="H36" s="1195">
        <f t="shared" si="5"/>
        <v>-596.89500999999996</v>
      </c>
      <c r="I36" s="1196">
        <f t="shared" si="5"/>
        <v>0</v>
      </c>
      <c r="J36" s="1195">
        <f>J34+J22</f>
        <v>-25609.538130000001</v>
      </c>
      <c r="K36" s="1195">
        <f>K34+K22</f>
        <v>1830611.76938</v>
      </c>
      <c r="L36" s="1191" t="str">
        <f>"Line "&amp;A22&amp;" + Line "&amp;A34</f>
        <v>Line 7 + Line 19</v>
      </c>
      <c r="M36" s="119">
        <f t="shared" si="1"/>
        <v>21</v>
      </c>
    </row>
    <row r="37" spans="1:13">
      <c r="D37" s="136"/>
      <c r="K37" s="222"/>
      <c r="L37" s="222"/>
    </row>
    <row r="38" spans="1:13">
      <c r="D38" s="136"/>
      <c r="K38" s="222"/>
      <c r="L38" s="222"/>
    </row>
    <row r="39" spans="1:13">
      <c r="B39" s="136" t="s">
        <v>325</v>
      </c>
      <c r="D39" s="136"/>
    </row>
    <row r="40" spans="1:13">
      <c r="D40" s="136"/>
    </row>
    <row r="41" spans="1:13">
      <c r="D41" s="136"/>
    </row>
    <row r="42" spans="1:13">
      <c r="D42" s="136"/>
    </row>
    <row r="43" spans="1:13">
      <c r="D43" s="136"/>
    </row>
    <row r="44" spans="1:13">
      <c r="D44" s="136"/>
    </row>
    <row r="45" spans="1:13">
      <c r="D45" s="136"/>
    </row>
    <row r="46" spans="1:13">
      <c r="D46" s="136"/>
    </row>
    <row r="47" spans="1:13">
      <c r="D47" s="136"/>
    </row>
    <row r="48" spans="1:13">
      <c r="D48" s="136"/>
    </row>
    <row r="49" spans="4:4">
      <c r="D49" s="136"/>
    </row>
    <row r="50" spans="4:4">
      <c r="D50" s="136"/>
    </row>
    <row r="51" spans="4:4">
      <c r="D51" s="136"/>
    </row>
    <row r="52" spans="4:4">
      <c r="D52" s="136"/>
    </row>
    <row r="53" spans="4:4">
      <c r="D53" s="136"/>
    </row>
    <row r="54" spans="4:4">
      <c r="D54" s="136"/>
    </row>
    <row r="55" spans="4:4">
      <c r="D55" s="136"/>
    </row>
    <row r="56" spans="4:4">
      <c r="D56" s="136"/>
    </row>
    <row r="57" spans="4:4">
      <c r="D57" s="136"/>
    </row>
    <row r="58" spans="4:4">
      <c r="D58" s="136"/>
    </row>
    <row r="59" spans="4:4">
      <c r="D59" s="136"/>
    </row>
    <row r="60" spans="4:4">
      <c r="D60" s="136"/>
    </row>
    <row r="61" spans="4:4">
      <c r="D61" s="136"/>
    </row>
    <row r="62" spans="4:4">
      <c r="D62" s="136"/>
    </row>
    <row r="63" spans="4:4">
      <c r="D63" s="136"/>
    </row>
    <row r="64" spans="4:4">
      <c r="D64" s="136"/>
    </row>
    <row r="65" spans="4:4">
      <c r="D65" s="136"/>
    </row>
    <row r="66" spans="4:4">
      <c r="D66" s="136"/>
    </row>
    <row r="67" spans="4:4">
      <c r="D67" s="136"/>
    </row>
    <row r="68" spans="4:4">
      <c r="D68" s="136"/>
    </row>
    <row r="69" spans="4:4">
      <c r="D69" s="136"/>
    </row>
    <row r="70" spans="4:4">
      <c r="D70" s="136"/>
    </row>
    <row r="71" spans="4:4">
      <c r="D71" s="136"/>
    </row>
    <row r="72" spans="4:4">
      <c r="D72" s="136"/>
    </row>
    <row r="73" spans="4:4">
      <c r="D73" s="136"/>
    </row>
    <row r="74" spans="4:4">
      <c r="D74" s="136"/>
    </row>
    <row r="75" spans="4:4">
      <c r="D75" s="136"/>
    </row>
    <row r="76" spans="4:4">
      <c r="D76" s="136"/>
    </row>
    <row r="77" spans="4:4">
      <c r="D77" s="136"/>
    </row>
    <row r="78" spans="4:4">
      <c r="D78" s="136"/>
    </row>
    <row r="79" spans="4:4">
      <c r="D79" s="136"/>
    </row>
    <row r="80" spans="4:4">
      <c r="D80" s="136"/>
    </row>
    <row r="81" spans="4:4">
      <c r="D81" s="136"/>
    </row>
    <row r="82" spans="4:4">
      <c r="D82" s="136"/>
    </row>
    <row r="83" spans="4:4">
      <c r="D83" s="136"/>
    </row>
    <row r="84" spans="4:4">
      <c r="D84" s="136"/>
    </row>
    <row r="85" spans="4:4">
      <c r="D85" s="136"/>
    </row>
    <row r="86" spans="4:4">
      <c r="D86" s="136"/>
    </row>
    <row r="87" spans="4:4">
      <c r="D87" s="136"/>
    </row>
    <row r="88" spans="4:4">
      <c r="D88" s="136"/>
    </row>
    <row r="89" spans="4:4">
      <c r="D89" s="136"/>
    </row>
    <row r="90" spans="4:4">
      <c r="D90" s="136"/>
    </row>
    <row r="91" spans="4:4">
      <c r="D91" s="136"/>
    </row>
    <row r="92" spans="4:4">
      <c r="D92" s="136"/>
    </row>
    <row r="93" spans="4:4">
      <c r="D93" s="136"/>
    </row>
    <row r="94" spans="4:4">
      <c r="D94" s="136"/>
    </row>
    <row r="95" spans="4:4">
      <c r="D95" s="136"/>
    </row>
    <row r="96" spans="4:4">
      <c r="D96" s="136"/>
    </row>
    <row r="97" spans="4:4">
      <c r="D97" s="136"/>
    </row>
    <row r="98" spans="4:4">
      <c r="D98" s="136"/>
    </row>
    <row r="99" spans="4:4">
      <c r="D99" s="136"/>
    </row>
    <row r="100" spans="4:4">
      <c r="D100" s="136"/>
    </row>
    <row r="101" spans="4:4">
      <c r="D101" s="136"/>
    </row>
    <row r="102" spans="4:4">
      <c r="D102" s="136"/>
    </row>
    <row r="103" spans="4:4">
      <c r="D103" s="136"/>
    </row>
    <row r="104" spans="4:4">
      <c r="D104" s="136"/>
    </row>
    <row r="105" spans="4:4">
      <c r="D105" s="136"/>
    </row>
    <row r="106" spans="4:4">
      <c r="D106" s="136"/>
    </row>
    <row r="107" spans="4:4">
      <c r="D107" s="136"/>
    </row>
    <row r="108" spans="4:4">
      <c r="D108" s="136"/>
    </row>
    <row r="109" spans="4:4">
      <c r="D109" s="136"/>
    </row>
    <row r="110" spans="4:4">
      <c r="D110" s="136"/>
    </row>
    <row r="111" spans="4:4">
      <c r="D111" s="136"/>
    </row>
    <row r="112" spans="4:4">
      <c r="D112" s="136"/>
    </row>
    <row r="113" spans="4:4">
      <c r="D113" s="136"/>
    </row>
    <row r="114" spans="4:4">
      <c r="D114" s="136"/>
    </row>
    <row r="115" spans="4:4">
      <c r="D115" s="136"/>
    </row>
    <row r="116" spans="4:4">
      <c r="D116" s="136"/>
    </row>
    <row r="117" spans="4:4">
      <c r="D117" s="136"/>
    </row>
    <row r="118" spans="4:4">
      <c r="D118" s="136"/>
    </row>
    <row r="119" spans="4:4">
      <c r="D119" s="136"/>
    </row>
    <row r="120" spans="4:4">
      <c r="D120" s="136"/>
    </row>
    <row r="121" spans="4:4">
      <c r="D121" s="136"/>
    </row>
    <row r="122" spans="4:4">
      <c r="D122" s="136"/>
    </row>
    <row r="123" spans="4:4">
      <c r="D123" s="136"/>
    </row>
    <row r="124" spans="4:4">
      <c r="D124" s="136"/>
    </row>
    <row r="125" spans="4:4">
      <c r="D125" s="136"/>
    </row>
    <row r="126" spans="4:4">
      <c r="D126" s="136"/>
    </row>
    <row r="127" spans="4:4">
      <c r="D127" s="136"/>
    </row>
    <row r="128" spans="4:4">
      <c r="D128" s="136"/>
    </row>
    <row r="129" spans="4:4">
      <c r="D129" s="136"/>
    </row>
    <row r="130" spans="4:4">
      <c r="D130" s="136"/>
    </row>
    <row r="131" spans="4:4">
      <c r="D131" s="136"/>
    </row>
    <row r="132" spans="4:4">
      <c r="D132" s="136"/>
    </row>
    <row r="133" spans="4:4">
      <c r="D133" s="136"/>
    </row>
    <row r="134" spans="4:4">
      <c r="D134" s="136"/>
    </row>
    <row r="135" spans="4:4">
      <c r="D135" s="136"/>
    </row>
    <row r="136" spans="4:4">
      <c r="D136" s="136"/>
    </row>
    <row r="137" spans="4:4">
      <c r="D137" s="136"/>
    </row>
    <row r="138" spans="4:4">
      <c r="D138" s="136"/>
    </row>
    <row r="139" spans="4:4">
      <c r="D139" s="136"/>
    </row>
    <row r="140" spans="4:4">
      <c r="D140" s="136"/>
    </row>
    <row r="141" spans="4:4">
      <c r="D141" s="136"/>
    </row>
    <row r="142" spans="4:4">
      <c r="D142" s="136"/>
    </row>
    <row r="143" spans="4:4">
      <c r="D143" s="136"/>
    </row>
    <row r="144" spans="4:4">
      <c r="D144" s="136"/>
    </row>
    <row r="145" spans="4:4">
      <c r="D145" s="136"/>
    </row>
    <row r="146" spans="4:4">
      <c r="D146" s="136"/>
    </row>
    <row r="147" spans="4:4">
      <c r="D147" s="136"/>
    </row>
    <row r="148" spans="4:4">
      <c r="D148" s="136"/>
    </row>
    <row r="149" spans="4:4">
      <c r="D149" s="136"/>
    </row>
    <row r="150" spans="4:4">
      <c r="D150" s="136"/>
    </row>
    <row r="151" spans="4:4">
      <c r="D151" s="136"/>
    </row>
    <row r="152" spans="4:4">
      <c r="D152" s="136"/>
    </row>
    <row r="153" spans="4:4">
      <c r="D153" s="136"/>
    </row>
    <row r="154" spans="4:4">
      <c r="D154" s="136"/>
    </row>
    <row r="155" spans="4:4">
      <c r="D155" s="136"/>
    </row>
    <row r="156" spans="4:4">
      <c r="D156" s="136"/>
    </row>
    <row r="157" spans="4:4">
      <c r="D157" s="136"/>
    </row>
    <row r="158" spans="4:4">
      <c r="D158" s="136"/>
    </row>
    <row r="159" spans="4:4">
      <c r="D159" s="136"/>
    </row>
    <row r="160" spans="4:4">
      <c r="D160" s="136"/>
    </row>
    <row r="161" spans="4:4">
      <c r="D161" s="136"/>
    </row>
    <row r="162" spans="4:4">
      <c r="D162" s="136"/>
    </row>
    <row r="163" spans="4:4">
      <c r="D163" s="136"/>
    </row>
    <row r="164" spans="4:4">
      <c r="D164" s="136"/>
    </row>
    <row r="165" spans="4:4">
      <c r="D165" s="136"/>
    </row>
    <row r="166" spans="4:4">
      <c r="D166" s="136"/>
    </row>
    <row r="167" spans="4:4">
      <c r="D167" s="136"/>
    </row>
    <row r="168" spans="4:4">
      <c r="D168" s="136"/>
    </row>
    <row r="169" spans="4:4">
      <c r="D169" s="136"/>
    </row>
    <row r="170" spans="4:4">
      <c r="D170" s="136"/>
    </row>
    <row r="171" spans="4:4">
      <c r="D171" s="136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58"/>
  <sheetViews>
    <sheetView zoomScale="80" zoomScaleNormal="80" zoomScalePageLayoutView="30" workbookViewId="0">
      <selection activeCell="K28" sqref="K28"/>
    </sheetView>
  </sheetViews>
  <sheetFormatPr defaultColWidth="8.7109375" defaultRowHeight="15.75"/>
  <cols>
    <col min="1" max="1" width="5.140625" style="219" customWidth="1"/>
    <col min="2" max="2" width="93.140625" style="3" bestFit="1" customWidth="1"/>
    <col min="3" max="3" width="10.28515625" style="3" customWidth="1"/>
    <col min="4" max="4" width="1.5703125" style="3" customWidth="1"/>
    <col min="5" max="5" width="16.7109375" style="3" customWidth="1"/>
    <col min="6" max="6" width="1.5703125" style="3" customWidth="1"/>
    <col min="7" max="7" width="43.28515625" style="3" customWidth="1"/>
    <col min="8" max="8" width="5.140625" style="250" customWidth="1"/>
    <col min="9" max="9" width="8.7109375" style="3"/>
    <col min="10" max="10" width="9.7109375" style="3" bestFit="1" customWidth="1"/>
    <col min="11" max="16384" width="8.7109375" style="3"/>
  </cols>
  <sheetData>
    <row r="1" spans="1:8">
      <c r="A1" s="573"/>
      <c r="B1" s="28"/>
      <c r="C1" s="28"/>
      <c r="D1" s="28"/>
      <c r="E1" s="59"/>
      <c r="F1" s="59"/>
      <c r="G1" s="59"/>
      <c r="H1" s="567"/>
    </row>
    <row r="2" spans="1:8">
      <c r="A2" s="573"/>
      <c r="B2" s="1292" t="str">
        <f>'Summary of Cost Components'!B2:D2</f>
        <v>SAN DIEGO GAS &amp; ELECTRIC COMPANY</v>
      </c>
      <c r="C2" s="1292"/>
      <c r="D2" s="1292"/>
      <c r="E2" s="1292"/>
      <c r="F2" s="1292"/>
      <c r="G2" s="1292"/>
      <c r="H2" s="567"/>
    </row>
    <row r="3" spans="1:8">
      <c r="B3" s="1292" t="str">
        <f>'Summary of Cost Components'!B3:D3</f>
        <v>CITIZENS' SHARE OF THE SX-PQ UNDERGROUND LINE SEGMENT</v>
      </c>
      <c r="C3" s="1292"/>
      <c r="D3" s="1292"/>
      <c r="E3" s="1292"/>
      <c r="F3" s="1292"/>
      <c r="G3" s="1292"/>
      <c r="H3" s="573"/>
    </row>
    <row r="4" spans="1:8">
      <c r="B4" s="1292" t="s">
        <v>35</v>
      </c>
      <c r="C4" s="1292"/>
      <c r="D4" s="1292"/>
      <c r="E4" s="1292"/>
      <c r="F4" s="1292"/>
      <c r="G4" s="1292"/>
      <c r="H4" s="573"/>
    </row>
    <row r="5" spans="1:8">
      <c r="B5" s="1293" t="str">
        <f>'A. Sec.1 - Direct Maintenance'!B5</f>
        <v>Base Period &amp; True-Up Period 12 - Months Ending December 31, 2022</v>
      </c>
      <c r="C5" s="1293"/>
      <c r="D5" s="1293"/>
      <c r="E5" s="1293"/>
      <c r="F5" s="1293"/>
      <c r="G5" s="1293"/>
      <c r="H5" s="573"/>
    </row>
    <row r="6" spans="1:8">
      <c r="B6" s="1294" t="s">
        <v>3</v>
      </c>
      <c r="C6" s="1294"/>
      <c r="D6" s="1294"/>
      <c r="E6" s="1294"/>
      <c r="F6" s="1294"/>
      <c r="G6" s="1294"/>
      <c r="H6" s="578"/>
    </row>
    <row r="7" spans="1:8">
      <c r="A7" s="574"/>
      <c r="B7" s="27"/>
      <c r="C7" s="27"/>
      <c r="D7" s="27"/>
      <c r="E7" s="27"/>
      <c r="F7" s="27"/>
      <c r="G7" s="59"/>
      <c r="H7" s="567"/>
    </row>
    <row r="8" spans="1:8">
      <c r="A8" s="575" t="s">
        <v>4</v>
      </c>
      <c r="B8" s="28"/>
      <c r="C8" s="28"/>
      <c r="D8" s="28"/>
      <c r="E8" s="27"/>
      <c r="F8" s="27"/>
      <c r="G8" s="28"/>
      <c r="H8" s="575" t="s">
        <v>4</v>
      </c>
    </row>
    <row r="9" spans="1:8">
      <c r="A9" s="575" t="s">
        <v>5</v>
      </c>
      <c r="B9" s="28"/>
      <c r="C9" s="28"/>
      <c r="D9" s="28"/>
      <c r="E9" s="1106" t="s">
        <v>7</v>
      </c>
      <c r="F9" s="31"/>
      <c r="G9" s="1106" t="s">
        <v>8</v>
      </c>
      <c r="H9" s="575" t="s">
        <v>5</v>
      </c>
    </row>
    <row r="10" spans="1:8">
      <c r="A10" s="575"/>
      <c r="B10" s="28"/>
      <c r="C10" s="28"/>
      <c r="D10" s="28"/>
      <c r="E10" s="27"/>
      <c r="F10" s="31"/>
      <c r="G10" s="27"/>
      <c r="H10" s="575"/>
    </row>
    <row r="11" spans="1:8">
      <c r="A11" s="575">
        <v>1</v>
      </c>
      <c r="B11" s="30" t="s">
        <v>36</v>
      </c>
      <c r="C11" s="30"/>
      <c r="D11" s="30"/>
      <c r="E11" s="59"/>
      <c r="F11" s="59"/>
      <c r="G11" s="27"/>
      <c r="H11" s="575">
        <f>A11</f>
        <v>1</v>
      </c>
    </row>
    <row r="12" spans="1:8">
      <c r="A12" s="575">
        <f>A11+1</f>
        <v>2</v>
      </c>
      <c r="B12" s="32" t="s">
        <v>37</v>
      </c>
      <c r="C12" s="610"/>
      <c r="D12" s="610"/>
      <c r="E12" s="611">
        <f>E52</f>
        <v>6.4756459459708576E-3</v>
      </c>
      <c r="F12" s="547"/>
      <c r="G12" s="26" t="str">
        <f>"Page 2; Line "&amp;A52</f>
        <v>Page 2; Line 6</v>
      </c>
      <c r="H12" s="575">
        <f>H11+1</f>
        <v>2</v>
      </c>
    </row>
    <row r="13" spans="1:8">
      <c r="A13" s="575">
        <f t="shared" ref="A13:A35" si="0">A12+1</f>
        <v>3</v>
      </c>
      <c r="B13" s="28"/>
      <c r="C13" s="577"/>
      <c r="D13" s="577"/>
      <c r="E13" s="612"/>
      <c r="F13" s="31"/>
      <c r="G13" s="26"/>
      <c r="H13" s="575">
        <f t="shared" ref="H13:H35" si="1">H12+1</f>
        <v>3</v>
      </c>
    </row>
    <row r="14" spans="1:8">
      <c r="A14" s="575">
        <f t="shared" si="0"/>
        <v>4</v>
      </c>
      <c r="B14" s="32" t="s">
        <v>38</v>
      </c>
      <c r="C14" s="610"/>
      <c r="D14" s="610"/>
      <c r="E14" s="611">
        <f>E57</f>
        <v>8.9812075914019514E-3</v>
      </c>
      <c r="F14" s="547"/>
      <c r="G14" s="26" t="str">
        <f>"Page 2; Line "&amp;A57</f>
        <v>Page 2; Line 11</v>
      </c>
      <c r="H14" s="575">
        <f t="shared" si="1"/>
        <v>4</v>
      </c>
    </row>
    <row r="15" spans="1:8">
      <c r="A15" s="575">
        <f t="shared" si="0"/>
        <v>5</v>
      </c>
      <c r="B15" s="59"/>
      <c r="C15" s="574"/>
      <c r="D15" s="574"/>
      <c r="E15" s="613"/>
      <c r="F15" s="548"/>
      <c r="G15" s="26"/>
      <c r="H15" s="575">
        <f t="shared" si="1"/>
        <v>5</v>
      </c>
    </row>
    <row r="16" spans="1:8">
      <c r="A16" s="575">
        <f t="shared" si="0"/>
        <v>6</v>
      </c>
      <c r="B16" s="59" t="s">
        <v>39</v>
      </c>
      <c r="C16" s="574"/>
      <c r="D16" s="574"/>
      <c r="E16" s="826">
        <f>E62</f>
        <v>1.1004360464834599E-2</v>
      </c>
      <c r="F16" s="548"/>
      <c r="G16" s="26" t="str">
        <f>"Page 2; Line "&amp;A62</f>
        <v>Page 2; Line 16</v>
      </c>
      <c r="H16" s="575">
        <f t="shared" si="1"/>
        <v>6</v>
      </c>
    </row>
    <row r="17" spans="1:14">
      <c r="A17" s="575">
        <f t="shared" si="0"/>
        <v>7</v>
      </c>
      <c r="B17" s="59"/>
      <c r="C17" s="574"/>
      <c r="D17" s="574"/>
      <c r="E17" s="613"/>
      <c r="F17" s="548"/>
      <c r="G17" s="26"/>
      <c r="H17" s="575">
        <f t="shared" si="1"/>
        <v>7</v>
      </c>
    </row>
    <row r="18" spans="1:14">
      <c r="A18" s="575">
        <f t="shared" si="0"/>
        <v>8</v>
      </c>
      <c r="B18" s="32" t="s">
        <v>40</v>
      </c>
      <c r="C18" s="610"/>
      <c r="D18" s="610"/>
      <c r="E18" s="611">
        <f>E67</f>
        <v>2.9097607200768039E-4</v>
      </c>
      <c r="F18" s="547"/>
      <c r="G18" s="26" t="str">
        <f>"Page 2; Line "&amp;A67</f>
        <v>Page 2; Line 21</v>
      </c>
      <c r="H18" s="575">
        <f t="shared" si="1"/>
        <v>8</v>
      </c>
    </row>
    <row r="19" spans="1:14">
      <c r="A19" s="575">
        <f t="shared" si="0"/>
        <v>9</v>
      </c>
      <c r="B19" s="28"/>
      <c r="C19" s="577"/>
      <c r="D19" s="577"/>
      <c r="E19" s="612"/>
      <c r="F19" s="31"/>
      <c r="G19" s="26"/>
      <c r="H19" s="575">
        <f t="shared" si="1"/>
        <v>9</v>
      </c>
    </row>
    <row r="20" spans="1:14">
      <c r="A20" s="575">
        <f t="shared" si="0"/>
        <v>10</v>
      </c>
      <c r="B20" s="32" t="s">
        <v>41</v>
      </c>
      <c r="C20" s="577"/>
      <c r="D20" s="577"/>
      <c r="E20" s="611">
        <f>E80</f>
        <v>1.6563480030740373E-3</v>
      </c>
      <c r="F20" s="31"/>
      <c r="G20" s="26" t="str">
        <f>"Page 2; Line "&amp;A80</f>
        <v>Page 2; Line 34</v>
      </c>
      <c r="H20" s="575">
        <f t="shared" si="1"/>
        <v>10</v>
      </c>
    </row>
    <row r="21" spans="1:14">
      <c r="A21" s="575">
        <f t="shared" si="0"/>
        <v>11</v>
      </c>
      <c r="B21" s="28"/>
      <c r="C21" s="577"/>
      <c r="D21" s="577"/>
      <c r="E21" s="612"/>
      <c r="F21" s="31"/>
      <c r="G21" s="26"/>
      <c r="H21" s="575">
        <f t="shared" si="1"/>
        <v>11</v>
      </c>
    </row>
    <row r="22" spans="1:14">
      <c r="A22" s="575">
        <f t="shared" si="0"/>
        <v>12</v>
      </c>
      <c r="B22" s="32" t="s">
        <v>42</v>
      </c>
      <c r="C22" s="610"/>
      <c r="D22" s="610"/>
      <c r="E22" s="611">
        <f>E97</f>
        <v>4.909072901187736E-3</v>
      </c>
      <c r="F22" s="547"/>
      <c r="G22" s="26" t="str">
        <f>"Page 2; Line "&amp;A97</f>
        <v>Page 2; Line 51</v>
      </c>
      <c r="H22" s="575">
        <f t="shared" si="1"/>
        <v>12</v>
      </c>
    </row>
    <row r="23" spans="1:14">
      <c r="A23" s="575">
        <f t="shared" si="0"/>
        <v>13</v>
      </c>
      <c r="B23" s="710"/>
      <c r="C23" s="579"/>
      <c r="D23" s="579"/>
      <c r="E23" s="942"/>
      <c r="F23" s="43"/>
      <c r="G23" s="26"/>
      <c r="H23" s="575">
        <f t="shared" si="1"/>
        <v>13</v>
      </c>
    </row>
    <row r="24" spans="1:14">
      <c r="A24" s="575">
        <f t="shared" si="0"/>
        <v>14</v>
      </c>
      <c r="B24" s="32" t="s">
        <v>43</v>
      </c>
      <c r="C24" s="610"/>
      <c r="D24" s="610"/>
      <c r="E24" s="614">
        <f>SUM(E12:E22)</f>
        <v>3.331761097847686E-2</v>
      </c>
      <c r="F24" s="547"/>
      <c r="G24" s="26" t="str">
        <f>"Sum Lines "&amp;A12&amp;" thru "&amp;A22&amp;""</f>
        <v>Sum Lines 2 thru 12</v>
      </c>
      <c r="H24" s="575">
        <f t="shared" si="1"/>
        <v>14</v>
      </c>
    </row>
    <row r="25" spans="1:14">
      <c r="A25" s="575">
        <f t="shared" si="0"/>
        <v>15</v>
      </c>
      <c r="B25" s="28"/>
      <c r="C25" s="577"/>
      <c r="D25" s="577"/>
      <c r="E25" s="615"/>
      <c r="F25" s="33"/>
      <c r="G25" s="26"/>
      <c r="H25" s="575">
        <f t="shared" si="1"/>
        <v>15</v>
      </c>
    </row>
    <row r="26" spans="1:14">
      <c r="A26" s="575">
        <f t="shared" si="0"/>
        <v>16</v>
      </c>
      <c r="B26" s="59" t="s">
        <v>33</v>
      </c>
      <c r="C26" s="616">
        <f>'A. Sec.1 - Direct Maintenance'!C25</f>
        <v>1.0207000000000001E-2</v>
      </c>
      <c r="D26" s="577"/>
      <c r="E26" s="943">
        <f>E24*C26</f>
        <v>3.4007285525731334E-4</v>
      </c>
      <c r="F26" s="523"/>
      <c r="G26" s="26" t="str">
        <f>"Line "&amp;A24&amp;" x Franchise Fee Rate"</f>
        <v>Line 14 x Franchise Fee Rate</v>
      </c>
      <c r="H26" s="575">
        <f t="shared" si="1"/>
        <v>16</v>
      </c>
      <c r="J26"/>
      <c r="K26"/>
      <c r="L26"/>
      <c r="M26"/>
      <c r="N26"/>
    </row>
    <row r="27" spans="1:14">
      <c r="A27" s="575">
        <f t="shared" si="0"/>
        <v>17</v>
      </c>
      <c r="B27" s="28"/>
      <c r="C27" s="577"/>
      <c r="D27" s="577"/>
      <c r="E27" s="944"/>
      <c r="F27" s="42"/>
      <c r="G27" s="26"/>
      <c r="H27" s="575">
        <f t="shared" si="1"/>
        <v>17</v>
      </c>
    </row>
    <row r="28" spans="1:14" ht="16.5" thickBot="1">
      <c r="A28" s="575">
        <f t="shared" si="0"/>
        <v>18</v>
      </c>
      <c r="B28" s="28" t="s">
        <v>44</v>
      </c>
      <c r="C28" s="577"/>
      <c r="D28" s="577"/>
      <c r="E28" s="617">
        <f>E24+E26</f>
        <v>3.3657683833734173E-2</v>
      </c>
      <c r="F28" s="552"/>
      <c r="G28" s="26" t="str">
        <f>"Line "&amp;A24&amp;" + Line "&amp;A26</f>
        <v>Line 14 + Line 16</v>
      </c>
      <c r="H28" s="575">
        <f t="shared" si="1"/>
        <v>18</v>
      </c>
    </row>
    <row r="29" spans="1:14" ht="16.5" thickTop="1">
      <c r="A29" s="575">
        <f t="shared" si="0"/>
        <v>19</v>
      </c>
      <c r="B29" s="59"/>
      <c r="C29" s="574"/>
      <c r="D29" s="574"/>
      <c r="E29" s="577"/>
      <c r="F29" s="28"/>
      <c r="G29" s="28"/>
      <c r="H29" s="575">
        <f t="shared" si="1"/>
        <v>19</v>
      </c>
    </row>
    <row r="30" spans="1:14">
      <c r="A30" s="575">
        <f t="shared" si="0"/>
        <v>20</v>
      </c>
      <c r="B30" s="30" t="s">
        <v>45</v>
      </c>
      <c r="C30" s="618"/>
      <c r="D30" s="618"/>
      <c r="E30" s="574"/>
      <c r="F30" s="59"/>
      <c r="G30" s="28"/>
      <c r="H30" s="575">
        <f t="shared" si="1"/>
        <v>20</v>
      </c>
    </row>
    <row r="31" spans="1:14">
      <c r="A31" s="575">
        <f t="shared" si="0"/>
        <v>21</v>
      </c>
      <c r="B31" s="32" t="s">
        <v>46</v>
      </c>
      <c r="C31" s="610"/>
      <c r="D31" s="610"/>
      <c r="E31" s="358">
        <v>27000</v>
      </c>
      <c r="F31" s="31"/>
      <c r="G31" s="26" t="s">
        <v>47</v>
      </c>
      <c r="H31" s="575">
        <f t="shared" si="1"/>
        <v>21</v>
      </c>
    </row>
    <row r="32" spans="1:14">
      <c r="A32" s="575">
        <f t="shared" si="0"/>
        <v>22</v>
      </c>
      <c r="B32" s="32"/>
      <c r="C32" s="610"/>
      <c r="D32" s="610"/>
      <c r="E32" s="610"/>
      <c r="F32" s="32"/>
      <c r="G32" s="26"/>
      <c r="H32" s="575">
        <f t="shared" si="1"/>
        <v>22</v>
      </c>
    </row>
    <row r="33" spans="1:8">
      <c r="A33" s="575">
        <f t="shared" si="0"/>
        <v>23</v>
      </c>
      <c r="B33" s="32" t="s">
        <v>48</v>
      </c>
      <c r="C33" s="610"/>
      <c r="D33" s="610"/>
      <c r="E33" s="614">
        <f>+E28</f>
        <v>3.3657683833734173E-2</v>
      </c>
      <c r="F33" s="547"/>
      <c r="G33" s="26" t="str">
        <f>"Line "&amp;A28&amp;" Above"</f>
        <v>Line 18 Above</v>
      </c>
      <c r="H33" s="575">
        <f t="shared" si="1"/>
        <v>23</v>
      </c>
    </row>
    <row r="34" spans="1:8">
      <c r="A34" s="575">
        <f t="shared" si="0"/>
        <v>24</v>
      </c>
      <c r="B34" s="28"/>
      <c r="C34" s="577"/>
      <c r="D34" s="577"/>
      <c r="E34" s="945"/>
      <c r="F34" s="553"/>
      <c r="G34" s="26"/>
      <c r="H34" s="575">
        <f t="shared" si="1"/>
        <v>24</v>
      </c>
    </row>
    <row r="35" spans="1:8" ht="16.5" thickBot="1">
      <c r="A35" s="575">
        <f t="shared" si="0"/>
        <v>25</v>
      </c>
      <c r="B35" s="28" t="s">
        <v>49</v>
      </c>
      <c r="C35" s="610"/>
      <c r="D35" s="610"/>
      <c r="E35" s="619">
        <f>E31*E33</f>
        <v>908.75746351082262</v>
      </c>
      <c r="F35" s="554"/>
      <c r="G35" s="26" t="str">
        <f>"Line "&amp;A31&amp;" x Line "&amp;A33</f>
        <v>Line 21 x Line 23</v>
      </c>
      <c r="H35" s="575">
        <f t="shared" si="1"/>
        <v>25</v>
      </c>
    </row>
    <row r="36" spans="1:8" ht="16.5" thickTop="1">
      <c r="A36" s="575"/>
      <c r="B36" s="28"/>
      <c r="C36" s="32"/>
      <c r="D36" s="32"/>
      <c r="E36" s="599"/>
      <c r="F36" s="554"/>
      <c r="G36" s="26"/>
      <c r="H36" s="575"/>
    </row>
    <row r="37" spans="1:8">
      <c r="A37" s="574"/>
      <c r="B37" s="28"/>
      <c r="C37" s="28"/>
      <c r="D37" s="28"/>
      <c r="E37" s="710"/>
      <c r="F37" s="710"/>
      <c r="G37" s="59"/>
      <c r="H37" s="567"/>
    </row>
    <row r="38" spans="1:8">
      <c r="A38" s="574"/>
      <c r="B38" s="1295" t="str">
        <f>B2</f>
        <v>SAN DIEGO GAS &amp; ELECTRIC COMPANY</v>
      </c>
      <c r="C38" s="1295"/>
      <c r="D38" s="1295"/>
      <c r="E38" s="1295"/>
      <c r="F38" s="1295"/>
      <c r="G38" s="1295"/>
      <c r="H38" s="567"/>
    </row>
    <row r="39" spans="1:8">
      <c r="B39" s="1295" t="str">
        <f>B3</f>
        <v>CITIZENS' SHARE OF THE SX-PQ UNDERGROUND LINE SEGMENT</v>
      </c>
      <c r="C39" s="1295"/>
      <c r="D39" s="1295"/>
      <c r="E39" s="1295"/>
      <c r="F39" s="1295"/>
      <c r="G39" s="1295"/>
      <c r="H39" s="579"/>
    </row>
    <row r="40" spans="1:8">
      <c r="B40" s="1292" t="str">
        <f>B4</f>
        <v xml:space="preserve">Section 2 - Non-Direct Expense Cost Component </v>
      </c>
      <c r="C40" s="1292"/>
      <c r="D40" s="1292"/>
      <c r="E40" s="1292"/>
      <c r="F40" s="1292"/>
      <c r="G40" s="1292"/>
      <c r="H40" s="577"/>
    </row>
    <row r="41" spans="1:8">
      <c r="B41" s="1293" t="str">
        <f>B5</f>
        <v>Base Period &amp; True-Up Period 12 - Months Ending December 31, 2022</v>
      </c>
      <c r="C41" s="1293"/>
      <c r="D41" s="1293"/>
      <c r="E41" s="1293"/>
      <c r="F41" s="1293"/>
      <c r="G41" s="1293"/>
      <c r="H41" s="577"/>
    </row>
    <row r="42" spans="1:8">
      <c r="B42" s="1294" t="str">
        <f>B6</f>
        <v>($1,000)</v>
      </c>
      <c r="C42" s="1286"/>
      <c r="D42" s="1286"/>
      <c r="E42" s="1286"/>
      <c r="F42" s="1286"/>
      <c r="G42" s="1286"/>
      <c r="H42" s="110"/>
    </row>
    <row r="43" spans="1:8">
      <c r="A43" s="576"/>
      <c r="B43" s="28"/>
      <c r="C43" s="28"/>
      <c r="D43" s="28"/>
      <c r="E43" s="28"/>
      <c r="F43" s="28"/>
      <c r="G43" s="28"/>
      <c r="H43" s="567"/>
    </row>
    <row r="44" spans="1:8">
      <c r="A44" s="575" t="s">
        <v>4</v>
      </c>
      <c r="B44" s="28"/>
      <c r="C44" s="28"/>
      <c r="D44" s="28"/>
      <c r="E44" s="27"/>
      <c r="F44" s="27"/>
      <c r="G44" s="28"/>
      <c r="H44" s="575" t="s">
        <v>4</v>
      </c>
    </row>
    <row r="45" spans="1:8">
      <c r="A45" s="575" t="s">
        <v>5</v>
      </c>
      <c r="B45" s="28"/>
      <c r="C45" s="28"/>
      <c r="D45" s="28"/>
      <c r="E45" s="1106" t="s">
        <v>7</v>
      </c>
      <c r="F45" s="26"/>
      <c r="G45" s="1106" t="s">
        <v>8</v>
      </c>
      <c r="H45" s="575" t="s">
        <v>5</v>
      </c>
    </row>
    <row r="46" spans="1:8">
      <c r="A46" s="575"/>
      <c r="B46" s="28"/>
      <c r="C46" s="28"/>
      <c r="D46" s="28"/>
      <c r="E46" s="27"/>
      <c r="F46" s="27"/>
      <c r="G46" s="28"/>
      <c r="H46" s="575"/>
    </row>
    <row r="47" spans="1:8">
      <c r="A47" s="575">
        <v>1</v>
      </c>
      <c r="B47" s="34" t="s">
        <v>50</v>
      </c>
      <c r="C47" s="34"/>
      <c r="D47" s="34"/>
      <c r="E47" s="711">
        <f>'AV-4'!C16</f>
        <v>5892887.0414453847</v>
      </c>
      <c r="F47" s="27"/>
      <c r="G47" s="26" t="str">
        <f>"AV-4; Line "&amp;'AV-4'!A16&amp;""</f>
        <v>AV-4; Line 6</v>
      </c>
      <c r="H47" s="575">
        <f>A47</f>
        <v>1</v>
      </c>
    </row>
    <row r="48" spans="1:8">
      <c r="A48" s="575">
        <f>A47+1</f>
        <v>2</v>
      </c>
      <c r="B48" s="28"/>
      <c r="C48" s="28"/>
      <c r="D48" s="28"/>
      <c r="E48" s="573"/>
      <c r="F48" s="27"/>
      <c r="G48" s="28"/>
      <c r="H48" s="575">
        <f>H47+1</f>
        <v>2</v>
      </c>
    </row>
    <row r="49" spans="1:10">
      <c r="A49" s="575">
        <f t="shared" ref="A49:A97" si="2">A48+1</f>
        <v>3</v>
      </c>
      <c r="B49" s="30" t="s">
        <v>51</v>
      </c>
      <c r="C49" s="30"/>
      <c r="D49" s="30"/>
      <c r="E49" s="620"/>
      <c r="F49" s="35"/>
      <c r="G49" s="28"/>
      <c r="H49" s="575">
        <f t="shared" ref="H49:H97" si="3">H48+1</f>
        <v>3</v>
      </c>
    </row>
    <row r="50" spans="1:10">
      <c r="A50" s="575">
        <f t="shared" si="2"/>
        <v>4</v>
      </c>
      <c r="B50" s="32" t="s">
        <v>52</v>
      </c>
      <c r="C50" s="32"/>
      <c r="D50" s="32"/>
      <c r="E50" s="946">
        <f>'Stmt AH'!E27</f>
        <v>38160.250080000005</v>
      </c>
      <c r="F50" s="27"/>
      <c r="G50" s="26" t="str">
        <f>"Statement AH; Line "&amp;'Stmt AH'!A27</f>
        <v>Statement AH; Line 17</v>
      </c>
      <c r="H50" s="575">
        <f t="shared" si="3"/>
        <v>4</v>
      </c>
      <c r="J50" s="712"/>
    </row>
    <row r="51" spans="1:10">
      <c r="A51" s="575">
        <f t="shared" si="2"/>
        <v>5</v>
      </c>
      <c r="B51" s="32"/>
      <c r="C51" s="32"/>
      <c r="D51" s="32"/>
      <c r="E51" s="369"/>
      <c r="F51" s="36"/>
      <c r="G51" s="26"/>
      <c r="H51" s="575">
        <f t="shared" si="3"/>
        <v>5</v>
      </c>
      <c r="J51" s="712"/>
    </row>
    <row r="52" spans="1:10">
      <c r="A52" s="575">
        <f t="shared" si="2"/>
        <v>6</v>
      </c>
      <c r="B52" s="32" t="s">
        <v>53</v>
      </c>
      <c r="C52" s="28"/>
      <c r="D52" s="28"/>
      <c r="E52" s="621">
        <f>E50/E47</f>
        <v>6.4756459459708576E-3</v>
      </c>
      <c r="F52" s="58"/>
      <c r="G52" s="26" t="str">
        <f>"Line "&amp;A50&amp;" / Line "&amp;A47</f>
        <v>Line 4 / Line 1</v>
      </c>
      <c r="H52" s="575">
        <f t="shared" si="3"/>
        <v>6</v>
      </c>
      <c r="J52" s="712"/>
    </row>
    <row r="53" spans="1:10">
      <c r="A53" s="575">
        <f t="shared" si="2"/>
        <v>7</v>
      </c>
      <c r="B53" s="32"/>
      <c r="C53" s="32"/>
      <c r="D53" s="32"/>
      <c r="E53" s="713"/>
      <c r="F53" s="714"/>
      <c r="G53" s="26"/>
      <c r="H53" s="575">
        <f t="shared" si="3"/>
        <v>7</v>
      </c>
    </row>
    <row r="54" spans="1:10">
      <c r="A54" s="575">
        <f t="shared" si="2"/>
        <v>8</v>
      </c>
      <c r="B54" s="30" t="s">
        <v>54</v>
      </c>
      <c r="C54" s="30"/>
      <c r="D54" s="30"/>
      <c r="E54" s="715"/>
      <c r="F54" s="716"/>
      <c r="G54" s="29"/>
      <c r="H54" s="575">
        <f t="shared" si="3"/>
        <v>8</v>
      </c>
    </row>
    <row r="55" spans="1:10">
      <c r="A55" s="575">
        <f t="shared" si="2"/>
        <v>9</v>
      </c>
      <c r="B55" s="32" t="s">
        <v>55</v>
      </c>
      <c r="C55" s="32"/>
      <c r="D55" s="32"/>
      <c r="E55" s="947">
        <f>'Stmt AH'!E49</f>
        <v>52925.241831903477</v>
      </c>
      <c r="F55" s="27"/>
      <c r="G55" s="26" t="str">
        <f>"Statement AH; Line "&amp;'Stmt AH'!A49</f>
        <v>Statement AH; Line 39</v>
      </c>
      <c r="H55" s="575">
        <f t="shared" si="3"/>
        <v>9</v>
      </c>
    </row>
    <row r="56" spans="1:10">
      <c r="A56" s="575">
        <f t="shared" si="2"/>
        <v>10</v>
      </c>
      <c r="B56" s="28"/>
      <c r="C56" s="28"/>
      <c r="D56" s="28"/>
      <c r="E56" s="715"/>
      <c r="F56" s="716"/>
      <c r="G56" s="26"/>
      <c r="H56" s="575">
        <f t="shared" si="3"/>
        <v>10</v>
      </c>
    </row>
    <row r="57" spans="1:10">
      <c r="A57" s="575">
        <f t="shared" si="2"/>
        <v>11</v>
      </c>
      <c r="B57" s="596" t="s">
        <v>56</v>
      </c>
      <c r="C57" s="29"/>
      <c r="D57" s="29"/>
      <c r="E57" s="621">
        <f>E55/E47</f>
        <v>8.9812075914019514E-3</v>
      </c>
      <c r="F57" s="58"/>
      <c r="G57" s="26" t="str">
        <f>"Line "&amp;A55&amp;" / Line "&amp;A47</f>
        <v>Line 9 / Line 1</v>
      </c>
      <c r="H57" s="575">
        <f t="shared" si="3"/>
        <v>11</v>
      </c>
    </row>
    <row r="58" spans="1:10">
      <c r="A58" s="575">
        <f t="shared" si="2"/>
        <v>12</v>
      </c>
      <c r="B58" s="29"/>
      <c r="C58" s="29"/>
      <c r="D58" s="29"/>
      <c r="E58" s="622"/>
      <c r="F58" s="38"/>
      <c r="G58" s="26"/>
      <c r="H58" s="575">
        <f t="shared" si="3"/>
        <v>12</v>
      </c>
    </row>
    <row r="59" spans="1:10">
      <c r="A59" s="575">
        <f t="shared" si="2"/>
        <v>13</v>
      </c>
      <c r="B59" s="30" t="s">
        <v>57</v>
      </c>
      <c r="C59" s="29"/>
      <c r="D59" s="29"/>
      <c r="E59" s="622"/>
      <c r="F59" s="38"/>
      <c r="G59" s="26"/>
      <c r="H59" s="575">
        <f t="shared" si="3"/>
        <v>13</v>
      </c>
    </row>
    <row r="60" spans="1:10">
      <c r="A60" s="575">
        <f t="shared" si="2"/>
        <v>14</v>
      </c>
      <c r="B60" s="596" t="s">
        <v>39</v>
      </c>
      <c r="C60" s="29"/>
      <c r="D60" s="29"/>
      <c r="E60" s="947">
        <f>'Stmt AK'!E27</f>
        <v>64847.453182617719</v>
      </c>
      <c r="F60" s="38"/>
      <c r="G60" s="26" t="str">
        <f>"Statement AK; Line "&amp;'Stmt AK'!A27</f>
        <v>Statement AK; Line 17</v>
      </c>
      <c r="H60" s="575">
        <f t="shared" si="3"/>
        <v>14</v>
      </c>
    </row>
    <row r="61" spans="1:10">
      <c r="A61" s="575">
        <f t="shared" si="2"/>
        <v>15</v>
      </c>
      <c r="B61" s="29"/>
      <c r="C61" s="29"/>
      <c r="D61" s="29"/>
      <c r="E61" s="715"/>
      <c r="F61" s="38"/>
      <c r="G61" s="26"/>
      <c r="H61" s="575">
        <f t="shared" si="3"/>
        <v>15</v>
      </c>
    </row>
    <row r="62" spans="1:10">
      <c r="A62" s="575">
        <f t="shared" si="2"/>
        <v>16</v>
      </c>
      <c r="B62" s="596" t="s">
        <v>58</v>
      </c>
      <c r="C62" s="29"/>
      <c r="D62" s="29"/>
      <c r="E62" s="621">
        <f>E60/E47</f>
        <v>1.1004360464834599E-2</v>
      </c>
      <c r="F62" s="38"/>
      <c r="G62" s="26" t="str">
        <f>"Line "&amp;A60&amp;" / Line "&amp;A47</f>
        <v>Line 14 / Line 1</v>
      </c>
      <c r="H62" s="575">
        <f t="shared" si="3"/>
        <v>16</v>
      </c>
    </row>
    <row r="63" spans="1:10">
      <c r="A63" s="575">
        <f t="shared" si="2"/>
        <v>17</v>
      </c>
      <c r="B63" s="29"/>
      <c r="C63" s="29"/>
      <c r="D63" s="29"/>
      <c r="E63" s="622"/>
      <c r="F63" s="38"/>
      <c r="G63" s="26"/>
      <c r="H63" s="575">
        <f t="shared" si="3"/>
        <v>17</v>
      </c>
    </row>
    <row r="64" spans="1:10">
      <c r="A64" s="575">
        <f t="shared" si="2"/>
        <v>18</v>
      </c>
      <c r="B64" s="30" t="s">
        <v>59</v>
      </c>
      <c r="C64" s="30"/>
      <c r="D64" s="30"/>
      <c r="E64" s="622"/>
      <c r="F64" s="38"/>
      <c r="G64" s="26"/>
      <c r="H64" s="575">
        <f t="shared" si="3"/>
        <v>18</v>
      </c>
    </row>
    <row r="65" spans="1:8">
      <c r="A65" s="575">
        <f t="shared" si="2"/>
        <v>19</v>
      </c>
      <c r="B65" s="32" t="s">
        <v>40</v>
      </c>
      <c r="C65" s="32"/>
      <c r="D65" s="32"/>
      <c r="E65" s="947">
        <f>'Stmt AK'!E38</f>
        <v>1714.689124104739</v>
      </c>
      <c r="F65" s="27"/>
      <c r="G65" s="26" t="str">
        <f>"Statement AK; Line "&amp;'Stmt AK'!A38</f>
        <v>Statement AK; Line 28</v>
      </c>
      <c r="H65" s="575">
        <f t="shared" si="3"/>
        <v>19</v>
      </c>
    </row>
    <row r="66" spans="1:8">
      <c r="A66" s="575">
        <f t="shared" si="2"/>
        <v>20</v>
      </c>
      <c r="B66" s="29"/>
      <c r="C66" s="29"/>
      <c r="D66" s="29"/>
      <c r="E66" s="622"/>
      <c r="F66" s="38"/>
      <c r="G66" s="26"/>
      <c r="H66" s="575">
        <f t="shared" si="3"/>
        <v>20</v>
      </c>
    </row>
    <row r="67" spans="1:8">
      <c r="A67" s="575">
        <f t="shared" si="2"/>
        <v>21</v>
      </c>
      <c r="B67" s="596" t="s">
        <v>60</v>
      </c>
      <c r="C67" s="29"/>
      <c r="D67" s="29"/>
      <c r="E67" s="621">
        <f>E65/E47</f>
        <v>2.9097607200768039E-4</v>
      </c>
      <c r="F67" s="58"/>
      <c r="G67" s="26" t="str">
        <f>"Line "&amp;A65&amp;" / Line "&amp;A47</f>
        <v>Line 19 / Line 1</v>
      </c>
      <c r="H67" s="575">
        <f t="shared" si="3"/>
        <v>21</v>
      </c>
    </row>
    <row r="68" spans="1:8">
      <c r="A68" s="575">
        <f t="shared" si="2"/>
        <v>22</v>
      </c>
      <c r="B68" s="29"/>
      <c r="C68" s="29"/>
      <c r="D68" s="29"/>
      <c r="E68" s="622"/>
      <c r="F68" s="38"/>
      <c r="G68" s="26"/>
      <c r="H68" s="575">
        <f t="shared" si="3"/>
        <v>22</v>
      </c>
    </row>
    <row r="69" spans="1:8">
      <c r="A69" s="575">
        <f t="shared" si="2"/>
        <v>23</v>
      </c>
      <c r="B69" s="30" t="s">
        <v>61</v>
      </c>
      <c r="C69" s="30"/>
      <c r="D69" s="30"/>
      <c r="E69" s="623"/>
      <c r="F69" s="39"/>
      <c r="G69" s="26"/>
      <c r="H69" s="575">
        <f t="shared" si="3"/>
        <v>23</v>
      </c>
    </row>
    <row r="70" spans="1:8">
      <c r="A70" s="575">
        <f t="shared" si="2"/>
        <v>24</v>
      </c>
      <c r="B70" s="597" t="s">
        <v>62</v>
      </c>
      <c r="C70" s="28"/>
      <c r="D70" s="28"/>
      <c r="E70" s="623"/>
      <c r="F70" s="39"/>
      <c r="G70" s="26"/>
      <c r="H70" s="575">
        <f t="shared" si="3"/>
        <v>24</v>
      </c>
    </row>
    <row r="71" spans="1:8">
      <c r="A71" s="575">
        <f t="shared" si="2"/>
        <v>25</v>
      </c>
      <c r="B71" s="32" t="s">
        <v>63</v>
      </c>
      <c r="C71" s="32"/>
      <c r="D71" s="32"/>
      <c r="E71" s="624">
        <f>'Stmt AL'!G15</f>
        <v>45624.288656641125</v>
      </c>
      <c r="F71" s="27"/>
      <c r="G71" s="26" t="str">
        <f>"Statement AL; Line "&amp;'Stmt AL'!A15</f>
        <v>Statement AL; Line 5</v>
      </c>
      <c r="H71" s="575">
        <f t="shared" si="3"/>
        <v>25</v>
      </c>
    </row>
    <row r="72" spans="1:8">
      <c r="A72" s="575">
        <f t="shared" si="2"/>
        <v>26</v>
      </c>
      <c r="B72" s="32" t="s">
        <v>64</v>
      </c>
      <c r="C72" s="32"/>
      <c r="D72" s="32"/>
      <c r="E72" s="625">
        <f>'Stmt AL'!G19</f>
        <v>43749.253540576785</v>
      </c>
      <c r="F72" s="27"/>
      <c r="G72" s="26" t="str">
        <f>"Statement AL; Line "&amp;'Stmt AL'!A19</f>
        <v>Statement AL; Line 9</v>
      </c>
      <c r="H72" s="575">
        <f t="shared" si="3"/>
        <v>26</v>
      </c>
    </row>
    <row r="73" spans="1:8">
      <c r="A73" s="575">
        <f t="shared" si="2"/>
        <v>27</v>
      </c>
      <c r="B73" s="32" t="s">
        <v>65</v>
      </c>
      <c r="C73" s="32"/>
      <c r="D73" s="32"/>
      <c r="E73" s="625">
        <f>'Stmt AL'!E29</f>
        <v>11385.686488987936</v>
      </c>
      <c r="F73" s="27"/>
      <c r="G73" s="26" t="str">
        <f>"Statement AL; Line "&amp;'Stmt AL'!A29</f>
        <v>Statement AL; Line 19</v>
      </c>
      <c r="H73" s="575">
        <f t="shared" si="3"/>
        <v>27</v>
      </c>
    </row>
    <row r="74" spans="1:8">
      <c r="A74" s="575">
        <f t="shared" si="2"/>
        <v>28</v>
      </c>
      <c r="B74" s="32" t="s">
        <v>66</v>
      </c>
      <c r="C74" s="28"/>
      <c r="D74" s="28"/>
      <c r="E74" s="626">
        <f>SUM(E71:E73)</f>
        <v>100759.22868620584</v>
      </c>
      <c r="F74" s="37"/>
      <c r="G74" s="26" t="str">
        <f>"Sum Lines "&amp;A71&amp;" thru "&amp;A73</f>
        <v>Sum Lines 25 thru 27</v>
      </c>
      <c r="H74" s="575">
        <f t="shared" si="3"/>
        <v>28</v>
      </c>
    </row>
    <row r="75" spans="1:8">
      <c r="A75" s="575">
        <f t="shared" si="2"/>
        <v>29</v>
      </c>
      <c r="B75" s="28"/>
      <c r="C75" s="28"/>
      <c r="D75" s="28"/>
      <c r="E75" s="627"/>
      <c r="F75" s="40"/>
      <c r="G75" s="26"/>
      <c r="H75" s="575">
        <f t="shared" si="3"/>
        <v>29</v>
      </c>
    </row>
    <row r="76" spans="1:8">
      <c r="A76" s="575">
        <f t="shared" si="2"/>
        <v>30</v>
      </c>
      <c r="B76" s="32" t="s">
        <v>30</v>
      </c>
      <c r="C76" s="32"/>
      <c r="D76" s="32"/>
      <c r="E76" s="628">
        <f>'Stmt AV'!G110</f>
        <v>9.6871242572097949E-2</v>
      </c>
      <c r="F76" s="27"/>
      <c r="G76" s="26" t="str">
        <f>"Statement AV2; Line "&amp;'Stmt AV'!A110</f>
        <v>Statement AV2; Line 31</v>
      </c>
      <c r="H76" s="575">
        <f t="shared" si="3"/>
        <v>30</v>
      </c>
    </row>
    <row r="77" spans="1:8">
      <c r="A77" s="575">
        <f t="shared" si="2"/>
        <v>31</v>
      </c>
      <c r="B77" s="28"/>
      <c r="C77" s="28"/>
      <c r="D77" s="28"/>
      <c r="E77" s="627"/>
      <c r="F77" s="40"/>
      <c r="G77" s="26"/>
      <c r="H77" s="575">
        <f t="shared" si="3"/>
        <v>31</v>
      </c>
    </row>
    <row r="78" spans="1:8">
      <c r="A78" s="575">
        <f t="shared" si="2"/>
        <v>32</v>
      </c>
      <c r="B78" s="32" t="s">
        <v>67</v>
      </c>
      <c r="C78" s="28"/>
      <c r="D78" s="28"/>
      <c r="E78" s="629">
        <f>E74*E76</f>
        <v>9760.6716834389354</v>
      </c>
      <c r="F78" s="37"/>
      <c r="G78" s="26" t="str">
        <f>"Line "&amp;A74&amp;" x Line "&amp;A76</f>
        <v>Line 28 x Line 30</v>
      </c>
      <c r="H78" s="575">
        <f t="shared" si="3"/>
        <v>32</v>
      </c>
    </row>
    <row r="79" spans="1:8">
      <c r="A79" s="575">
        <f t="shared" si="2"/>
        <v>33</v>
      </c>
      <c r="B79" s="28"/>
      <c r="C79" s="28"/>
      <c r="D79" s="28"/>
      <c r="E79" s="627"/>
      <c r="F79" s="40"/>
      <c r="G79" s="26"/>
      <c r="H79" s="575">
        <f t="shared" si="3"/>
        <v>33</v>
      </c>
    </row>
    <row r="80" spans="1:8">
      <c r="A80" s="575">
        <f t="shared" si="2"/>
        <v>34</v>
      </c>
      <c r="B80" s="32" t="s">
        <v>68</v>
      </c>
      <c r="C80" s="28"/>
      <c r="D80" s="28"/>
      <c r="E80" s="621">
        <f>E78/E47</f>
        <v>1.6563480030740373E-3</v>
      </c>
      <c r="F80" s="58"/>
      <c r="G80" s="26" t="str">
        <f>"Line "&amp;A78&amp;" / Line "&amp;A47</f>
        <v>Line 32 / Line 1</v>
      </c>
      <c r="H80" s="575">
        <f t="shared" si="3"/>
        <v>34</v>
      </c>
    </row>
    <row r="81" spans="1:9">
      <c r="A81" s="575">
        <f t="shared" si="2"/>
        <v>35</v>
      </c>
      <c r="B81" s="32"/>
      <c r="C81" s="28"/>
      <c r="D81" s="28"/>
      <c r="E81" s="595"/>
      <c r="F81" s="58"/>
      <c r="G81" s="26"/>
      <c r="H81" s="575">
        <f t="shared" si="3"/>
        <v>35</v>
      </c>
    </row>
    <row r="82" spans="1:9">
      <c r="A82" s="575">
        <f t="shared" si="2"/>
        <v>36</v>
      </c>
      <c r="B82" s="30" t="s">
        <v>69</v>
      </c>
      <c r="C82" s="807"/>
      <c r="D82" s="807"/>
      <c r="E82" s="805"/>
      <c r="F82" s="805"/>
      <c r="G82" s="805"/>
      <c r="H82" s="575">
        <f t="shared" si="3"/>
        <v>36</v>
      </c>
    </row>
    <row r="83" spans="1:9">
      <c r="A83" s="575">
        <f t="shared" si="2"/>
        <v>37</v>
      </c>
      <c r="B83" s="32" t="s">
        <v>70</v>
      </c>
      <c r="C83" s="807"/>
      <c r="D83" s="807"/>
      <c r="E83" s="501">
        <f>'AV-4'!C14</f>
        <v>32085.084204969364</v>
      </c>
      <c r="F83" s="805"/>
      <c r="G83" s="26" t="str">
        <f>"AV-4; Line "&amp;'AV-4'!F14</f>
        <v>AV-4; Line 4</v>
      </c>
      <c r="H83" s="575">
        <f t="shared" si="3"/>
        <v>37</v>
      </c>
    </row>
    <row r="84" spans="1:9">
      <c r="A84" s="575">
        <f t="shared" si="2"/>
        <v>38</v>
      </c>
      <c r="B84" s="30"/>
      <c r="C84" s="807"/>
      <c r="D84" s="807"/>
      <c r="E84" s="805"/>
      <c r="F84" s="805"/>
      <c r="G84" s="805"/>
      <c r="H84" s="575">
        <f t="shared" si="3"/>
        <v>38</v>
      </c>
    </row>
    <row r="85" spans="1:9">
      <c r="A85" s="575">
        <f t="shared" si="2"/>
        <v>39</v>
      </c>
      <c r="B85" s="32" t="s">
        <v>71</v>
      </c>
      <c r="C85" s="807"/>
      <c r="D85" s="807"/>
      <c r="E85" s="855">
        <f>'AV-4'!C15</f>
        <v>90550.451087320849</v>
      </c>
      <c r="F85" s="805"/>
      <c r="G85" s="26" t="str">
        <f>"AV-4; Line "&amp;'AV-4'!F15</f>
        <v>AV-4; Line 5</v>
      </c>
      <c r="H85" s="575">
        <f t="shared" si="3"/>
        <v>39</v>
      </c>
    </row>
    <row r="86" spans="1:9" ht="20.25">
      <c r="A86" s="575">
        <f t="shared" si="2"/>
        <v>40</v>
      </c>
      <c r="B86" s="807"/>
      <c r="C86" s="814"/>
      <c r="D86" s="814"/>
      <c r="E86" s="818"/>
      <c r="F86" s="819"/>
      <c r="G86" s="807"/>
      <c r="H86" s="575">
        <f t="shared" si="3"/>
        <v>40</v>
      </c>
    </row>
    <row r="87" spans="1:9">
      <c r="A87" s="575">
        <f t="shared" si="2"/>
        <v>41</v>
      </c>
      <c r="B87" s="32" t="s">
        <v>72</v>
      </c>
      <c r="C87" s="814"/>
      <c r="D87" s="814"/>
      <c r="E87" s="856">
        <f>E83+E85</f>
        <v>122635.53529229021</v>
      </c>
      <c r="F87" s="817"/>
      <c r="G87" s="26" t="str">
        <f>"Line "&amp;A83&amp;" + Line "&amp;A85</f>
        <v>Line 37 + Line 39</v>
      </c>
      <c r="H87" s="575">
        <f t="shared" si="3"/>
        <v>41</v>
      </c>
    </row>
    <row r="88" spans="1:9">
      <c r="A88" s="575">
        <f t="shared" si="2"/>
        <v>42</v>
      </c>
      <c r="B88" s="806"/>
      <c r="C88" s="814"/>
      <c r="D88" s="814"/>
      <c r="E88" s="820"/>
      <c r="F88" s="817"/>
      <c r="G88" s="804"/>
      <c r="H88" s="575">
        <f t="shared" si="3"/>
        <v>42</v>
      </c>
    </row>
    <row r="89" spans="1:9">
      <c r="A89" s="575">
        <f t="shared" si="2"/>
        <v>43</v>
      </c>
      <c r="B89" s="32" t="s">
        <v>30</v>
      </c>
      <c r="C89" s="814"/>
      <c r="D89" s="814"/>
      <c r="E89" s="948">
        <f>E76</f>
        <v>9.6871242572097949E-2</v>
      </c>
      <c r="F89" s="817"/>
      <c r="G89" s="26" t="str">
        <f>"Line "&amp;A76</f>
        <v>Line 30</v>
      </c>
      <c r="H89" s="575">
        <f t="shared" si="3"/>
        <v>43</v>
      </c>
    </row>
    <row r="90" spans="1:9">
      <c r="A90" s="575">
        <f t="shared" si="2"/>
        <v>44</v>
      </c>
      <c r="B90" s="807"/>
      <c r="C90" s="814"/>
      <c r="D90" s="814"/>
      <c r="E90" s="821"/>
      <c r="F90" s="822"/>
      <c r="G90" s="807"/>
      <c r="H90" s="575">
        <f t="shared" si="3"/>
        <v>44</v>
      </c>
    </row>
    <row r="91" spans="1:9">
      <c r="A91" s="575">
        <f t="shared" si="2"/>
        <v>45</v>
      </c>
      <c r="B91" s="32" t="s">
        <v>73</v>
      </c>
      <c r="C91" s="814"/>
      <c r="D91" s="814"/>
      <c r="E91" s="857">
        <f>E87*E89</f>
        <v>11879.856687258523</v>
      </c>
      <c r="F91" s="824"/>
      <c r="G91" s="26" t="str">
        <f>"Line "&amp;A87&amp;" * Line "&amp;A89</f>
        <v>Line 41 * Line 43</v>
      </c>
      <c r="H91" s="575">
        <f t="shared" si="3"/>
        <v>45</v>
      </c>
    </row>
    <row r="92" spans="1:9">
      <c r="A92" s="575">
        <f t="shared" si="2"/>
        <v>46</v>
      </c>
      <c r="B92" s="806"/>
      <c r="C92" s="814"/>
      <c r="D92" s="814"/>
      <c r="E92" s="823"/>
      <c r="F92" s="824"/>
      <c r="G92" s="804"/>
      <c r="H92" s="575">
        <f t="shared" si="3"/>
        <v>46</v>
      </c>
    </row>
    <row r="93" spans="1:9">
      <c r="A93" s="575">
        <f t="shared" si="2"/>
        <v>47</v>
      </c>
      <c r="B93" s="32" t="s">
        <v>74</v>
      </c>
      <c r="C93" s="814"/>
      <c r="D93" s="814"/>
      <c r="E93" s="949">
        <f>'Stmt AJ'!E27</f>
        <v>17048.755397661385</v>
      </c>
      <c r="F93" s="824"/>
      <c r="G93" s="26" t="str">
        <f>"Statement AJ; Line "&amp;'Stmt AJ'!A27</f>
        <v>Statement AJ; Line 17</v>
      </c>
      <c r="H93" s="575">
        <f t="shared" si="3"/>
        <v>47</v>
      </c>
      <c r="I93" s="814"/>
    </row>
    <row r="94" spans="1:9">
      <c r="A94" s="575">
        <f t="shared" si="2"/>
        <v>48</v>
      </c>
      <c r="B94" s="32"/>
      <c r="C94" s="814"/>
      <c r="D94" s="814"/>
      <c r="E94" s="677"/>
      <c r="F94" s="824"/>
      <c r="G94" s="26"/>
      <c r="H94" s="575">
        <f t="shared" si="3"/>
        <v>48</v>
      </c>
    </row>
    <row r="95" spans="1:9">
      <c r="A95" s="575">
        <f t="shared" si="2"/>
        <v>49</v>
      </c>
      <c r="B95" s="32" t="s">
        <v>75</v>
      </c>
      <c r="C95" s="814"/>
      <c r="D95" s="814"/>
      <c r="E95" s="677">
        <f>E91+E93</f>
        <v>28928.612084919907</v>
      </c>
      <c r="F95" s="824"/>
      <c r="G95" s="26" t="str">
        <f>"Line "&amp;A91&amp;" + Line "&amp;A93</f>
        <v>Line 45 + Line 47</v>
      </c>
      <c r="H95" s="575">
        <f t="shared" si="3"/>
        <v>49</v>
      </c>
    </row>
    <row r="96" spans="1:9">
      <c r="A96" s="575">
        <f t="shared" si="2"/>
        <v>50</v>
      </c>
      <c r="B96" s="807"/>
      <c r="C96" s="814"/>
      <c r="D96" s="814"/>
      <c r="E96" s="838"/>
      <c r="F96" s="807"/>
      <c r="G96" s="807"/>
      <c r="H96" s="575">
        <f t="shared" si="3"/>
        <v>50</v>
      </c>
    </row>
    <row r="97" spans="1:8" ht="16.5" thickBot="1">
      <c r="A97" s="575">
        <f t="shared" si="2"/>
        <v>51</v>
      </c>
      <c r="B97" s="32" t="s">
        <v>76</v>
      </c>
      <c r="C97" s="814"/>
      <c r="D97" s="814"/>
      <c r="E97" s="858">
        <f>E95/E47</f>
        <v>4.909072901187736E-3</v>
      </c>
      <c r="F97" s="825"/>
      <c r="G97" s="26" t="str">
        <f>"Line "&amp;A95&amp;" / Line "&amp;A47&amp;""</f>
        <v>Line 49 / Line 1</v>
      </c>
      <c r="H97" s="575">
        <f t="shared" si="3"/>
        <v>51</v>
      </c>
    </row>
    <row r="98" spans="1:8" ht="16.5" thickTop="1">
      <c r="A98" s="577"/>
    </row>
    <row r="99" spans="1:8">
      <c r="A99" s="577"/>
    </row>
    <row r="100" spans="1:8">
      <c r="A100" s="577"/>
    </row>
    <row r="101" spans="1:8">
      <c r="A101" s="577"/>
    </row>
    <row r="102" spans="1:8">
      <c r="A102" s="577"/>
    </row>
    <row r="103" spans="1:8">
      <c r="A103" s="577"/>
    </row>
    <row r="104" spans="1:8">
      <c r="A104" s="577"/>
    </row>
    <row r="105" spans="1:8">
      <c r="A105" s="577"/>
    </row>
    <row r="106" spans="1:8">
      <c r="A106" s="577"/>
    </row>
    <row r="107" spans="1:8">
      <c r="A107" s="577"/>
    </row>
    <row r="108" spans="1:8">
      <c r="A108" s="577"/>
    </row>
    <row r="109" spans="1:8">
      <c r="A109" s="577"/>
    </row>
    <row r="110" spans="1:8">
      <c r="A110" s="577"/>
    </row>
    <row r="111" spans="1:8">
      <c r="A111" s="577"/>
    </row>
    <row r="112" spans="1:8">
      <c r="A112" s="577"/>
    </row>
    <row r="113" spans="1:1">
      <c r="A113" s="577"/>
    </row>
    <row r="114" spans="1:1">
      <c r="A114" s="577"/>
    </row>
    <row r="115" spans="1:1">
      <c r="A115" s="577"/>
    </row>
    <row r="116" spans="1:1">
      <c r="A116" s="577"/>
    </row>
    <row r="117" spans="1:1">
      <c r="A117" s="577"/>
    </row>
    <row r="118" spans="1:1">
      <c r="A118" s="577"/>
    </row>
    <row r="119" spans="1:1">
      <c r="A119" s="577"/>
    </row>
    <row r="120" spans="1:1">
      <c r="A120" s="577"/>
    </row>
    <row r="121" spans="1:1">
      <c r="A121" s="577"/>
    </row>
    <row r="122" spans="1:1">
      <c r="A122" s="577"/>
    </row>
    <row r="123" spans="1:1">
      <c r="A123" s="577"/>
    </row>
    <row r="124" spans="1:1">
      <c r="A124" s="577"/>
    </row>
    <row r="125" spans="1:1">
      <c r="A125" s="577"/>
    </row>
    <row r="126" spans="1:1">
      <c r="A126" s="577"/>
    </row>
    <row r="127" spans="1:1">
      <c r="A127" s="577"/>
    </row>
    <row r="128" spans="1:1">
      <c r="A128" s="577"/>
    </row>
    <row r="129" spans="1:1">
      <c r="A129" s="577"/>
    </row>
    <row r="130" spans="1:1">
      <c r="A130" s="577"/>
    </row>
    <row r="131" spans="1:1">
      <c r="A131" s="577"/>
    </row>
    <row r="132" spans="1:1">
      <c r="A132" s="577"/>
    </row>
    <row r="133" spans="1:1">
      <c r="A133" s="577"/>
    </row>
    <row r="134" spans="1:1">
      <c r="A134" s="577"/>
    </row>
    <row r="135" spans="1:1">
      <c r="A135" s="577"/>
    </row>
    <row r="136" spans="1:1">
      <c r="A136" s="577"/>
    </row>
    <row r="137" spans="1:1">
      <c r="A137" s="577"/>
    </row>
    <row r="138" spans="1:1">
      <c r="A138" s="577"/>
    </row>
    <row r="139" spans="1:1">
      <c r="A139" s="577"/>
    </row>
    <row r="140" spans="1:1">
      <c r="A140" s="577"/>
    </row>
    <row r="141" spans="1:1">
      <c r="A141" s="577"/>
    </row>
    <row r="142" spans="1:1">
      <c r="A142" s="577"/>
    </row>
    <row r="143" spans="1:1">
      <c r="A143" s="577"/>
    </row>
    <row r="144" spans="1:1">
      <c r="A144" s="577"/>
    </row>
    <row r="145" spans="1:6">
      <c r="A145" s="577"/>
    </row>
    <row r="146" spans="1:6">
      <c r="A146" s="577"/>
    </row>
    <row r="147" spans="1:6">
      <c r="A147" s="577"/>
    </row>
    <row r="148" spans="1:6">
      <c r="A148" s="577"/>
    </row>
    <row r="149" spans="1:6">
      <c r="A149" s="577"/>
    </row>
    <row r="150" spans="1:6">
      <c r="A150" s="577"/>
    </row>
    <row r="151" spans="1:6">
      <c r="A151" s="577"/>
    </row>
    <row r="152" spans="1:6">
      <c r="A152" s="577"/>
      <c r="B152" s="59"/>
      <c r="C152" s="59"/>
      <c r="D152" s="59"/>
      <c r="E152" s="59"/>
      <c r="F152" s="59"/>
    </row>
    <row r="153" spans="1:6">
      <c r="A153" s="577"/>
      <c r="B153" s="59"/>
      <c r="C153" s="59"/>
      <c r="D153" s="59"/>
      <c r="E153" s="59"/>
      <c r="F153" s="59"/>
    </row>
    <row r="158" spans="1:6">
      <c r="A158" s="574"/>
      <c r="B158" s="59"/>
      <c r="C158" s="59"/>
      <c r="D158" s="59"/>
      <c r="E158" s="41"/>
      <c r="F158" s="41"/>
    </row>
  </sheetData>
  <mergeCells count="10">
    <mergeCell ref="B2:G2"/>
    <mergeCell ref="B40:G40"/>
    <mergeCell ref="B41:G41"/>
    <mergeCell ref="B42:G42"/>
    <mergeCell ref="B3:G3"/>
    <mergeCell ref="B4:G4"/>
    <mergeCell ref="B5:G5"/>
    <mergeCell ref="B6:G6"/>
    <mergeCell ref="B39:G39"/>
    <mergeCell ref="B38:G38"/>
  </mergeCells>
  <printOptions horizontalCentered="1"/>
  <pageMargins left="0.5" right="0.5" top="0.5" bottom="0.5" header="0.25" footer="0.25"/>
  <pageSetup scale="54" fitToHeight="0" orientation="portrait" r:id="rId1"/>
  <headerFooter scaleWithDoc="0">
    <oddFooter>&amp;C&amp;"Times New Roman,Regular"&amp;10Section 2
Non-Direct Expenses
Page &amp;P of 2</oddFooter>
  </headerFooter>
  <rowBreaks count="1" manualBreakCount="1">
    <brk id="36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G41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46.28515625" style="110" customWidth="1"/>
    <col min="3" max="3" width="23.7109375" style="110" customWidth="1"/>
    <col min="4" max="4" width="50.5703125" style="110" customWidth="1"/>
    <col min="5" max="5" width="5.140625" style="109" customWidth="1"/>
    <col min="6" max="6" width="11" style="110" customWidth="1"/>
    <col min="7" max="7" width="7.140625" style="110" customWidth="1"/>
    <col min="8" max="8" width="9.7109375" style="110" bestFit="1" customWidth="1"/>
    <col min="9" max="9" width="14" style="110" customWidth="1"/>
    <col min="10" max="10" width="13.28515625" style="110" customWidth="1"/>
    <col min="11" max="16384" width="9.140625" style="110"/>
  </cols>
  <sheetData>
    <row r="2" spans="1:7">
      <c r="B2" s="1305" t="s">
        <v>0</v>
      </c>
      <c r="C2" s="1305"/>
      <c r="D2" s="1305"/>
    </row>
    <row r="3" spans="1:7">
      <c r="B3" s="1305" t="s">
        <v>311</v>
      </c>
      <c r="C3" s="1305"/>
      <c r="D3" s="1305"/>
    </row>
    <row r="4" spans="1:7">
      <c r="B4" s="1305" t="s">
        <v>312</v>
      </c>
      <c r="C4" s="1305"/>
      <c r="D4" s="1305"/>
    </row>
    <row r="5" spans="1:7">
      <c r="B5" s="1305" t="str">
        <f>"BASE PERIOD / TRUE UP PERIOD - 12/31/"&amp;Automation!$B$3&amp;" PER BOOK"</f>
        <v>BASE PERIOD / TRUE UP PERIOD - 12/31/2022 PER BOOK</v>
      </c>
      <c r="C5" s="1305"/>
      <c r="D5" s="1305"/>
    </row>
    <row r="6" spans="1:7">
      <c r="B6" s="1309" t="s">
        <v>3</v>
      </c>
      <c r="C6" s="1309"/>
      <c r="D6" s="1309"/>
    </row>
    <row r="7" spans="1:7">
      <c r="B7" s="111"/>
      <c r="C7" s="111"/>
      <c r="D7" s="111"/>
    </row>
    <row r="8" spans="1:7">
      <c r="B8" s="1305" t="s">
        <v>289</v>
      </c>
      <c r="C8" s="1305"/>
      <c r="D8" s="1305"/>
    </row>
    <row r="9" spans="1:7">
      <c r="A9" s="119"/>
    </row>
    <row r="10" spans="1:7">
      <c r="A10" s="119"/>
      <c r="B10" s="533"/>
      <c r="C10" s="970" t="s">
        <v>290</v>
      </c>
      <c r="D10" s="972"/>
      <c r="E10" s="119"/>
    </row>
    <row r="11" spans="1:7">
      <c r="A11" s="119" t="s">
        <v>4</v>
      </c>
      <c r="B11" s="171"/>
      <c r="C11" s="116" t="s">
        <v>326</v>
      </c>
      <c r="D11" s="118"/>
      <c r="E11" s="119" t="s">
        <v>4</v>
      </c>
    </row>
    <row r="12" spans="1:7">
      <c r="A12" s="119" t="s">
        <v>5</v>
      </c>
      <c r="B12" s="1024" t="s">
        <v>124</v>
      </c>
      <c r="C12" s="1021" t="s">
        <v>176</v>
      </c>
      <c r="D12" s="1021" t="s">
        <v>8</v>
      </c>
      <c r="E12" s="119" t="s">
        <v>5</v>
      </c>
    </row>
    <row r="13" spans="1:7">
      <c r="A13" s="119"/>
      <c r="B13" s="195"/>
      <c r="C13" s="196"/>
      <c r="D13" s="205"/>
      <c r="E13" s="119"/>
    </row>
    <row r="14" spans="1:7">
      <c r="A14" s="119">
        <v>1</v>
      </c>
      <c r="B14" s="198" t="str">
        <f>"Dec-"&amp;RIGHT(Automation!$B$3-1,2)</f>
        <v>Dec-21</v>
      </c>
      <c r="C14" s="199">
        <v>173963.95592000001</v>
      </c>
      <c r="D14" s="157" t="str">
        <f>Automation!B3-1&amp;" Form 1; Page 200-201; Footnote Data (b)"</f>
        <v>2021 Form 1; Page 200-201; Footnote Data (b)</v>
      </c>
      <c r="E14" s="119">
        <f>A14</f>
        <v>1</v>
      </c>
      <c r="F14" s="126"/>
    </row>
    <row r="15" spans="1:7">
      <c r="A15" s="119">
        <f>A14+1</f>
        <v>2</v>
      </c>
      <c r="B15" s="200"/>
      <c r="C15" s="160"/>
      <c r="D15" s="160"/>
      <c r="E15" s="119">
        <f>E14+1</f>
        <v>2</v>
      </c>
    </row>
    <row r="16" spans="1:7">
      <c r="A16" s="119">
        <f t="shared" ref="A16:A20" si="0">A15+1</f>
        <v>3</v>
      </c>
      <c r="B16" s="198" t="str">
        <f>"Dec-"&amp;RIGHT(Automation!$B$3,2)</f>
        <v>Dec-22</v>
      </c>
      <c r="C16" s="181">
        <v>69951.332410000003</v>
      </c>
      <c r="D16" s="157" t="str">
        <f>Automation!B3&amp;" Form 1; Page 200-201; Footnote Data (b)"</f>
        <v>2022 Form 1; Page 200-201; Footnote Data (b)</v>
      </c>
      <c r="E16" s="119">
        <f t="shared" ref="E16:E20" si="1">E15+1</f>
        <v>3</v>
      </c>
      <c r="F16" s="423"/>
      <c r="G16" s="155"/>
    </row>
    <row r="17" spans="1:5">
      <c r="A17" s="119">
        <f t="shared" si="0"/>
        <v>4</v>
      </c>
      <c r="B17" s="218"/>
      <c r="C17" s="1133"/>
      <c r="D17" s="1133"/>
      <c r="E17" s="119">
        <f t="shared" si="1"/>
        <v>4</v>
      </c>
    </row>
    <row r="18" spans="1:5">
      <c r="A18" s="119">
        <f t="shared" si="0"/>
        <v>5</v>
      </c>
      <c r="B18" s="533"/>
      <c r="C18" s="196"/>
      <c r="D18" s="205"/>
      <c r="E18" s="119">
        <f t="shared" si="1"/>
        <v>5</v>
      </c>
    </row>
    <row r="19" spans="1:5">
      <c r="A19" s="119">
        <f t="shared" si="0"/>
        <v>6</v>
      </c>
      <c r="B19" s="201" t="s">
        <v>239</v>
      </c>
      <c r="C19" s="202">
        <f>(C14+C16)/2</f>
        <v>121957.64416500001</v>
      </c>
      <c r="D19" s="207" t="str">
        <f>"Average of Line "&amp;A14&amp;" and Line "&amp;A16</f>
        <v>Average of Line 1 and Line 3</v>
      </c>
      <c r="E19" s="119">
        <f t="shared" si="1"/>
        <v>6</v>
      </c>
    </row>
    <row r="20" spans="1:5">
      <c r="A20" s="119">
        <f t="shared" si="0"/>
        <v>7</v>
      </c>
      <c r="B20" s="1142"/>
      <c r="C20" s="1047"/>
      <c r="D20" s="1023"/>
      <c r="E20" s="119">
        <f t="shared" si="1"/>
        <v>7</v>
      </c>
    </row>
    <row r="21" spans="1:5">
      <c r="A21" s="119"/>
      <c r="B21" s="136"/>
      <c r="C21" s="204"/>
      <c r="D21" s="136"/>
      <c r="E21" s="119"/>
    </row>
    <row r="22" spans="1:5">
      <c r="A22" s="119"/>
      <c r="B22" s="136"/>
      <c r="C22" s="136"/>
      <c r="D22" s="136"/>
    </row>
    <row r="23" spans="1:5">
      <c r="A23"/>
      <c r="B23"/>
      <c r="C23" s="136"/>
      <c r="D23" s="136"/>
    </row>
    <row r="24" spans="1:5">
      <c r="A24"/>
      <c r="B24"/>
      <c r="C24" s="136"/>
      <c r="D24" s="136"/>
    </row>
    <row r="25" spans="1:5">
      <c r="A25"/>
      <c r="B25"/>
      <c r="C25" s="136"/>
      <c r="D25" s="136"/>
    </row>
    <row r="26" spans="1:5">
      <c r="B26" s="136"/>
      <c r="C26" s="136"/>
      <c r="D26" s="136"/>
    </row>
    <row r="27" spans="1:5">
      <c r="B27" s="136"/>
      <c r="C27" s="136"/>
      <c r="D27" s="136"/>
    </row>
    <row r="28" spans="1:5">
      <c r="B28" s="136"/>
      <c r="C28" s="136"/>
      <c r="D28" s="136"/>
    </row>
    <row r="29" spans="1:5">
      <c r="B29" s="136"/>
      <c r="C29" s="136"/>
      <c r="D29" s="136"/>
    </row>
    <row r="30" spans="1:5">
      <c r="B30" s="136"/>
      <c r="C30" s="136"/>
      <c r="D30" s="136"/>
    </row>
    <row r="31" spans="1:5">
      <c r="B31" s="136"/>
      <c r="C31" s="136"/>
      <c r="D31" s="136"/>
    </row>
    <row r="32" spans="1:5">
      <c r="B32" s="136"/>
      <c r="C32" s="136"/>
      <c r="D32" s="136"/>
    </row>
    <row r="33" spans="1:5">
      <c r="B33" s="136"/>
      <c r="C33" s="136"/>
      <c r="D33" s="136"/>
    </row>
    <row r="34" spans="1:5">
      <c r="B34" s="136"/>
      <c r="C34" s="136"/>
      <c r="D34" s="136"/>
    </row>
    <row r="35" spans="1:5" s="136" customFormat="1">
      <c r="A35" s="119"/>
      <c r="E35" s="119"/>
    </row>
    <row r="36" spans="1:5" s="136" customFormat="1">
      <c r="A36" s="119"/>
      <c r="E36" s="119"/>
    </row>
    <row r="37" spans="1:5" s="136" customFormat="1">
      <c r="A37" s="119"/>
      <c r="E37" s="119"/>
    </row>
    <row r="38" spans="1:5" s="136" customFormat="1">
      <c r="A38" s="119"/>
      <c r="E38" s="119"/>
    </row>
    <row r="39" spans="1:5" s="136" customFormat="1">
      <c r="A39" s="119"/>
      <c r="E39" s="119"/>
    </row>
    <row r="40" spans="1:5" s="136" customFormat="1">
      <c r="A40" s="119"/>
      <c r="E40" s="119"/>
    </row>
    <row r="41" spans="1:5" s="136" customFormat="1">
      <c r="A41" s="119"/>
      <c r="E41" s="119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7" orientation="landscape" r:id="rId1"/>
  <headerFooter scaleWithDoc="0">
    <oddFooter>&amp;C&amp;"Times New Roman,Regular"&amp;10&amp;A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I41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44.28515625" style="110" customWidth="1"/>
    <col min="3" max="3" width="21.28515625" style="110" customWidth="1"/>
    <col min="4" max="4" width="59.42578125" style="110" customWidth="1"/>
    <col min="5" max="5" width="5.140625" style="109" customWidth="1"/>
    <col min="6" max="6" width="11" style="110" customWidth="1"/>
    <col min="7" max="7" width="7.140625" style="110" customWidth="1"/>
    <col min="8" max="8" width="9.7109375" style="110" bestFit="1" customWidth="1"/>
    <col min="9" max="9" width="14" style="110" customWidth="1"/>
    <col min="10" max="10" width="13.28515625" style="110" customWidth="1"/>
    <col min="11" max="16384" width="9.140625" style="110"/>
  </cols>
  <sheetData>
    <row r="2" spans="1:9">
      <c r="B2" s="1305" t="s">
        <v>0</v>
      </c>
      <c r="C2" s="1305"/>
      <c r="D2" s="1305"/>
    </row>
    <row r="3" spans="1:9">
      <c r="B3" s="1305" t="s">
        <v>311</v>
      </c>
      <c r="C3" s="1305"/>
      <c r="D3" s="1305"/>
    </row>
    <row r="4" spans="1:9">
      <c r="B4" s="1305" t="s">
        <v>312</v>
      </c>
      <c r="C4" s="1305"/>
      <c r="D4" s="1305"/>
    </row>
    <row r="5" spans="1:9">
      <c r="B5" s="1305" t="str">
        <f>"BASE PERIOD / TRUE UP PERIOD - 12/31/"&amp;Automation!$B$3&amp;" PER BOOK"</f>
        <v>BASE PERIOD / TRUE UP PERIOD - 12/31/2022 PER BOOK</v>
      </c>
      <c r="C5" s="1305"/>
      <c r="D5" s="1305"/>
    </row>
    <row r="6" spans="1:9">
      <c r="B6" s="1309" t="s">
        <v>3</v>
      </c>
      <c r="C6" s="1309"/>
      <c r="D6" s="1309"/>
    </row>
    <row r="7" spans="1:9">
      <c r="B7" s="111"/>
      <c r="C7" s="111"/>
      <c r="D7" s="111"/>
    </row>
    <row r="8" spans="1:9">
      <c r="A8" s="119"/>
      <c r="B8" s="1305" t="s">
        <v>292</v>
      </c>
      <c r="C8" s="1305"/>
      <c r="D8" s="1305"/>
    </row>
    <row r="9" spans="1:9">
      <c r="A9" s="119"/>
      <c r="E9" s="119"/>
    </row>
    <row r="10" spans="1:9">
      <c r="A10" s="119"/>
      <c r="B10" s="533"/>
      <c r="C10" s="976" t="s">
        <v>290</v>
      </c>
      <c r="D10" s="972"/>
      <c r="E10" s="119"/>
    </row>
    <row r="11" spans="1:9">
      <c r="A11" s="119" t="s">
        <v>4</v>
      </c>
      <c r="B11" s="171"/>
      <c r="C11" s="116" t="s">
        <v>327</v>
      </c>
      <c r="D11" s="118"/>
      <c r="E11" s="119" t="s">
        <v>4</v>
      </c>
    </row>
    <row r="12" spans="1:9">
      <c r="A12" s="119" t="s">
        <v>5</v>
      </c>
      <c r="B12" s="1024" t="s">
        <v>124</v>
      </c>
      <c r="C12" s="1021" t="s">
        <v>176</v>
      </c>
      <c r="D12" s="1021" t="s">
        <v>8</v>
      </c>
      <c r="E12" s="119" t="s">
        <v>5</v>
      </c>
    </row>
    <row r="13" spans="1:9">
      <c r="A13" s="119"/>
      <c r="B13" s="195"/>
      <c r="C13" s="196"/>
      <c r="D13" s="205"/>
      <c r="E13" s="119"/>
    </row>
    <row r="14" spans="1:9">
      <c r="A14" s="119">
        <v>1</v>
      </c>
      <c r="B14" s="198" t="str">
        <f>"Dec-"&amp;RIGHT(Automation!$B$3-1,2)</f>
        <v>Dec-21</v>
      </c>
      <c r="C14" s="199">
        <v>219537.53417000003</v>
      </c>
      <c r="D14" s="157" t="str">
        <f>Automation!B3-1&amp;" Form 1; Page 200-201; Footnote Data (b)"</f>
        <v>2021 Form 1; Page 200-201; Footnote Data (b)</v>
      </c>
      <c r="E14" s="119">
        <f>A14</f>
        <v>1</v>
      </c>
      <c r="F14" s="126"/>
      <c r="H14" s="423"/>
      <c r="I14" s="1212"/>
    </row>
    <row r="15" spans="1:9">
      <c r="A15" s="119">
        <f>A14+1</f>
        <v>2</v>
      </c>
      <c r="B15" s="200"/>
      <c r="C15" s="160"/>
      <c r="D15" s="160"/>
      <c r="E15" s="119">
        <f>E14+1</f>
        <v>2</v>
      </c>
    </row>
    <row r="16" spans="1:9">
      <c r="A16" s="119">
        <f t="shared" ref="A16:A20" si="0">A15+1</f>
        <v>3</v>
      </c>
      <c r="B16" s="198" t="str">
        <f>"Dec-"&amp;RIGHT(Automation!$B$3,2)</f>
        <v>Dec-22</v>
      </c>
      <c r="C16" s="181">
        <v>243049.83005000002</v>
      </c>
      <c r="D16" s="157" t="str">
        <f>Automation!B3&amp;" Form 1; Page 200-201; Footnote Data (b)"</f>
        <v>2022 Form 1; Page 200-201; Footnote Data (b)</v>
      </c>
      <c r="E16" s="119">
        <f t="shared" ref="E16:E20" si="1">E15+1</f>
        <v>3</v>
      </c>
      <c r="F16" s="126"/>
    </row>
    <row r="17" spans="1:6">
      <c r="A17" s="119">
        <f t="shared" si="0"/>
        <v>4</v>
      </c>
      <c r="B17" s="1142"/>
      <c r="C17" s="1151"/>
      <c r="D17" s="1131"/>
      <c r="E17" s="119">
        <f t="shared" si="1"/>
        <v>4</v>
      </c>
    </row>
    <row r="18" spans="1:6">
      <c r="A18" s="119">
        <f t="shared" si="0"/>
        <v>5</v>
      </c>
      <c r="B18" s="201"/>
      <c r="C18" s="196"/>
      <c r="D18" s="205"/>
      <c r="E18" s="119">
        <f t="shared" si="1"/>
        <v>5</v>
      </c>
    </row>
    <row r="19" spans="1:6">
      <c r="A19" s="119">
        <f t="shared" si="0"/>
        <v>6</v>
      </c>
      <c r="B19" s="201" t="s">
        <v>239</v>
      </c>
      <c r="C19" s="202">
        <f>(C14+C16)/2</f>
        <v>231293.68211000002</v>
      </c>
      <c r="D19" s="207" t="str">
        <f>"Average of Line "&amp;A14&amp;" and Line "&amp;A16</f>
        <v>Average of Line 1 and Line 3</v>
      </c>
      <c r="E19" s="119">
        <f t="shared" si="1"/>
        <v>6</v>
      </c>
    </row>
    <row r="20" spans="1:6">
      <c r="A20" s="119">
        <f t="shared" si="0"/>
        <v>7</v>
      </c>
      <c r="B20" s="1142"/>
      <c r="C20" s="1047"/>
      <c r="D20" s="1023"/>
      <c r="E20" s="119">
        <f t="shared" si="1"/>
        <v>7</v>
      </c>
    </row>
    <row r="21" spans="1:6">
      <c r="A21" s="119"/>
      <c r="B21" s="136"/>
      <c r="C21" s="204"/>
      <c r="D21" s="136"/>
      <c r="E21" s="119"/>
    </row>
    <row r="22" spans="1:6">
      <c r="A22" s="119"/>
      <c r="B22" s="136"/>
      <c r="C22" s="136"/>
      <c r="D22" s="136"/>
    </row>
    <row r="23" spans="1:6" ht="18.75">
      <c r="A23" s="135"/>
      <c r="B23" s="136"/>
      <c r="C23" s="136"/>
      <c r="D23" s="136"/>
    </row>
    <row r="24" spans="1:6">
      <c r="B24" s="136"/>
      <c r="C24" s="136"/>
      <c r="D24" s="136"/>
    </row>
    <row r="25" spans="1:6">
      <c r="B25" s="136"/>
      <c r="C25" s="136"/>
      <c r="D25" s="136"/>
    </row>
    <row r="26" spans="1:6">
      <c r="B26" s="136"/>
      <c r="C26" s="136"/>
      <c r="D26" s="136"/>
      <c r="F26" s="193"/>
    </row>
    <row r="27" spans="1:6">
      <c r="B27" s="136"/>
      <c r="C27" s="136"/>
      <c r="D27" s="136"/>
    </row>
    <row r="28" spans="1:6">
      <c r="B28" s="136"/>
      <c r="C28" s="136"/>
      <c r="D28" s="136"/>
    </row>
    <row r="29" spans="1:6">
      <c r="B29" s="136"/>
      <c r="C29" s="136"/>
      <c r="D29" s="136"/>
    </row>
    <row r="30" spans="1:6">
      <c r="B30" s="136"/>
      <c r="C30" s="136"/>
      <c r="D30" s="136"/>
    </row>
    <row r="31" spans="1:6">
      <c r="B31" s="136"/>
      <c r="C31" s="136"/>
      <c r="D31" s="136"/>
    </row>
    <row r="32" spans="1:6">
      <c r="B32" s="136"/>
      <c r="C32" s="136"/>
      <c r="D32" s="136"/>
    </row>
    <row r="33" spans="1:5">
      <c r="B33" s="136"/>
      <c r="C33" s="136"/>
      <c r="D33" s="136"/>
    </row>
    <row r="34" spans="1:5">
      <c r="B34" s="136"/>
      <c r="C34" s="136"/>
      <c r="D34" s="136"/>
    </row>
    <row r="35" spans="1:5" s="136" customFormat="1">
      <c r="A35" s="119"/>
      <c r="E35" s="119"/>
    </row>
    <row r="36" spans="1:5" s="136" customFormat="1">
      <c r="A36" s="119"/>
      <c r="E36" s="119"/>
    </row>
    <row r="37" spans="1:5" s="136" customFormat="1">
      <c r="A37" s="119"/>
      <c r="E37" s="119"/>
    </row>
    <row r="38" spans="1:5" s="136" customFormat="1">
      <c r="A38" s="119"/>
      <c r="E38" s="119"/>
    </row>
    <row r="39" spans="1:5" s="136" customFormat="1">
      <c r="A39" s="119"/>
      <c r="E39" s="119"/>
    </row>
    <row r="40" spans="1:5" s="136" customFormat="1">
      <c r="A40" s="119"/>
      <c r="E40" s="119"/>
    </row>
    <row r="41" spans="1:5" s="136" customFormat="1">
      <c r="A41" s="119"/>
      <c r="E41" s="119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4" orientation="landscape" r:id="rId1"/>
  <headerFooter scaleWithDoc="0">
    <oddFooter>&amp;C&amp;"Times New Roman,Regular"&amp;10&amp;A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G2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8.5703125" style="110" customWidth="1"/>
    <col min="3" max="3" width="41.140625" style="110" customWidth="1"/>
    <col min="4" max="4" width="18.5703125" style="110" customWidth="1"/>
    <col min="5" max="5" width="62.5703125" style="110" customWidth="1"/>
    <col min="6" max="6" width="5.140625" style="109" customWidth="1"/>
    <col min="7" max="7" width="24" style="110" customWidth="1"/>
    <col min="8" max="8" width="11" style="110" customWidth="1"/>
    <col min="9" max="9" width="7.140625" style="110" customWidth="1"/>
    <col min="10" max="10" width="9.140625" style="110" customWidth="1"/>
    <col min="11" max="11" width="14" style="110" customWidth="1"/>
    <col min="12" max="12" width="13.28515625" style="110" customWidth="1"/>
    <col min="13" max="16384" width="9.140625" style="110"/>
  </cols>
  <sheetData>
    <row r="2" spans="1:7">
      <c r="B2" s="1305" t="s">
        <v>0</v>
      </c>
      <c r="C2" s="1305"/>
      <c r="D2" s="1305"/>
      <c r="E2" s="1305"/>
    </row>
    <row r="3" spans="1:7">
      <c r="B3" s="1305" t="s">
        <v>311</v>
      </c>
      <c r="C3" s="1305"/>
      <c r="D3" s="1305"/>
      <c r="E3" s="1305"/>
    </row>
    <row r="4" spans="1:7">
      <c r="B4" s="1305" t="s">
        <v>312</v>
      </c>
      <c r="C4" s="1305"/>
      <c r="D4" s="1305"/>
      <c r="E4" s="1305"/>
    </row>
    <row r="5" spans="1:7">
      <c r="B5" s="1305" t="str">
        <f>"BASE PERIOD / TRUE UP PERIOD - 12/31/"&amp;Automation!$B$3&amp;" PER BOOK"</f>
        <v>BASE PERIOD / TRUE UP PERIOD - 12/31/2022 PER BOOK</v>
      </c>
      <c r="C5" s="1305"/>
      <c r="D5" s="1305"/>
      <c r="E5" s="1305"/>
    </row>
    <row r="6" spans="1:7">
      <c r="B6" s="1309" t="s">
        <v>3</v>
      </c>
      <c r="C6" s="1309"/>
      <c r="D6" s="1309"/>
      <c r="E6" s="1309"/>
    </row>
    <row r="7" spans="1:7">
      <c r="B7" s="111"/>
      <c r="C7" s="111"/>
      <c r="D7" s="111"/>
      <c r="E7" s="111"/>
      <c r="G7"/>
    </row>
    <row r="8" spans="1:7">
      <c r="B8" s="1305" t="s">
        <v>294</v>
      </c>
      <c r="C8" s="1305"/>
      <c r="D8" s="1305"/>
      <c r="E8" s="1305"/>
    </row>
    <row r="9" spans="1:7">
      <c r="A9" s="119"/>
      <c r="F9" s="119"/>
    </row>
    <row r="10" spans="1:7">
      <c r="A10" s="119" t="s">
        <v>4</v>
      </c>
      <c r="B10" s="529"/>
      <c r="C10" s="529"/>
      <c r="D10" s="530"/>
      <c r="E10" s="970"/>
      <c r="F10" s="119" t="s">
        <v>4</v>
      </c>
    </row>
    <row r="11" spans="1:7">
      <c r="A11" s="119" t="s">
        <v>5</v>
      </c>
      <c r="B11" s="1024" t="s">
        <v>124</v>
      </c>
      <c r="C11" s="1024" t="s">
        <v>262</v>
      </c>
      <c r="D11" s="1024" t="s">
        <v>7</v>
      </c>
      <c r="E11" s="1021" t="s">
        <v>8</v>
      </c>
      <c r="F11" s="119" t="s">
        <v>5</v>
      </c>
    </row>
    <row r="12" spans="1:7">
      <c r="A12" s="119"/>
      <c r="B12" s="973"/>
      <c r="C12" s="973"/>
      <c r="D12" s="973"/>
      <c r="E12" s="974"/>
      <c r="F12" s="119"/>
    </row>
    <row r="13" spans="1:7">
      <c r="A13" s="119">
        <v>1</v>
      </c>
      <c r="B13" s="198" t="str">
        <f>"Dec-"&amp;RIGHT(Automation!$B$3-1,2)</f>
        <v>Dec-21</v>
      </c>
      <c r="C13" s="198" t="s">
        <v>295</v>
      </c>
      <c r="D13" s="977">
        <v>857931.94299999997</v>
      </c>
      <c r="E13" s="532" t="str">
        <f>Automation!B3-1&amp;" Form 1; Page 356; Accts 303 to 398"</f>
        <v>2021 Form 1; Page 356; Accts 303 to 398</v>
      </c>
      <c r="F13" s="119">
        <f>A13</f>
        <v>1</v>
      </c>
    </row>
    <row r="14" spans="1:7">
      <c r="A14" s="119">
        <f>A13+1</f>
        <v>2</v>
      </c>
      <c r="B14" s="198"/>
      <c r="C14" s="198" t="s">
        <v>296</v>
      </c>
      <c r="D14" s="1025">
        <v>0.74670000000000003</v>
      </c>
      <c r="E14" s="544" t="str">
        <f>Automation!B3-1&amp;" Form 1; Page 356; Electric"</f>
        <v>2021 Form 1; Page 356; Electric</v>
      </c>
      <c r="F14" s="119">
        <f>F13+1</f>
        <v>2</v>
      </c>
      <c r="G14" s="423"/>
    </row>
    <row r="15" spans="1:7">
      <c r="A15" s="119">
        <f t="shared" ref="A15:A23" si="0">A14+1</f>
        <v>3</v>
      </c>
      <c r="B15" s="198"/>
      <c r="C15" s="198" t="s">
        <v>328</v>
      </c>
      <c r="D15" s="534">
        <f>D13*D14</f>
        <v>640617.78183810005</v>
      </c>
      <c r="E15" s="157" t="str">
        <f>"Line "&amp;A13&amp;" x Line "&amp;A14</f>
        <v>Line 1 x Line 2</v>
      </c>
      <c r="F15" s="119">
        <f t="shared" ref="F15:F23" si="1">F14+1</f>
        <v>3</v>
      </c>
      <c r="G15" s="423"/>
    </row>
    <row r="16" spans="1:7">
      <c r="A16" s="119">
        <f t="shared" si="0"/>
        <v>4</v>
      </c>
      <c r="B16" s="198"/>
      <c r="C16" s="198"/>
      <c r="D16" s="534"/>
      <c r="E16" s="157"/>
      <c r="F16" s="119">
        <f t="shared" si="1"/>
        <v>4</v>
      </c>
      <c r="G16" s="423"/>
    </row>
    <row r="17" spans="1:7">
      <c r="A17" s="119">
        <f t="shared" si="0"/>
        <v>5</v>
      </c>
      <c r="B17" s="198" t="str">
        <f>"Dec-"&amp;RIGHT(Automation!$B$3,2)</f>
        <v>Dec-22</v>
      </c>
      <c r="C17" s="198" t="s">
        <v>295</v>
      </c>
      <c r="D17" s="977">
        <v>883346.59900000005</v>
      </c>
      <c r="E17" s="532" t="s">
        <v>1007</v>
      </c>
      <c r="F17" s="119">
        <f t="shared" si="1"/>
        <v>5</v>
      </c>
      <c r="G17" s="423"/>
    </row>
    <row r="18" spans="1:7">
      <c r="A18" s="119">
        <f t="shared" si="0"/>
        <v>6</v>
      </c>
      <c r="B18" s="198"/>
      <c r="C18" s="198" t="s">
        <v>296</v>
      </c>
      <c r="D18" s="1025">
        <v>0.73170000000000002</v>
      </c>
      <c r="E18" s="544" t="s">
        <v>1008</v>
      </c>
      <c r="F18" s="119">
        <f t="shared" si="1"/>
        <v>6</v>
      </c>
      <c r="G18" s="418"/>
    </row>
    <row r="19" spans="1:7">
      <c r="A19" s="119">
        <f t="shared" si="0"/>
        <v>7</v>
      </c>
      <c r="B19" s="198"/>
      <c r="C19" s="198" t="s">
        <v>328</v>
      </c>
      <c r="D19" s="534">
        <f>D17*D18</f>
        <v>646344.7064883</v>
      </c>
      <c r="E19" s="157" t="str">
        <f>"Line "&amp;A17&amp;" x Line "&amp;A18</f>
        <v>Line 5 x Line 6</v>
      </c>
      <c r="F19" s="119">
        <f t="shared" si="1"/>
        <v>7</v>
      </c>
      <c r="G19" s="423"/>
    </row>
    <row r="20" spans="1:7">
      <c r="A20" s="119">
        <f t="shared" si="0"/>
        <v>8</v>
      </c>
      <c r="B20" s="1026"/>
      <c r="C20" s="1024"/>
      <c r="D20" s="1152"/>
      <c r="E20" s="1027"/>
      <c r="F20" s="119">
        <f t="shared" si="1"/>
        <v>8</v>
      </c>
      <c r="G20" s="423"/>
    </row>
    <row r="21" spans="1:7">
      <c r="A21" s="119">
        <f t="shared" si="0"/>
        <v>9</v>
      </c>
      <c r="B21" s="533"/>
      <c r="D21" s="201"/>
      <c r="E21" s="130"/>
      <c r="F21" s="119">
        <f t="shared" si="1"/>
        <v>9</v>
      </c>
      <c r="G21" s="423"/>
    </row>
    <row r="22" spans="1:7">
      <c r="A22" s="119">
        <f t="shared" si="0"/>
        <v>10</v>
      </c>
      <c r="B22" s="201" t="s">
        <v>239</v>
      </c>
      <c r="D22" s="206">
        <f>(D15+D19)/2</f>
        <v>643481.24416320003</v>
      </c>
      <c r="E22" s="158" t="str">
        <f>"Average of Line "&amp;A15&amp;" and Line "&amp;A19</f>
        <v>Average of Line 3 and Line 7</v>
      </c>
      <c r="F22" s="119">
        <f t="shared" si="1"/>
        <v>10</v>
      </c>
      <c r="G22" s="423"/>
    </row>
    <row r="23" spans="1:7">
      <c r="A23" s="119">
        <f t="shared" si="0"/>
        <v>11</v>
      </c>
      <c r="B23" s="1142"/>
      <c r="C23" s="1145"/>
      <c r="D23" s="1142"/>
      <c r="E23" s="1131"/>
      <c r="F23" s="119">
        <f t="shared" si="1"/>
        <v>11</v>
      </c>
      <c r="G23" s="423"/>
    </row>
    <row r="24" spans="1:7">
      <c r="A24" s="119"/>
      <c r="B24" s="161"/>
      <c r="C24" s="161"/>
      <c r="D24" s="136"/>
      <c r="E24" s="136"/>
      <c r="G24" s="423"/>
    </row>
    <row r="25" spans="1:7">
      <c r="B25" s="136"/>
      <c r="C25" s="136"/>
      <c r="D25" s="136"/>
      <c r="E25" s="136"/>
      <c r="G25" s="423"/>
    </row>
    <row r="26" spans="1:7">
      <c r="B26" s="136"/>
      <c r="C26" s="136"/>
      <c r="D26" s="136"/>
      <c r="E26" s="136"/>
      <c r="G26" s="155"/>
    </row>
    <row r="27" spans="1:7">
      <c r="B27" s="136"/>
      <c r="C27" s="136"/>
      <c r="D27" s="136"/>
      <c r="E27" s="136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29"/>
  <sheetViews>
    <sheetView zoomScale="80" zoomScaleNormal="80" zoomScalePageLayoutView="80" workbookViewId="0"/>
  </sheetViews>
  <sheetFormatPr defaultColWidth="9.140625" defaultRowHeight="15.75"/>
  <cols>
    <col min="1" max="1" width="5.140625" style="250" customWidth="1"/>
    <col min="2" max="2" width="56" style="219" customWidth="1"/>
    <col min="3" max="3" width="24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16.7109375" style="219" customWidth="1"/>
    <col min="8" max="8" width="1.5703125" style="219" customWidth="1"/>
    <col min="9" max="9" width="17.7109375" style="219" bestFit="1" customWidth="1"/>
    <col min="10" max="10" width="1.5703125" style="219" customWidth="1"/>
    <col min="11" max="11" width="39.28515625" style="219" bestFit="1" customWidth="1"/>
    <col min="12" max="12" width="5.140625" style="219" customWidth="1"/>
    <col min="13" max="13" width="9.140625" style="219"/>
    <col min="14" max="14" width="20.28515625" style="219" bestFit="1" customWidth="1"/>
    <col min="15" max="16384" width="9.140625" style="219"/>
  </cols>
  <sheetData>
    <row r="1" spans="1:14">
      <c r="H1" s="250"/>
      <c r="I1" s="250"/>
      <c r="J1" s="250"/>
      <c r="K1" s="250"/>
      <c r="L1" s="250"/>
    </row>
    <row r="2" spans="1:14">
      <c r="B2" s="1299" t="s">
        <v>0</v>
      </c>
      <c r="C2" s="1299"/>
      <c r="D2" s="1299"/>
      <c r="E2" s="1299"/>
      <c r="F2" s="1299"/>
      <c r="G2" s="1299"/>
      <c r="H2" s="1299"/>
      <c r="I2" s="1299"/>
      <c r="J2" s="1299"/>
      <c r="K2" s="1299"/>
      <c r="L2" s="250"/>
    </row>
    <row r="3" spans="1:14" ht="18.75">
      <c r="B3" s="1299" t="s">
        <v>901</v>
      </c>
      <c r="C3" s="1299"/>
      <c r="D3" s="1299"/>
      <c r="E3" s="1299"/>
      <c r="F3" s="1299"/>
      <c r="G3" s="1299"/>
      <c r="H3" s="1299"/>
      <c r="I3" s="1299"/>
      <c r="J3" s="1299"/>
      <c r="K3" s="1299"/>
      <c r="L3" s="250"/>
    </row>
    <row r="4" spans="1:14">
      <c r="B4" s="1299" t="s">
        <v>329</v>
      </c>
      <c r="C4" s="1299"/>
      <c r="D4" s="1299"/>
      <c r="E4" s="1299"/>
      <c r="F4" s="1299"/>
      <c r="G4" s="1299"/>
      <c r="H4" s="1299"/>
      <c r="I4" s="1299"/>
      <c r="J4" s="1299"/>
      <c r="K4" s="1299"/>
      <c r="L4" s="250"/>
    </row>
    <row r="5" spans="1:14">
      <c r="B5" s="1301" t="str">
        <f>'A. Sec.1 - Direct Maintenance'!B5</f>
        <v>Base Period &amp; True-Up Period 12 - Months Ending December 31, 2022</v>
      </c>
      <c r="C5" s="1301"/>
      <c r="D5" s="1301"/>
      <c r="E5" s="1301"/>
      <c r="F5" s="1301"/>
      <c r="G5" s="1301"/>
      <c r="H5" s="1301"/>
      <c r="I5" s="1301"/>
      <c r="J5" s="1301"/>
      <c r="K5" s="1301"/>
      <c r="L5" s="250"/>
    </row>
    <row r="6" spans="1:14">
      <c r="B6" s="1297" t="s">
        <v>3</v>
      </c>
      <c r="C6" s="1311"/>
      <c r="D6" s="1311"/>
      <c r="E6" s="1311"/>
      <c r="F6" s="1311"/>
      <c r="G6" s="1311"/>
      <c r="H6" s="1311"/>
      <c r="I6" s="1311"/>
      <c r="J6" s="1311"/>
      <c r="K6" s="1311"/>
      <c r="L6" s="250"/>
    </row>
    <row r="7" spans="1:14"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8" spans="1:14">
      <c r="A8" s="250" t="s">
        <v>4</v>
      </c>
      <c r="B8" s="556"/>
      <c r="C8" s="250" t="s">
        <v>189</v>
      </c>
      <c r="D8" s="556"/>
      <c r="E8" s="417" t="s">
        <v>77</v>
      </c>
      <c r="F8" s="250"/>
      <c r="G8" s="417" t="s">
        <v>78</v>
      </c>
      <c r="H8" s="250"/>
      <c r="I8" s="417" t="s">
        <v>190</v>
      </c>
      <c r="J8" s="250"/>
      <c r="K8" s="250"/>
      <c r="L8" s="250" t="s">
        <v>4</v>
      </c>
    </row>
    <row r="9" spans="1:14">
      <c r="A9" s="250" t="s">
        <v>5</v>
      </c>
      <c r="C9" s="1003" t="s">
        <v>191</v>
      </c>
      <c r="E9" s="1146" t="str">
        <f>'Stmt AD'!E9</f>
        <v>31-Dec-21</v>
      </c>
      <c r="F9" s="109"/>
      <c r="G9" s="1146" t="str">
        <f>'Stmt AD'!G9</f>
        <v>31-Dec-22</v>
      </c>
      <c r="H9" s="556"/>
      <c r="I9" s="1004" t="s">
        <v>192</v>
      </c>
      <c r="J9" s="556"/>
      <c r="K9" s="1003" t="s">
        <v>8</v>
      </c>
      <c r="L9" s="250" t="s">
        <v>5</v>
      </c>
    </row>
    <row r="10" spans="1:14">
      <c r="H10" s="250"/>
      <c r="I10" s="250"/>
      <c r="J10" s="250"/>
      <c r="K10" s="250"/>
      <c r="L10" s="250"/>
    </row>
    <row r="11" spans="1:14">
      <c r="A11" s="250">
        <v>1</v>
      </c>
      <c r="B11" s="219" t="s">
        <v>330</v>
      </c>
      <c r="E11" s="349">
        <f>'AF-1'!I16+'AF-1'!I32</f>
        <v>145223.22515644573</v>
      </c>
      <c r="F11" s="381"/>
      <c r="G11" s="349">
        <f>'AF-2'!I16+'AF-2'!I32</f>
        <v>105415.3801092314</v>
      </c>
      <c r="H11" s="250"/>
      <c r="I11" s="381">
        <f>(E11+G11)/2</f>
        <v>125319.30263283856</v>
      </c>
      <c r="J11" s="250"/>
      <c r="K11" s="250" t="str">
        <f>"AF-1 and AF-2; Line "&amp;'AF-1'!A16&amp;" + Line "&amp;'AF-1'!A32&amp;"; Col. d"</f>
        <v>AF-1 and AF-2; Line 5 + Line 21; Col. d</v>
      </c>
      <c r="L11" s="250">
        <f>A11</f>
        <v>1</v>
      </c>
    </row>
    <row r="12" spans="1:14">
      <c r="A12" s="250">
        <f>A11+1</f>
        <v>2</v>
      </c>
      <c r="H12" s="250"/>
      <c r="I12" s="250"/>
      <c r="J12" s="250"/>
      <c r="K12" s="250"/>
      <c r="L12" s="250">
        <f>L11+1</f>
        <v>2</v>
      </c>
    </row>
    <row r="13" spans="1:14" s="418" customFormat="1">
      <c r="A13" s="250">
        <f t="shared" ref="A13:A23" si="0">A12+1</f>
        <v>3</v>
      </c>
      <c r="B13" s="219" t="s">
        <v>331</v>
      </c>
      <c r="C13" s="219"/>
      <c r="D13" s="219"/>
      <c r="E13" s="1283">
        <f>'AF-1'!I21+'AF-1'!I37</f>
        <v>-1156764.9291040101</v>
      </c>
      <c r="F13" s="1263" t="s">
        <v>1043</v>
      </c>
      <c r="G13" s="565">
        <f>'AF-2'!I21+'AF-2'!I37</f>
        <v>-1205566.3811728389</v>
      </c>
      <c r="H13" s="250"/>
      <c r="I13" s="566">
        <f>(E13+G13)/2</f>
        <v>-1181165.6551384246</v>
      </c>
      <c r="J13" s="250"/>
      <c r="K13" s="250" t="str">
        <f>"AF-1 and AF-2; Line "&amp;'AF-1'!A21&amp;" + Line "&amp;'AF-1'!A37&amp;"; Col. d"</f>
        <v>AF-1 and AF-2; Line 10 + Line 26; Col. d</v>
      </c>
      <c r="L13" s="250">
        <f t="shared" ref="L13:L23" si="1">L12+1</f>
        <v>3</v>
      </c>
      <c r="M13" s="219"/>
    </row>
    <row r="14" spans="1:14" s="418" customFormat="1">
      <c r="A14" s="250">
        <f t="shared" si="0"/>
        <v>4</v>
      </c>
      <c r="B14" s="219"/>
      <c r="C14" s="219"/>
      <c r="D14" s="219"/>
      <c r="E14" s="219"/>
      <c r="F14" s="219"/>
      <c r="G14" s="219"/>
      <c r="H14" s="250"/>
      <c r="I14" s="250"/>
      <c r="J14" s="250"/>
      <c r="K14" s="4"/>
      <c r="L14" s="250">
        <f t="shared" si="1"/>
        <v>4</v>
      </c>
    </row>
    <row r="15" spans="1:14" s="418" customFormat="1">
      <c r="A15" s="250">
        <f t="shared" si="0"/>
        <v>5</v>
      </c>
      <c r="B15" s="219" t="s">
        <v>332</v>
      </c>
      <c r="C15" s="219"/>
      <c r="D15" s="219"/>
      <c r="E15" s="952">
        <f>'AF-1'!I26+'AF-1'!I42</f>
        <v>-7891.472320000008</v>
      </c>
      <c r="F15" s="219"/>
      <c r="G15" s="952">
        <f>'AF-2'!I26+'AF-2'!I42</f>
        <v>-8583.7620040680013</v>
      </c>
      <c r="H15" s="250"/>
      <c r="I15" s="1153">
        <f>(E15+G15)/2</f>
        <v>-8237.6171620340047</v>
      </c>
      <c r="J15" s="250"/>
      <c r="K15" s="250" t="str">
        <f>"AF-1 and AF-2; Line "&amp;'AF-1'!A26&amp;" + Line "&amp;'AF-1'!A42&amp;"; Col. d"</f>
        <v>AF-1 and AF-2; Line 15 + Line 31; Col. d</v>
      </c>
      <c r="L15" s="250">
        <f t="shared" si="1"/>
        <v>5</v>
      </c>
      <c r="M15" s="219"/>
      <c r="N15" s="219"/>
    </row>
    <row r="16" spans="1:14">
      <c r="A16" s="250">
        <f t="shared" si="0"/>
        <v>6</v>
      </c>
      <c r="B16" s="3"/>
      <c r="E16" s="381"/>
      <c r="F16" s="381"/>
      <c r="G16" s="381"/>
      <c r="I16" s="381"/>
      <c r="J16" s="250"/>
      <c r="K16" s="4"/>
      <c r="L16" s="250">
        <f t="shared" si="1"/>
        <v>6</v>
      </c>
    </row>
    <row r="17" spans="1:12" ht="19.5" thickBot="1">
      <c r="A17" s="250">
        <f t="shared" si="0"/>
        <v>7</v>
      </c>
      <c r="B17" s="3" t="s">
        <v>333</v>
      </c>
      <c r="C17" s="250"/>
      <c r="E17" s="1284">
        <f>SUM(E11:E15)</f>
        <v>-1019433.1762675644</v>
      </c>
      <c r="F17" s="1263" t="s">
        <v>1043</v>
      </c>
      <c r="G17" s="419">
        <f>SUM(G11:G15)</f>
        <v>-1108734.7630676753</v>
      </c>
      <c r="H17" s="420"/>
      <c r="I17" s="419">
        <f>SUM(I11:I15)</f>
        <v>-1064083.96966762</v>
      </c>
      <c r="J17" s="250"/>
      <c r="K17" s="5" t="str">
        <f>"Sum Lines "&amp;A11&amp;" thru "&amp;A15</f>
        <v>Sum Lines 1 thru 5</v>
      </c>
      <c r="L17" s="250">
        <f t="shared" si="1"/>
        <v>7</v>
      </c>
    </row>
    <row r="18" spans="1:12" ht="16.5" thickTop="1">
      <c r="A18" s="250">
        <f t="shared" si="0"/>
        <v>8</v>
      </c>
      <c r="J18" s="250"/>
      <c r="K18" s="4"/>
      <c r="L18" s="250">
        <f t="shared" si="1"/>
        <v>8</v>
      </c>
    </row>
    <row r="19" spans="1:12" ht="16.5" thickBot="1">
      <c r="A19" s="250">
        <f t="shared" si="0"/>
        <v>9</v>
      </c>
      <c r="B19" s="3" t="s">
        <v>334</v>
      </c>
      <c r="E19" s="888">
        <v>0</v>
      </c>
      <c r="G19" s="888">
        <v>0</v>
      </c>
      <c r="I19" s="872">
        <f>(E19+G19)/2</f>
        <v>0</v>
      </c>
      <c r="J19" s="250"/>
      <c r="K19" s="250" t="s">
        <v>307</v>
      </c>
      <c r="L19" s="250">
        <f t="shared" si="1"/>
        <v>9</v>
      </c>
    </row>
    <row r="20" spans="1:12" ht="16.5" thickTop="1">
      <c r="A20" s="250">
        <f t="shared" si="0"/>
        <v>10</v>
      </c>
      <c r="B20" s="3"/>
      <c r="I20" s="240"/>
      <c r="J20" s="250"/>
      <c r="K20" s="4"/>
      <c r="L20" s="250">
        <f t="shared" si="1"/>
        <v>10</v>
      </c>
    </row>
    <row r="21" spans="1:12" ht="16.5" thickBot="1">
      <c r="A21" s="250">
        <f t="shared" si="0"/>
        <v>11</v>
      </c>
      <c r="B21" s="3" t="s">
        <v>335</v>
      </c>
      <c r="E21" s="421">
        <f>'AF-1'!I45</f>
        <v>0</v>
      </c>
      <c r="F21" s="422"/>
      <c r="G21" s="421">
        <f>'AF-2'!I45</f>
        <v>0</v>
      </c>
      <c r="H21" s="423"/>
      <c r="I21" s="872">
        <f>(E21+G21)/2</f>
        <v>0</v>
      </c>
      <c r="K21" s="250" t="str">
        <f>"AF-1 and AF-2; Line "&amp;'AF-1'!A45&amp;"; Col. d"</f>
        <v>AF-1 and AF-2; Line 34; Col. d</v>
      </c>
      <c r="L21" s="250">
        <f t="shared" si="1"/>
        <v>11</v>
      </c>
    </row>
    <row r="22" spans="1:12" ht="16.5" thickTop="1">
      <c r="A22" s="250">
        <f t="shared" si="0"/>
        <v>12</v>
      </c>
      <c r="B22" s="3"/>
      <c r="E22" s="593"/>
      <c r="F22" s="871"/>
      <c r="G22" s="593"/>
      <c r="H22" s="423"/>
      <c r="I22" s="240"/>
      <c r="K22" s="4"/>
      <c r="L22" s="250">
        <f t="shared" si="1"/>
        <v>12</v>
      </c>
    </row>
    <row r="23" spans="1:12" ht="16.5" thickBot="1">
      <c r="A23" s="250">
        <f t="shared" si="0"/>
        <v>13</v>
      </c>
      <c r="B23" s="3" t="s">
        <v>336</v>
      </c>
      <c r="E23" s="888">
        <v>0</v>
      </c>
      <c r="F23" s="422"/>
      <c r="G23" s="888">
        <v>0</v>
      </c>
      <c r="H23" s="423"/>
      <c r="I23" s="872">
        <f>(E23+G23)/2</f>
        <v>0</v>
      </c>
      <c r="K23" s="250" t="s">
        <v>307</v>
      </c>
      <c r="L23" s="250">
        <f t="shared" si="1"/>
        <v>13</v>
      </c>
    </row>
    <row r="24" spans="1:12" ht="16.5" thickTop="1">
      <c r="L24" s="250"/>
    </row>
    <row r="25" spans="1:12">
      <c r="L25" s="250"/>
    </row>
    <row r="26" spans="1:12">
      <c r="A26" s="1263" t="s">
        <v>1043</v>
      </c>
      <c r="B26" s="110" t="s">
        <v>1044</v>
      </c>
    </row>
    <row r="27" spans="1:12" ht="18.75">
      <c r="A27" s="377">
        <v>1</v>
      </c>
      <c r="B27" s="3" t="s">
        <v>337</v>
      </c>
    </row>
    <row r="28" spans="1:12" ht="18.75">
      <c r="A28" s="377">
        <v>2</v>
      </c>
      <c r="B28" s="219" t="s">
        <v>933</v>
      </c>
    </row>
    <row r="29" spans="1:12">
      <c r="A29" s="219"/>
      <c r="B29" s="425" t="s">
        <v>934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Roman,Regular"&amp;10AF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820B-7572-44BC-8D6D-40C5971BE1DD}">
  <sheetPr>
    <pageSetUpPr fitToPage="1"/>
  </sheetPr>
  <dimension ref="A2:N48"/>
  <sheetViews>
    <sheetView zoomScale="80" zoomScaleNormal="80" zoomScaleSheetLayoutView="70" workbookViewId="0"/>
  </sheetViews>
  <sheetFormatPr defaultColWidth="8.7109375" defaultRowHeight="15.75"/>
  <cols>
    <col min="1" max="1" width="5.7109375" style="250" customWidth="1"/>
    <col min="2" max="2" width="62.7109375" style="219" bestFit="1" customWidth="1"/>
    <col min="3" max="3" width="16.710937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16.7109375" style="219" customWidth="1"/>
    <col min="8" max="8" width="1.5703125" style="219" customWidth="1"/>
    <col min="9" max="9" width="23.28515625" style="219" bestFit="1" customWidth="1"/>
    <col min="10" max="10" width="2.140625" style="219" bestFit="1" customWidth="1"/>
    <col min="11" max="11" width="62.5703125" style="219" customWidth="1"/>
    <col min="12" max="12" width="5.140625" style="250" customWidth="1"/>
    <col min="13" max="16384" width="8.7109375" style="219"/>
  </cols>
  <sheetData>
    <row r="2" spans="1:14">
      <c r="B2" s="1299" t="s">
        <v>0</v>
      </c>
      <c r="C2" s="1299"/>
      <c r="D2" s="1299"/>
      <c r="E2" s="1299"/>
      <c r="F2" s="1299"/>
      <c r="G2" s="1299"/>
      <c r="H2" s="1299"/>
      <c r="I2" s="1299"/>
      <c r="J2" s="1299"/>
      <c r="K2" s="1299"/>
    </row>
    <row r="3" spans="1:14">
      <c r="B3" s="1299" t="s">
        <v>338</v>
      </c>
      <c r="C3" s="1299"/>
      <c r="D3" s="1299"/>
      <c r="E3" s="1299"/>
      <c r="F3" s="1299"/>
      <c r="G3" s="1299"/>
      <c r="H3" s="1299"/>
      <c r="I3" s="1299"/>
      <c r="J3" s="1299"/>
      <c r="K3" s="1299"/>
    </row>
    <row r="4" spans="1:14">
      <c r="B4" s="1299" t="s">
        <v>339</v>
      </c>
      <c r="C4" s="1299"/>
      <c r="D4" s="1299"/>
      <c r="E4" s="1299"/>
      <c r="F4" s="1299"/>
      <c r="G4" s="1299"/>
      <c r="H4" s="1299"/>
      <c r="I4" s="1299"/>
      <c r="J4" s="1299"/>
      <c r="K4" s="1299"/>
    </row>
    <row r="5" spans="1:14">
      <c r="B5" s="1299" t="str">
        <f>"Base Period 12 Months Ending December 31, "&amp;Automation!$B$3-1</f>
        <v>Base Period 12 Months Ending December 31, 2021</v>
      </c>
      <c r="C5" s="1299"/>
      <c r="D5" s="1299"/>
      <c r="E5" s="1299"/>
      <c r="F5" s="1299"/>
      <c r="G5" s="1299"/>
      <c r="H5" s="1299"/>
      <c r="I5" s="1299"/>
      <c r="J5" s="1299"/>
      <c r="K5" s="1299"/>
    </row>
    <row r="6" spans="1:14" ht="15.75" customHeight="1">
      <c r="B6" s="1297" t="s">
        <v>3</v>
      </c>
      <c r="C6" s="1297"/>
      <c r="D6" s="1297"/>
      <c r="E6" s="1297"/>
      <c r="F6" s="1297"/>
      <c r="G6" s="1297"/>
      <c r="H6" s="1297"/>
      <c r="I6" s="1297"/>
      <c r="J6" s="1297"/>
      <c r="K6" s="1297"/>
    </row>
    <row r="8" spans="1:14">
      <c r="B8" s="240"/>
      <c r="C8" s="695" t="s">
        <v>77</v>
      </c>
      <c r="D8" s="695"/>
      <c r="E8" s="695" t="s">
        <v>78</v>
      </c>
      <c r="F8" s="695"/>
      <c r="G8" s="695" t="s">
        <v>340</v>
      </c>
      <c r="H8" s="695"/>
      <c r="I8" s="695" t="s">
        <v>341</v>
      </c>
      <c r="J8" s="695"/>
      <c r="K8" s="695"/>
    </row>
    <row r="9" spans="1:14">
      <c r="A9" s="250" t="s">
        <v>4</v>
      </c>
      <c r="B9" s="240"/>
      <c r="C9" s="695" t="s">
        <v>342</v>
      </c>
      <c r="D9" s="695"/>
      <c r="E9" s="695" t="s">
        <v>343</v>
      </c>
      <c r="F9" s="695"/>
      <c r="G9" s="695" t="s">
        <v>343</v>
      </c>
      <c r="H9" s="695"/>
      <c r="I9" s="695"/>
      <c r="J9" s="695"/>
      <c r="K9" s="695"/>
      <c r="L9" s="250" t="s">
        <v>4</v>
      </c>
    </row>
    <row r="10" spans="1:14">
      <c r="A10" s="250" t="s">
        <v>5</v>
      </c>
      <c r="B10" s="994" t="s">
        <v>262</v>
      </c>
      <c r="C10" s="1054" t="s">
        <v>344</v>
      </c>
      <c r="D10" s="1054"/>
      <c r="E10" s="1054" t="s">
        <v>345</v>
      </c>
      <c r="F10" s="1054"/>
      <c r="G10" s="1054" t="s">
        <v>346</v>
      </c>
      <c r="H10" s="1054"/>
      <c r="I10" s="994" t="s">
        <v>80</v>
      </c>
      <c r="J10" s="994"/>
      <c r="K10" s="994" t="s">
        <v>8</v>
      </c>
      <c r="L10" s="250" t="s">
        <v>5</v>
      </c>
    </row>
    <row r="11" spans="1:14">
      <c r="B11" s="240"/>
      <c r="C11" s="841"/>
      <c r="D11" s="841"/>
      <c r="E11" s="841"/>
      <c r="F11" s="841"/>
      <c r="G11" s="841"/>
      <c r="H11" s="841"/>
      <c r="I11" s="486"/>
      <c r="J11" s="486"/>
      <c r="K11" s="486"/>
    </row>
    <row r="12" spans="1:14">
      <c r="A12" s="250">
        <v>1</v>
      </c>
      <c r="B12" s="425" t="s">
        <v>347</v>
      </c>
      <c r="C12" s="842"/>
      <c r="D12" s="842"/>
      <c r="E12" s="842"/>
      <c r="F12" s="842"/>
      <c r="G12" s="842"/>
      <c r="H12" s="842"/>
      <c r="I12" s="486"/>
      <c r="J12" s="486"/>
      <c r="K12" s="486"/>
      <c r="L12" s="250">
        <f>A12</f>
        <v>1</v>
      </c>
    </row>
    <row r="13" spans="1:14">
      <c r="A13" s="250">
        <f>A12+1</f>
        <v>2</v>
      </c>
      <c r="B13" s="425" t="s">
        <v>348</v>
      </c>
      <c r="C13" s="478">
        <v>1760.5452597831388</v>
      </c>
      <c r="D13" s="478"/>
      <c r="E13" s="478">
        <v>0</v>
      </c>
      <c r="F13" s="478"/>
      <c r="G13" s="478">
        <v>0.4908416640000155</v>
      </c>
      <c r="H13" s="843"/>
      <c r="I13" s="381">
        <f>SUM(C13:G13)</f>
        <v>1761.0361014471389</v>
      </c>
      <c r="J13" s="381"/>
      <c r="K13" s="406" t="s">
        <v>1010</v>
      </c>
      <c r="L13" s="250">
        <f>L12+1</f>
        <v>2</v>
      </c>
      <c r="M13" s="913"/>
      <c r="N13" s="913"/>
    </row>
    <row r="14" spans="1:14">
      <c r="A14" s="250">
        <f t="shared" ref="A14:A45" si="0">A13+1</f>
        <v>3</v>
      </c>
      <c r="B14" s="425" t="s">
        <v>349</v>
      </c>
      <c r="C14" s="496">
        <v>175.56574885558913</v>
      </c>
      <c r="D14" s="496"/>
      <c r="E14" s="496">
        <v>0</v>
      </c>
      <c r="F14" s="496"/>
      <c r="G14" s="496">
        <v>0.45036108800005081</v>
      </c>
      <c r="H14" s="496"/>
      <c r="I14" s="164">
        <f>SUM(C14:G14)</f>
        <v>176.01610994358919</v>
      </c>
      <c r="J14" s="164"/>
      <c r="K14" s="406" t="s">
        <v>1010</v>
      </c>
      <c r="L14" s="250">
        <f t="shared" ref="L14:L45" si="1">L13+1</f>
        <v>3</v>
      </c>
    </row>
    <row r="15" spans="1:14">
      <c r="A15" s="250">
        <f t="shared" si="0"/>
        <v>4</v>
      </c>
      <c r="B15" s="425" t="s">
        <v>350</v>
      </c>
      <c r="C15" s="496">
        <v>37949.429790417002</v>
      </c>
      <c r="D15" s="496"/>
      <c r="E15" s="496">
        <v>105336.743154638</v>
      </c>
      <c r="F15" s="496"/>
      <c r="G15" s="496">
        <v>0</v>
      </c>
      <c r="H15" s="496"/>
      <c r="I15" s="164">
        <f>SUM(C15:G15)</f>
        <v>143286.172945055</v>
      </c>
      <c r="J15" s="164"/>
      <c r="K15" s="406" t="s">
        <v>1010</v>
      </c>
      <c r="L15" s="250">
        <f t="shared" si="1"/>
        <v>4</v>
      </c>
    </row>
    <row r="16" spans="1:14" ht="16.5" thickBot="1">
      <c r="A16" s="250">
        <f t="shared" si="0"/>
        <v>5</v>
      </c>
      <c r="B16" s="471" t="s">
        <v>351</v>
      </c>
      <c r="C16" s="844">
        <f>SUM(C13:C15)</f>
        <v>39885.540799055729</v>
      </c>
      <c r="D16" s="164"/>
      <c r="E16" s="844">
        <f>SUM(E13:E15)</f>
        <v>105336.743154638</v>
      </c>
      <c r="F16" s="328"/>
      <c r="G16" s="844">
        <f>SUM(G13:G15)</f>
        <v>0.94120275200006631</v>
      </c>
      <c r="H16" s="164"/>
      <c r="I16" s="844">
        <f>SUM(I13:I15)</f>
        <v>145223.22515644573</v>
      </c>
      <c r="J16" s="328"/>
      <c r="K16" s="845" t="str">
        <f>"Sum Lines "&amp;A13&amp;" thru "&amp;A15</f>
        <v>Sum Lines 2 thru 4</v>
      </c>
      <c r="L16" s="250">
        <f t="shared" si="1"/>
        <v>5</v>
      </c>
    </row>
    <row r="17" spans="1:12" ht="16.5" thickTop="1">
      <c r="A17" s="250">
        <f t="shared" si="0"/>
        <v>6</v>
      </c>
      <c r="C17" s="846"/>
      <c r="D17" s="846"/>
      <c r="E17" s="846"/>
      <c r="F17" s="846"/>
      <c r="G17" s="1244"/>
      <c r="H17" s="846"/>
      <c r="I17" s="846"/>
      <c r="J17" s="846"/>
      <c r="K17" s="846"/>
      <c r="L17" s="250">
        <f t="shared" si="1"/>
        <v>6</v>
      </c>
    </row>
    <row r="18" spans="1:12">
      <c r="A18" s="250">
        <f t="shared" si="0"/>
        <v>7</v>
      </c>
      <c r="B18" s="425" t="s">
        <v>352</v>
      </c>
      <c r="C18" s="842"/>
      <c r="D18" s="842"/>
      <c r="E18" s="842"/>
      <c r="F18" s="842"/>
      <c r="G18" s="842"/>
      <c r="H18" s="842"/>
      <c r="I18" s="486"/>
      <c r="J18" s="486"/>
      <c r="K18" s="486"/>
      <c r="L18" s="250">
        <f t="shared" si="1"/>
        <v>7</v>
      </c>
    </row>
    <row r="19" spans="1:12">
      <c r="A19" s="250">
        <f t="shared" si="0"/>
        <v>8</v>
      </c>
      <c r="B19" s="847" t="s">
        <v>353</v>
      </c>
      <c r="C19" s="1262">
        <f>-791983.352128947+958.332564136795</f>
        <v>-791025.01956481021</v>
      </c>
      <c r="D19" s="1263" t="s">
        <v>1043</v>
      </c>
      <c r="E19" s="381">
        <v>-370057.84399999998</v>
      </c>
      <c r="F19" s="381"/>
      <c r="G19" s="381">
        <v>7463.192</v>
      </c>
      <c r="H19" s="381"/>
      <c r="I19" s="1264">
        <f>SUM(C19:G19)</f>
        <v>-1153619.6715648102</v>
      </c>
      <c r="J19" s="1263" t="s">
        <v>1043</v>
      </c>
      <c r="K19" s="406" t="s">
        <v>216</v>
      </c>
      <c r="L19" s="250">
        <f t="shared" si="1"/>
        <v>8</v>
      </c>
    </row>
    <row r="20" spans="1:12">
      <c r="A20" s="250">
        <f t="shared" si="0"/>
        <v>9</v>
      </c>
      <c r="C20" s="164">
        <v>0</v>
      </c>
      <c r="D20" s="164"/>
      <c r="E20" s="164">
        <v>0</v>
      </c>
      <c r="F20" s="164"/>
      <c r="G20" s="164">
        <v>0</v>
      </c>
      <c r="H20" s="164"/>
      <c r="I20" s="164">
        <f>SUM(C20:G20)</f>
        <v>0</v>
      </c>
      <c r="J20" s="164"/>
      <c r="K20" s="164"/>
      <c r="L20" s="250">
        <f t="shared" si="1"/>
        <v>9</v>
      </c>
    </row>
    <row r="21" spans="1:12" ht="16.5" thickBot="1">
      <c r="A21" s="250">
        <f t="shared" si="0"/>
        <v>10</v>
      </c>
      <c r="B21" s="471" t="s">
        <v>354</v>
      </c>
      <c r="C21" s="844">
        <f>SUM(C19:C20)</f>
        <v>-791025.01956481021</v>
      </c>
      <c r="D21" s="1263" t="s">
        <v>1043</v>
      </c>
      <c r="E21" s="844">
        <f>SUM(E19:E20)</f>
        <v>-370057.84399999998</v>
      </c>
      <c r="F21" s="328"/>
      <c r="G21" s="844">
        <f>SUM(G19:G20)</f>
        <v>7463.192</v>
      </c>
      <c r="H21" s="164"/>
      <c r="I21" s="844">
        <f>SUM(I19:I20)</f>
        <v>-1153619.6715648102</v>
      </c>
      <c r="J21" s="1263" t="s">
        <v>1043</v>
      </c>
      <c r="K21" s="845" t="str">
        <f>"Sum Lines "&amp;A19&amp;" thru "&amp;A20</f>
        <v>Sum Lines 8 thru 9</v>
      </c>
      <c r="L21" s="250">
        <f t="shared" si="1"/>
        <v>10</v>
      </c>
    </row>
    <row r="22" spans="1:12" ht="16.5" thickTop="1">
      <c r="A22" s="250">
        <f t="shared" si="0"/>
        <v>11</v>
      </c>
      <c r="L22" s="250">
        <f t="shared" si="1"/>
        <v>11</v>
      </c>
    </row>
    <row r="23" spans="1:12">
      <c r="A23" s="250">
        <f t="shared" si="0"/>
        <v>12</v>
      </c>
      <c r="B23" s="425" t="s">
        <v>355</v>
      </c>
      <c r="C23" s="842"/>
      <c r="D23" s="842"/>
      <c r="E23" s="842"/>
      <c r="F23" s="842"/>
      <c r="G23" s="842"/>
      <c r="H23" s="842"/>
      <c r="I23" s="486"/>
      <c r="J23" s="486"/>
      <c r="K23" s="250"/>
      <c r="L23" s="250">
        <f t="shared" si="1"/>
        <v>12</v>
      </c>
    </row>
    <row r="24" spans="1:12">
      <c r="A24" s="250">
        <f t="shared" si="0"/>
        <v>13</v>
      </c>
      <c r="B24" s="425" t="s">
        <v>356</v>
      </c>
      <c r="C24" s="478">
        <v>-7891.472320000008</v>
      </c>
      <c r="D24" s="478"/>
      <c r="E24" s="478">
        <v>0</v>
      </c>
      <c r="F24" s="478"/>
      <c r="G24" s="478">
        <v>0</v>
      </c>
      <c r="H24" s="843"/>
      <c r="I24" s="381">
        <f>SUM(C24:G24)</f>
        <v>-7891.472320000008</v>
      </c>
      <c r="J24" s="381"/>
      <c r="K24" s="406" t="s">
        <v>1011</v>
      </c>
      <c r="L24" s="250">
        <f t="shared" si="1"/>
        <v>13</v>
      </c>
    </row>
    <row r="25" spans="1:12">
      <c r="A25" s="250">
        <f t="shared" si="0"/>
        <v>14</v>
      </c>
      <c r="B25" s="425"/>
      <c r="C25" s="164">
        <v>0</v>
      </c>
      <c r="D25" s="164"/>
      <c r="E25" s="164">
        <v>0</v>
      </c>
      <c r="F25" s="164"/>
      <c r="G25" s="164">
        <v>0</v>
      </c>
      <c r="H25" s="164"/>
      <c r="I25" s="164">
        <f>SUM(C25:G25)</f>
        <v>0</v>
      </c>
      <c r="J25" s="164"/>
      <c r="K25" s="164"/>
      <c r="L25" s="250">
        <f t="shared" si="1"/>
        <v>14</v>
      </c>
    </row>
    <row r="26" spans="1:12" ht="16.5" thickBot="1">
      <c r="A26" s="250">
        <f t="shared" si="0"/>
        <v>15</v>
      </c>
      <c r="B26" s="471" t="s">
        <v>357</v>
      </c>
      <c r="C26" s="844">
        <f>SUM(C24:C25)</f>
        <v>-7891.472320000008</v>
      </c>
      <c r="D26" s="164"/>
      <c r="E26" s="844">
        <f>SUM(E24:E25)</f>
        <v>0</v>
      </c>
      <c r="F26" s="328"/>
      <c r="G26" s="844">
        <f>SUM(G24:G25)</f>
        <v>0</v>
      </c>
      <c r="H26" s="164"/>
      <c r="I26" s="844">
        <f>SUM(I24:I25)</f>
        <v>-7891.472320000008</v>
      </c>
      <c r="J26" s="328"/>
      <c r="K26" s="845" t="str">
        <f>"Sum Lines "&amp;A24&amp;" thru "&amp;A25</f>
        <v>Sum Lines 13 thru 14</v>
      </c>
      <c r="L26" s="250">
        <f t="shared" si="1"/>
        <v>15</v>
      </c>
    </row>
    <row r="27" spans="1:12" ht="17.25" thickTop="1" thickBot="1">
      <c r="A27" s="250">
        <f t="shared" si="0"/>
        <v>16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50">
        <f t="shared" si="1"/>
        <v>16</v>
      </c>
    </row>
    <row r="28" spans="1:12">
      <c r="A28" s="250">
        <f t="shared" si="0"/>
        <v>17</v>
      </c>
      <c r="L28" s="250">
        <f t="shared" si="1"/>
        <v>17</v>
      </c>
    </row>
    <row r="29" spans="1:12">
      <c r="A29" s="250">
        <f t="shared" si="0"/>
        <v>18</v>
      </c>
      <c r="B29" s="425" t="s">
        <v>903</v>
      </c>
      <c r="C29" s="842"/>
      <c r="D29" s="842"/>
      <c r="E29" s="842"/>
      <c r="F29" s="842"/>
      <c r="G29" s="842"/>
      <c r="H29" s="842"/>
      <c r="I29" s="486"/>
      <c r="J29" s="486"/>
      <c r="K29" s="486"/>
      <c r="L29" s="250">
        <f t="shared" si="1"/>
        <v>18</v>
      </c>
    </row>
    <row r="30" spans="1:12">
      <c r="A30" s="250">
        <f t="shared" si="0"/>
        <v>19</v>
      </c>
      <c r="B30" s="425" t="s">
        <v>350</v>
      </c>
      <c r="C30" s="381">
        <v>0</v>
      </c>
      <c r="D30" s="381"/>
      <c r="E30" s="381">
        <v>0</v>
      </c>
      <c r="F30" s="381"/>
      <c r="G30" s="381">
        <v>0</v>
      </c>
      <c r="H30" s="478"/>
      <c r="I30" s="381">
        <f>SUM(C30:G30)</f>
        <v>0</v>
      </c>
      <c r="J30" s="381"/>
      <c r="K30" s="65" t="str">
        <f>"Not Applicable to "&amp;Automation!$B$3-1&amp;" Base Period"</f>
        <v>Not Applicable to 2021 Base Period</v>
      </c>
      <c r="L30" s="250">
        <f t="shared" si="1"/>
        <v>19</v>
      </c>
    </row>
    <row r="31" spans="1:12">
      <c r="A31" s="250">
        <f t="shared" si="0"/>
        <v>20</v>
      </c>
      <c r="C31" s="164">
        <v>0</v>
      </c>
      <c r="D31" s="164"/>
      <c r="E31" s="164">
        <v>0</v>
      </c>
      <c r="F31" s="164"/>
      <c r="G31" s="164">
        <v>0</v>
      </c>
      <c r="H31" s="164"/>
      <c r="I31" s="164">
        <f>SUM(C31:G31)</f>
        <v>0</v>
      </c>
      <c r="J31" s="164"/>
      <c r="K31" s="164"/>
      <c r="L31" s="250">
        <f t="shared" si="1"/>
        <v>20</v>
      </c>
    </row>
    <row r="32" spans="1:12" ht="16.5" thickBot="1">
      <c r="A32" s="250">
        <f t="shared" si="0"/>
        <v>21</v>
      </c>
      <c r="B32" s="471" t="s">
        <v>351</v>
      </c>
      <c r="C32" s="844">
        <f>SUM(C30:C31)</f>
        <v>0</v>
      </c>
      <c r="D32" s="164"/>
      <c r="E32" s="844">
        <f>SUM(E30:E31)</f>
        <v>0</v>
      </c>
      <c r="F32" s="328"/>
      <c r="G32" s="844">
        <f>SUM(G30:G31)</f>
        <v>0</v>
      </c>
      <c r="H32" s="164"/>
      <c r="I32" s="844">
        <f>SUM(I30:I31)</f>
        <v>0</v>
      </c>
      <c r="J32" s="328"/>
      <c r="K32" s="845" t="str">
        <f>"Sum Lines "&amp;A30&amp;" thru "&amp;A31</f>
        <v>Sum Lines 19 thru 20</v>
      </c>
      <c r="L32" s="250">
        <f t="shared" si="1"/>
        <v>21</v>
      </c>
    </row>
    <row r="33" spans="1:12" ht="16.5" thickTop="1">
      <c r="A33" s="250">
        <f t="shared" si="0"/>
        <v>22</v>
      </c>
      <c r="C33" s="846"/>
      <c r="D33" s="846"/>
      <c r="E33" s="846"/>
      <c r="F33" s="846"/>
      <c r="G33" s="846"/>
      <c r="H33" s="846"/>
      <c r="I33" s="846"/>
      <c r="J33" s="846"/>
      <c r="K33" s="846"/>
      <c r="L33" s="250">
        <f t="shared" si="1"/>
        <v>22</v>
      </c>
    </row>
    <row r="34" spans="1:12">
      <c r="A34" s="250">
        <f t="shared" si="0"/>
        <v>23</v>
      </c>
      <c r="B34" s="425" t="s">
        <v>896</v>
      </c>
      <c r="C34" s="842"/>
      <c r="D34" s="842"/>
      <c r="E34" s="842"/>
      <c r="F34" s="842"/>
      <c r="G34" s="842"/>
      <c r="H34" s="842"/>
      <c r="I34" s="486"/>
      <c r="J34" s="486"/>
      <c r="K34" s="486"/>
      <c r="L34" s="250">
        <f t="shared" si="1"/>
        <v>23</v>
      </c>
    </row>
    <row r="35" spans="1:12">
      <c r="A35" s="250">
        <f t="shared" si="0"/>
        <v>24</v>
      </c>
      <c r="B35" s="847" t="s">
        <v>353</v>
      </c>
      <c r="C35" s="381">
        <v>-3145.2575391999999</v>
      </c>
      <c r="D35" s="381"/>
      <c r="E35" s="381">
        <v>0</v>
      </c>
      <c r="F35" s="381"/>
      <c r="G35" s="381">
        <v>0</v>
      </c>
      <c r="H35" s="381"/>
      <c r="I35" s="381">
        <f>SUM(C35:G35)</f>
        <v>-3145.2575391999999</v>
      </c>
      <c r="J35" s="381"/>
      <c r="K35" s="406" t="s">
        <v>1012</v>
      </c>
      <c r="L35" s="250">
        <f t="shared" si="1"/>
        <v>24</v>
      </c>
    </row>
    <row r="36" spans="1:12">
      <c r="A36" s="250">
        <f t="shared" si="0"/>
        <v>25</v>
      </c>
      <c r="C36" s="164">
        <v>0</v>
      </c>
      <c r="D36" s="164"/>
      <c r="E36" s="164">
        <v>0</v>
      </c>
      <c r="F36" s="164"/>
      <c r="G36" s="164">
        <v>0</v>
      </c>
      <c r="H36" s="164"/>
      <c r="I36" s="164">
        <f>SUM(C36:G36)</f>
        <v>0</v>
      </c>
      <c r="J36" s="164"/>
      <c r="K36" s="164"/>
      <c r="L36" s="250">
        <f t="shared" si="1"/>
        <v>25</v>
      </c>
    </row>
    <row r="37" spans="1:12" ht="16.5" thickBot="1">
      <c r="A37" s="250">
        <f t="shared" si="0"/>
        <v>26</v>
      </c>
      <c r="B37" s="471" t="s">
        <v>354</v>
      </c>
      <c r="C37" s="844">
        <f>SUM(C35:C36)</f>
        <v>-3145.2575391999999</v>
      </c>
      <c r="D37" s="164"/>
      <c r="E37" s="844">
        <f>SUM(E35:E36)</f>
        <v>0</v>
      </c>
      <c r="F37" s="328"/>
      <c r="G37" s="844">
        <f>SUM(G35:G36)</f>
        <v>0</v>
      </c>
      <c r="H37" s="164"/>
      <c r="I37" s="844">
        <f>SUM(I35:I36)</f>
        <v>-3145.2575391999999</v>
      </c>
      <c r="J37" s="328"/>
      <c r="K37" s="845" t="str">
        <f>"Sum Lines "&amp;A35&amp;" thru "&amp;A36</f>
        <v>Sum Lines 24 thru 25</v>
      </c>
      <c r="L37" s="250">
        <f t="shared" si="1"/>
        <v>26</v>
      </c>
    </row>
    <row r="38" spans="1:12" ht="16.5" thickTop="1">
      <c r="A38" s="250">
        <f t="shared" si="0"/>
        <v>27</v>
      </c>
      <c r="L38" s="250">
        <f t="shared" si="1"/>
        <v>27</v>
      </c>
    </row>
    <row r="39" spans="1:12">
      <c r="A39" s="250">
        <f t="shared" si="0"/>
        <v>28</v>
      </c>
      <c r="B39" s="425" t="s">
        <v>904</v>
      </c>
      <c r="C39" s="842"/>
      <c r="D39" s="842"/>
      <c r="E39" s="842"/>
      <c r="F39" s="842"/>
      <c r="G39" s="842"/>
      <c r="H39" s="842"/>
      <c r="I39" s="486"/>
      <c r="J39" s="486"/>
      <c r="K39" s="250"/>
      <c r="L39" s="250">
        <f t="shared" si="1"/>
        <v>28</v>
      </c>
    </row>
    <row r="40" spans="1:12">
      <c r="A40" s="250">
        <f t="shared" si="0"/>
        <v>29</v>
      </c>
      <c r="B40" s="425"/>
      <c r="C40" s="381">
        <v>0</v>
      </c>
      <c r="D40" s="381"/>
      <c r="E40" s="381">
        <v>0</v>
      </c>
      <c r="F40" s="381"/>
      <c r="G40" s="381">
        <v>0</v>
      </c>
      <c r="H40" s="381"/>
      <c r="I40" s="381">
        <f>SUM(C40:G40)</f>
        <v>0</v>
      </c>
      <c r="J40" s="381"/>
      <c r="K40" s="65" t="str">
        <f>"Not Applicable to "&amp;Automation!$B$3-1&amp;" Base Period"</f>
        <v>Not Applicable to 2021 Base Period</v>
      </c>
      <c r="L40" s="250">
        <f t="shared" si="1"/>
        <v>29</v>
      </c>
    </row>
    <row r="41" spans="1:12">
      <c r="A41" s="250">
        <f t="shared" si="0"/>
        <v>30</v>
      </c>
      <c r="B41" s="425"/>
      <c r="C41" s="164">
        <v>0</v>
      </c>
      <c r="D41" s="164"/>
      <c r="E41" s="164">
        <v>0</v>
      </c>
      <c r="F41" s="164"/>
      <c r="G41" s="164">
        <v>0</v>
      </c>
      <c r="H41" s="164"/>
      <c r="I41" s="164">
        <f>SUM(C41:G41)</f>
        <v>0</v>
      </c>
      <c r="J41" s="164"/>
      <c r="K41" s="164"/>
      <c r="L41" s="250">
        <f t="shared" si="1"/>
        <v>30</v>
      </c>
    </row>
    <row r="42" spans="1:12" ht="16.5" thickBot="1">
      <c r="A42" s="250">
        <f t="shared" si="0"/>
        <v>31</v>
      </c>
      <c r="B42" s="471" t="s">
        <v>357</v>
      </c>
      <c r="C42" s="844">
        <f>SUM(C40:C41)</f>
        <v>0</v>
      </c>
      <c r="D42" s="164"/>
      <c r="E42" s="844">
        <f>SUM(E40:E41)</f>
        <v>0</v>
      </c>
      <c r="F42" s="328"/>
      <c r="G42" s="844">
        <f>SUM(G40:G41)</f>
        <v>0</v>
      </c>
      <c r="H42" s="164"/>
      <c r="I42" s="844">
        <f>SUM(I40:I41)</f>
        <v>0</v>
      </c>
      <c r="J42" s="328"/>
      <c r="K42" s="845" t="str">
        <f>"Sum Lines "&amp;A40&amp;" thru "&amp;A41</f>
        <v>Sum Lines 29 thru 30</v>
      </c>
      <c r="L42" s="250">
        <f t="shared" si="1"/>
        <v>31</v>
      </c>
    </row>
    <row r="43" spans="1:12" ht="17.25" thickTop="1" thickBot="1">
      <c r="A43" s="250">
        <f t="shared" si="0"/>
        <v>32</v>
      </c>
      <c r="B43" s="875"/>
      <c r="C43" s="876"/>
      <c r="D43" s="279"/>
      <c r="E43" s="876"/>
      <c r="F43" s="876"/>
      <c r="G43" s="876"/>
      <c r="H43" s="279"/>
      <c r="I43" s="876"/>
      <c r="J43" s="876"/>
      <c r="K43" s="877"/>
      <c r="L43" s="250">
        <f t="shared" si="1"/>
        <v>32</v>
      </c>
    </row>
    <row r="44" spans="1:12">
      <c r="A44" s="250">
        <f t="shared" si="0"/>
        <v>33</v>
      </c>
      <c r="B44" s="471"/>
      <c r="C44" s="328"/>
      <c r="D44" s="164"/>
      <c r="E44" s="328"/>
      <c r="F44" s="328"/>
      <c r="G44" s="328"/>
      <c r="H44" s="164"/>
      <c r="I44" s="328"/>
      <c r="J44" s="328"/>
      <c r="K44" s="845"/>
      <c r="L44" s="250">
        <f t="shared" si="1"/>
        <v>33</v>
      </c>
    </row>
    <row r="45" spans="1:12">
      <c r="A45" s="250">
        <f t="shared" si="0"/>
        <v>34</v>
      </c>
      <c r="B45" s="64" t="s">
        <v>335</v>
      </c>
      <c r="C45" s="11">
        <v>0</v>
      </c>
      <c r="D45" s="164"/>
      <c r="E45" s="11">
        <v>0</v>
      </c>
      <c r="F45" s="328"/>
      <c r="G45" s="11">
        <v>0</v>
      </c>
      <c r="H45" s="164"/>
      <c r="I45" s="381">
        <f>SUM(C45:G45)</f>
        <v>0</v>
      </c>
      <c r="J45" s="381"/>
      <c r="K45" s="65" t="str">
        <f>"Not Applicable to "&amp;Automation!$B$3-1&amp;" Base Period"</f>
        <v>Not Applicable to 2021 Base Period</v>
      </c>
      <c r="L45" s="250">
        <f t="shared" si="1"/>
        <v>34</v>
      </c>
    </row>
    <row r="46" spans="1:12">
      <c r="B46" s="471"/>
      <c r="C46" s="328"/>
      <c r="D46" s="164"/>
      <c r="E46" s="328"/>
      <c r="F46" s="328"/>
      <c r="G46" s="328"/>
      <c r="H46" s="164"/>
      <c r="I46" s="328"/>
      <c r="J46" s="328"/>
      <c r="K46" s="845"/>
    </row>
    <row r="47" spans="1:12">
      <c r="I47" s="913"/>
      <c r="J47" s="913"/>
    </row>
    <row r="48" spans="1:12">
      <c r="A48" s="1263" t="s">
        <v>1043</v>
      </c>
      <c r="B48" s="110" t="s">
        <v>1044</v>
      </c>
      <c r="I48" s="913"/>
      <c r="J48" s="913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5E7E-7CAE-4399-B6F7-2D549ACA32DC}">
  <sheetPr>
    <pageSetUpPr fitToPage="1"/>
  </sheetPr>
  <dimension ref="A2:M48"/>
  <sheetViews>
    <sheetView topLeftCell="A4" zoomScale="80" zoomScaleNormal="80" zoomScaleSheetLayoutView="70" workbookViewId="0"/>
  </sheetViews>
  <sheetFormatPr defaultColWidth="8.7109375" defaultRowHeight="15.75"/>
  <cols>
    <col min="1" max="1" width="5.7109375" style="250" customWidth="1"/>
    <col min="2" max="2" width="62.7109375" style="219" bestFit="1" customWidth="1"/>
    <col min="3" max="3" width="16.710937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16.7109375" style="219" customWidth="1"/>
    <col min="8" max="8" width="1.5703125" style="219" customWidth="1"/>
    <col min="9" max="9" width="23.28515625" style="219" bestFit="1" customWidth="1"/>
    <col min="10" max="10" width="62.5703125" style="219" customWidth="1"/>
    <col min="11" max="11" width="5.140625" style="250" customWidth="1"/>
    <col min="12" max="12" width="8.7109375" style="219"/>
    <col min="13" max="13" width="17.28515625" style="219" bestFit="1" customWidth="1"/>
    <col min="14" max="16384" width="8.7109375" style="219"/>
  </cols>
  <sheetData>
    <row r="2" spans="1:13">
      <c r="B2" s="1299" t="s">
        <v>0</v>
      </c>
      <c r="C2" s="1299"/>
      <c r="D2" s="1299"/>
      <c r="E2" s="1299"/>
      <c r="F2" s="1299"/>
      <c r="G2" s="1299"/>
      <c r="H2" s="1299"/>
      <c r="I2" s="1299"/>
      <c r="J2" s="1299"/>
    </row>
    <row r="3" spans="1:13">
      <c r="B3" s="1299" t="s">
        <v>338</v>
      </c>
      <c r="C3" s="1299"/>
      <c r="D3" s="1299"/>
      <c r="E3" s="1299"/>
      <c r="F3" s="1299"/>
      <c r="G3" s="1299"/>
      <c r="H3" s="1299"/>
      <c r="I3" s="1299"/>
      <c r="J3" s="1299"/>
    </row>
    <row r="4" spans="1:13">
      <c r="B4" s="1299" t="s">
        <v>339</v>
      </c>
      <c r="C4" s="1299"/>
      <c r="D4" s="1299"/>
      <c r="E4" s="1299"/>
      <c r="F4" s="1299"/>
      <c r="G4" s="1299"/>
      <c r="H4" s="1299"/>
      <c r="I4" s="1299"/>
      <c r="J4" s="1299"/>
    </row>
    <row r="5" spans="1:13">
      <c r="B5" s="1299" t="str">
        <f>"Base Period 12 Months Ending December 31, "&amp;Automation!$B$3</f>
        <v>Base Period 12 Months Ending December 31, 2022</v>
      </c>
      <c r="C5" s="1299"/>
      <c r="D5" s="1299"/>
      <c r="E5" s="1299"/>
      <c r="F5" s="1299"/>
      <c r="G5" s="1299"/>
      <c r="H5" s="1299"/>
      <c r="I5" s="1299"/>
      <c r="J5" s="1299"/>
    </row>
    <row r="6" spans="1:13" ht="15.75" customHeight="1">
      <c r="B6" s="1297" t="s">
        <v>3</v>
      </c>
      <c r="C6" s="1297"/>
      <c r="D6" s="1297"/>
      <c r="E6" s="1297"/>
      <c r="F6" s="1297"/>
      <c r="G6" s="1297"/>
      <c r="H6" s="1297"/>
      <c r="I6" s="1297"/>
      <c r="J6" s="1297"/>
    </row>
    <row r="8" spans="1:13">
      <c r="B8" s="240"/>
      <c r="C8" s="695" t="s">
        <v>77</v>
      </c>
      <c r="D8" s="695"/>
      <c r="E8" s="695" t="s">
        <v>78</v>
      </c>
      <c r="F8" s="695"/>
      <c r="G8" s="695" t="s">
        <v>340</v>
      </c>
      <c r="H8" s="695"/>
      <c r="I8" s="695" t="s">
        <v>341</v>
      </c>
      <c r="J8" s="695"/>
    </row>
    <row r="9" spans="1:13">
      <c r="A9" s="250" t="s">
        <v>4</v>
      </c>
      <c r="B9" s="240"/>
      <c r="C9" s="695" t="s">
        <v>342</v>
      </c>
      <c r="D9" s="695"/>
      <c r="E9" s="695" t="s">
        <v>343</v>
      </c>
      <c r="F9" s="695"/>
      <c r="G9" s="695" t="s">
        <v>343</v>
      </c>
      <c r="H9" s="695"/>
      <c r="I9" s="695"/>
      <c r="J9" s="695"/>
      <c r="K9" s="250" t="s">
        <v>4</v>
      </c>
    </row>
    <row r="10" spans="1:13">
      <c r="A10" s="250" t="s">
        <v>5</v>
      </c>
      <c r="B10" s="994" t="s">
        <v>262</v>
      </c>
      <c r="C10" s="1054" t="s">
        <v>344</v>
      </c>
      <c r="D10" s="1054"/>
      <c r="E10" s="1054" t="s">
        <v>345</v>
      </c>
      <c r="F10" s="1054"/>
      <c r="G10" s="1054" t="s">
        <v>346</v>
      </c>
      <c r="H10" s="1054"/>
      <c r="I10" s="994" t="s">
        <v>80</v>
      </c>
      <c r="J10" s="994" t="s">
        <v>8</v>
      </c>
      <c r="K10" s="250" t="s">
        <v>5</v>
      </c>
    </row>
    <row r="11" spans="1:13">
      <c r="B11" s="240"/>
      <c r="C11" s="841"/>
      <c r="D11" s="841"/>
      <c r="E11" s="841"/>
      <c r="F11" s="841"/>
      <c r="G11" s="841"/>
      <c r="H11" s="841"/>
      <c r="I11" s="486"/>
      <c r="J11" s="486"/>
    </row>
    <row r="12" spans="1:13">
      <c r="A12" s="250">
        <v>1</v>
      </c>
      <c r="B12" s="425" t="s">
        <v>347</v>
      </c>
      <c r="C12" s="842"/>
      <c r="D12" s="842"/>
      <c r="E12" s="842"/>
      <c r="F12" s="842"/>
      <c r="G12" s="842"/>
      <c r="H12" s="842"/>
      <c r="I12" s="486"/>
      <c r="J12" s="486"/>
      <c r="K12" s="250">
        <f>A12</f>
        <v>1</v>
      </c>
    </row>
    <row r="13" spans="1:13">
      <c r="A13" s="250">
        <f>A12+1</f>
        <v>2</v>
      </c>
      <c r="B13" s="425" t="s">
        <v>348</v>
      </c>
      <c r="C13" s="478">
        <v>1296.4291856740799</v>
      </c>
      <c r="D13" s="478"/>
      <c r="E13" s="478">
        <v>0</v>
      </c>
      <c r="F13" s="478"/>
      <c r="G13" s="478">
        <v>0</v>
      </c>
      <c r="H13" s="843"/>
      <c r="I13" s="381">
        <f>SUM(C13:G13)</f>
        <v>1296.4291856740799</v>
      </c>
      <c r="J13" s="406" t="s">
        <v>1013</v>
      </c>
      <c r="K13" s="250">
        <f>K12+1</f>
        <v>2</v>
      </c>
    </row>
    <row r="14" spans="1:13">
      <c r="A14" s="250">
        <f t="shared" ref="A14:A45" si="0">A13+1</f>
        <v>3</v>
      </c>
      <c r="B14" s="425" t="s">
        <v>349</v>
      </c>
      <c r="C14" s="496">
        <v>223.40401868713801</v>
      </c>
      <c r="D14" s="496"/>
      <c r="E14" s="496">
        <v>0</v>
      </c>
      <c r="F14" s="496"/>
      <c r="G14" s="496">
        <v>0</v>
      </c>
      <c r="H14" s="496"/>
      <c r="I14" s="164">
        <f>SUM(C14:G14)</f>
        <v>223.40401868713801</v>
      </c>
      <c r="J14" s="406" t="s">
        <v>1013</v>
      </c>
      <c r="K14" s="250">
        <f t="shared" ref="K14:K45" si="1">K13+1</f>
        <v>3</v>
      </c>
      <c r="M14" s="913"/>
    </row>
    <row r="15" spans="1:13">
      <c r="A15" s="250">
        <f t="shared" si="0"/>
        <v>4</v>
      </c>
      <c r="B15" s="425" t="s">
        <v>350</v>
      </c>
      <c r="C15" s="496">
        <v>0</v>
      </c>
      <c r="D15" s="496"/>
      <c r="E15" s="496">
        <v>103895.54690487018</v>
      </c>
      <c r="F15" s="496"/>
      <c r="G15" s="496">
        <v>0</v>
      </c>
      <c r="H15" s="496"/>
      <c r="I15" s="164">
        <f>SUM(C15:G15)</f>
        <v>103895.54690487018</v>
      </c>
      <c r="J15" s="406" t="s">
        <v>1013</v>
      </c>
      <c r="K15" s="250">
        <f t="shared" si="1"/>
        <v>4</v>
      </c>
    </row>
    <row r="16" spans="1:13" ht="16.5" thickBot="1">
      <c r="A16" s="250">
        <f t="shared" si="0"/>
        <v>5</v>
      </c>
      <c r="B16" s="471" t="s">
        <v>351</v>
      </c>
      <c r="C16" s="844">
        <f>SUM(C13:C15)</f>
        <v>1519.8332043612179</v>
      </c>
      <c r="D16" s="164"/>
      <c r="E16" s="844">
        <f>SUM(E13:E15)</f>
        <v>103895.54690487018</v>
      </c>
      <c r="F16" s="328"/>
      <c r="G16" s="844">
        <f>SUM(G13:G15)</f>
        <v>0</v>
      </c>
      <c r="H16" s="164"/>
      <c r="I16" s="844">
        <f>SUM(I13:I15)</f>
        <v>105415.3801092314</v>
      </c>
      <c r="J16" s="845" t="str">
        <f>"Sum Lines "&amp;A13&amp;" thru "&amp;A15</f>
        <v>Sum Lines 2 thru 4</v>
      </c>
      <c r="K16" s="250">
        <f t="shared" si="1"/>
        <v>5</v>
      </c>
    </row>
    <row r="17" spans="1:13" ht="16.5" thickTop="1">
      <c r="A17" s="250">
        <f t="shared" si="0"/>
        <v>6</v>
      </c>
      <c r="C17" s="846"/>
      <c r="D17" s="846"/>
      <c r="E17" s="846"/>
      <c r="F17" s="846"/>
      <c r="G17" s="846"/>
      <c r="H17" s="846"/>
      <c r="I17" s="846"/>
      <c r="J17" s="846"/>
      <c r="K17" s="250">
        <f t="shared" si="1"/>
        <v>6</v>
      </c>
    </row>
    <row r="18" spans="1:13">
      <c r="A18" s="250">
        <f t="shared" si="0"/>
        <v>7</v>
      </c>
      <c r="B18" s="425" t="s">
        <v>352</v>
      </c>
      <c r="C18" s="842"/>
      <c r="D18" s="842"/>
      <c r="E18" s="842"/>
      <c r="F18" s="842"/>
      <c r="G18" s="842"/>
      <c r="H18" s="842"/>
      <c r="I18" s="486"/>
      <c r="J18" s="486"/>
      <c r="K18" s="250">
        <f t="shared" si="1"/>
        <v>7</v>
      </c>
    </row>
    <row r="19" spans="1:13">
      <c r="A19" s="250">
        <f t="shared" si="0"/>
        <v>8</v>
      </c>
      <c r="B19" s="847" t="s">
        <v>353</v>
      </c>
      <c r="C19" s="381">
        <v>-844678.63211961079</v>
      </c>
      <c r="D19" s="381"/>
      <c r="E19" s="381">
        <v>-365954.92673469405</v>
      </c>
      <c r="F19" s="381"/>
      <c r="G19" s="381">
        <v>8295.2800215856587</v>
      </c>
      <c r="H19" s="381"/>
      <c r="I19" s="381">
        <f>SUM(C19:G19)</f>
        <v>-1202338.278832719</v>
      </c>
      <c r="J19" s="1257" t="s">
        <v>1020</v>
      </c>
      <c r="K19" s="250">
        <f t="shared" si="1"/>
        <v>8</v>
      </c>
      <c r="M19" s="164"/>
    </row>
    <row r="20" spans="1:13">
      <c r="A20" s="250">
        <f t="shared" si="0"/>
        <v>9</v>
      </c>
      <c r="C20" s="164">
        <v>0</v>
      </c>
      <c r="D20" s="164"/>
      <c r="E20" s="164">
        <v>0</v>
      </c>
      <c r="F20" s="164"/>
      <c r="G20" s="164">
        <v>0</v>
      </c>
      <c r="H20" s="164"/>
      <c r="I20" s="164">
        <f>SUM(C20:G20)</f>
        <v>0</v>
      </c>
      <c r="J20" s="164"/>
      <c r="K20" s="250">
        <f t="shared" si="1"/>
        <v>9</v>
      </c>
    </row>
    <row r="21" spans="1:13" ht="16.5" thickBot="1">
      <c r="A21" s="250">
        <f t="shared" si="0"/>
        <v>10</v>
      </c>
      <c r="B21" s="471" t="s">
        <v>354</v>
      </c>
      <c r="C21" s="844">
        <f>SUM(C19:C20)</f>
        <v>-844678.63211961079</v>
      </c>
      <c r="D21" s="164"/>
      <c r="E21" s="844">
        <f>SUM(E19:E20)</f>
        <v>-365954.92673469405</v>
      </c>
      <c r="F21" s="328"/>
      <c r="G21" s="844">
        <f>SUM(G19:G20)</f>
        <v>8295.2800215856587</v>
      </c>
      <c r="H21" s="164"/>
      <c r="I21" s="844">
        <f>SUM(I19:I20)</f>
        <v>-1202338.278832719</v>
      </c>
      <c r="J21" s="845" t="str">
        <f>"Sum Lines "&amp;A19&amp;" thru "&amp;A20</f>
        <v>Sum Lines 8 thru 9</v>
      </c>
      <c r="K21" s="250">
        <f t="shared" si="1"/>
        <v>10</v>
      </c>
    </row>
    <row r="22" spans="1:13" ht="16.5" thickTop="1">
      <c r="A22" s="250">
        <f t="shared" si="0"/>
        <v>11</v>
      </c>
      <c r="K22" s="250">
        <f t="shared" si="1"/>
        <v>11</v>
      </c>
    </row>
    <row r="23" spans="1:13">
      <c r="A23" s="250">
        <f t="shared" si="0"/>
        <v>12</v>
      </c>
      <c r="B23" s="425" t="s">
        <v>355</v>
      </c>
      <c r="C23" s="842"/>
      <c r="D23" s="842"/>
      <c r="E23" s="842"/>
      <c r="F23" s="842"/>
      <c r="G23" s="842"/>
      <c r="H23" s="842"/>
      <c r="I23" s="486"/>
      <c r="J23" s="250"/>
      <c r="K23" s="250">
        <f t="shared" si="1"/>
        <v>12</v>
      </c>
    </row>
    <row r="24" spans="1:13">
      <c r="A24" s="250">
        <f t="shared" si="0"/>
        <v>13</v>
      </c>
      <c r="B24" s="425" t="s">
        <v>356</v>
      </c>
      <c r="C24" s="478">
        <v>-8583.7620040680013</v>
      </c>
      <c r="D24" s="478"/>
      <c r="E24" s="478">
        <v>0</v>
      </c>
      <c r="F24" s="478"/>
      <c r="G24" s="478">
        <v>0</v>
      </c>
      <c r="H24" s="843"/>
      <c r="I24" s="381">
        <f>SUM(C24:G24)</f>
        <v>-8583.7620040680013</v>
      </c>
      <c r="J24" s="406" t="s">
        <v>1014</v>
      </c>
      <c r="K24" s="250">
        <f t="shared" si="1"/>
        <v>13</v>
      </c>
    </row>
    <row r="25" spans="1:13">
      <c r="A25" s="250">
        <f t="shared" si="0"/>
        <v>14</v>
      </c>
      <c r="B25" s="425"/>
      <c r="C25" s="164">
        <v>0</v>
      </c>
      <c r="D25" s="164"/>
      <c r="E25" s="164">
        <v>0</v>
      </c>
      <c r="F25" s="164"/>
      <c r="G25" s="164">
        <v>0</v>
      </c>
      <c r="H25" s="164"/>
      <c r="I25" s="164">
        <f>SUM(C25:G25)</f>
        <v>0</v>
      </c>
      <c r="J25" s="164"/>
      <c r="K25" s="250">
        <f t="shared" si="1"/>
        <v>14</v>
      </c>
    </row>
    <row r="26" spans="1:13" ht="16.5" thickBot="1">
      <c r="A26" s="250">
        <f t="shared" si="0"/>
        <v>15</v>
      </c>
      <c r="B26" s="471" t="s">
        <v>357</v>
      </c>
      <c r="C26" s="844">
        <f>SUM(C24:C25)</f>
        <v>-8583.7620040680013</v>
      </c>
      <c r="D26" s="164"/>
      <c r="E26" s="844">
        <f>SUM(E24:E25)</f>
        <v>0</v>
      </c>
      <c r="F26" s="328"/>
      <c r="G26" s="844">
        <f>SUM(G24:G25)</f>
        <v>0</v>
      </c>
      <c r="H26" s="164"/>
      <c r="I26" s="844">
        <f>SUM(I24:I25)</f>
        <v>-8583.7620040680013</v>
      </c>
      <c r="J26" s="845" t="str">
        <f>"Sum Lines "&amp;A24&amp;" thru "&amp;A25</f>
        <v>Sum Lines 13 thru 14</v>
      </c>
      <c r="K26" s="250">
        <f t="shared" si="1"/>
        <v>15</v>
      </c>
    </row>
    <row r="27" spans="1:13" ht="17.25" thickTop="1" thickBot="1">
      <c r="A27" s="250">
        <f t="shared" si="0"/>
        <v>16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50">
        <f t="shared" si="1"/>
        <v>16</v>
      </c>
    </row>
    <row r="28" spans="1:13">
      <c r="A28" s="250">
        <f t="shared" si="0"/>
        <v>17</v>
      </c>
      <c r="K28" s="250">
        <f t="shared" si="1"/>
        <v>17</v>
      </c>
    </row>
    <row r="29" spans="1:13">
      <c r="A29" s="250">
        <f t="shared" si="0"/>
        <v>18</v>
      </c>
      <c r="B29" s="425" t="s">
        <v>903</v>
      </c>
      <c r="C29" s="842"/>
      <c r="D29" s="842"/>
      <c r="E29" s="842"/>
      <c r="F29" s="842"/>
      <c r="G29" s="842"/>
      <c r="H29" s="842"/>
      <c r="I29" s="486"/>
      <c r="J29" s="486"/>
      <c r="K29" s="250">
        <f t="shared" si="1"/>
        <v>18</v>
      </c>
    </row>
    <row r="30" spans="1:13">
      <c r="A30" s="250">
        <f t="shared" si="0"/>
        <v>19</v>
      </c>
      <c r="B30" s="425" t="s">
        <v>350</v>
      </c>
      <c r="C30" s="381">
        <v>0</v>
      </c>
      <c r="D30" s="381"/>
      <c r="E30" s="381">
        <v>0</v>
      </c>
      <c r="F30" s="381"/>
      <c r="G30" s="381">
        <v>0</v>
      </c>
      <c r="H30" s="478"/>
      <c r="I30" s="381">
        <f>SUM(C30:G30)</f>
        <v>0</v>
      </c>
      <c r="J30" s="65" t="str">
        <f>"Not Applicable to "&amp;Automation!$B$3&amp;" Base Period"</f>
        <v>Not Applicable to 2022 Base Period</v>
      </c>
      <c r="K30" s="250">
        <f t="shared" si="1"/>
        <v>19</v>
      </c>
    </row>
    <row r="31" spans="1:13">
      <c r="A31" s="250">
        <f t="shared" si="0"/>
        <v>20</v>
      </c>
      <c r="C31" s="164">
        <v>0</v>
      </c>
      <c r="D31" s="164"/>
      <c r="E31" s="164">
        <v>0</v>
      </c>
      <c r="F31" s="164"/>
      <c r="G31" s="164">
        <v>0</v>
      </c>
      <c r="H31" s="164"/>
      <c r="I31" s="164">
        <f>SUM(C31:G31)</f>
        <v>0</v>
      </c>
      <c r="J31" s="164"/>
      <c r="K31" s="250">
        <f t="shared" si="1"/>
        <v>20</v>
      </c>
    </row>
    <row r="32" spans="1:13" ht="16.5" thickBot="1">
      <c r="A32" s="250">
        <f t="shared" si="0"/>
        <v>21</v>
      </c>
      <c r="B32" s="471" t="s">
        <v>351</v>
      </c>
      <c r="C32" s="844">
        <f>SUM(C30:C31)</f>
        <v>0</v>
      </c>
      <c r="D32" s="164"/>
      <c r="E32" s="844">
        <f>SUM(E30:E31)</f>
        <v>0</v>
      </c>
      <c r="F32" s="328"/>
      <c r="G32" s="844">
        <f>SUM(G30:G31)</f>
        <v>0</v>
      </c>
      <c r="H32" s="164"/>
      <c r="I32" s="844">
        <f>SUM(I30:I31)</f>
        <v>0</v>
      </c>
      <c r="J32" s="845" t="str">
        <f>"Sum Lines "&amp;A30&amp;" thru "&amp;A31</f>
        <v>Sum Lines 19 thru 20</v>
      </c>
      <c r="K32" s="250">
        <f t="shared" si="1"/>
        <v>21</v>
      </c>
    </row>
    <row r="33" spans="1:11" ht="16.5" thickTop="1">
      <c r="A33" s="250">
        <f t="shared" si="0"/>
        <v>22</v>
      </c>
      <c r="C33" s="846"/>
      <c r="D33" s="846"/>
      <c r="E33" s="846"/>
      <c r="F33" s="846"/>
      <c r="G33" s="846"/>
      <c r="H33" s="846"/>
      <c r="I33" s="846"/>
      <c r="J33" s="846"/>
      <c r="K33" s="250">
        <f t="shared" si="1"/>
        <v>22</v>
      </c>
    </row>
    <row r="34" spans="1:11">
      <c r="A34" s="250">
        <f t="shared" si="0"/>
        <v>23</v>
      </c>
      <c r="B34" s="425" t="s">
        <v>896</v>
      </c>
      <c r="C34" s="842"/>
      <c r="D34" s="842"/>
      <c r="E34" s="842"/>
      <c r="F34" s="842"/>
      <c r="G34" s="842"/>
      <c r="H34" s="842"/>
      <c r="I34" s="486"/>
      <c r="J34" s="486"/>
      <c r="K34" s="250">
        <f t="shared" si="1"/>
        <v>23</v>
      </c>
    </row>
    <row r="35" spans="1:11">
      <c r="A35" s="250">
        <f t="shared" si="0"/>
        <v>24</v>
      </c>
      <c r="B35" s="847" t="s">
        <v>353</v>
      </c>
      <c r="C35" s="381">
        <v>-3228.10234012</v>
      </c>
      <c r="D35" s="381"/>
      <c r="E35" s="381">
        <v>0</v>
      </c>
      <c r="F35" s="381"/>
      <c r="G35" s="381">
        <v>0</v>
      </c>
      <c r="H35" s="381"/>
      <c r="I35" s="381">
        <f>SUM(C35:G35)</f>
        <v>-3228.10234012</v>
      </c>
      <c r="J35" s="406" t="s">
        <v>1015</v>
      </c>
      <c r="K35" s="250">
        <f t="shared" si="1"/>
        <v>24</v>
      </c>
    </row>
    <row r="36" spans="1:11">
      <c r="A36" s="250">
        <f t="shared" si="0"/>
        <v>25</v>
      </c>
      <c r="C36" s="164">
        <v>0</v>
      </c>
      <c r="D36" s="164"/>
      <c r="E36" s="164">
        <v>0</v>
      </c>
      <c r="F36" s="164"/>
      <c r="G36" s="164">
        <v>0</v>
      </c>
      <c r="H36" s="164"/>
      <c r="I36" s="164">
        <f>SUM(C36:G36)</f>
        <v>0</v>
      </c>
      <c r="J36" s="164"/>
      <c r="K36" s="250">
        <f t="shared" si="1"/>
        <v>25</v>
      </c>
    </row>
    <row r="37" spans="1:11" ht="16.5" thickBot="1">
      <c r="A37" s="250">
        <f t="shared" si="0"/>
        <v>26</v>
      </c>
      <c r="B37" s="471" t="s">
        <v>354</v>
      </c>
      <c r="C37" s="844">
        <f>SUM(C35:C36)</f>
        <v>-3228.10234012</v>
      </c>
      <c r="D37" s="164"/>
      <c r="E37" s="844">
        <f>SUM(E35:E36)</f>
        <v>0</v>
      </c>
      <c r="F37" s="328"/>
      <c r="G37" s="844">
        <f>SUM(G35:G36)</f>
        <v>0</v>
      </c>
      <c r="H37" s="164"/>
      <c r="I37" s="844">
        <f>SUM(I35:I36)</f>
        <v>-3228.10234012</v>
      </c>
      <c r="J37" s="845" t="str">
        <f>"Sum Lines "&amp;A35&amp;" thru "&amp;A36</f>
        <v>Sum Lines 24 thru 25</v>
      </c>
      <c r="K37" s="250">
        <f t="shared" si="1"/>
        <v>26</v>
      </c>
    </row>
    <row r="38" spans="1:11" ht="16.5" thickTop="1">
      <c r="A38" s="250">
        <f t="shared" si="0"/>
        <v>27</v>
      </c>
      <c r="K38" s="250">
        <f t="shared" si="1"/>
        <v>27</v>
      </c>
    </row>
    <row r="39" spans="1:11">
      <c r="A39" s="250">
        <f t="shared" si="0"/>
        <v>28</v>
      </c>
      <c r="B39" s="425" t="s">
        <v>904</v>
      </c>
      <c r="C39" s="842"/>
      <c r="D39" s="842"/>
      <c r="E39" s="842"/>
      <c r="F39" s="842"/>
      <c r="G39" s="842"/>
      <c r="H39" s="842"/>
      <c r="I39" s="486"/>
      <c r="J39" s="250"/>
      <c r="K39" s="250">
        <f t="shared" si="1"/>
        <v>28</v>
      </c>
    </row>
    <row r="40" spans="1:11">
      <c r="A40" s="250">
        <f t="shared" si="0"/>
        <v>29</v>
      </c>
      <c r="B40" s="425"/>
      <c r="C40" s="381">
        <v>0</v>
      </c>
      <c r="D40" s="381"/>
      <c r="E40" s="381">
        <v>0</v>
      </c>
      <c r="F40" s="381"/>
      <c r="G40" s="381">
        <v>0</v>
      </c>
      <c r="H40" s="381"/>
      <c r="I40" s="381">
        <f>SUM(C40:G40)</f>
        <v>0</v>
      </c>
      <c r="J40" s="65" t="str">
        <f>"Not Applicable to "&amp;Automation!$B$3&amp;" Base Period"</f>
        <v>Not Applicable to 2022 Base Period</v>
      </c>
      <c r="K40" s="250">
        <f t="shared" si="1"/>
        <v>29</v>
      </c>
    </row>
    <row r="41" spans="1:11">
      <c r="A41" s="250">
        <f t="shared" si="0"/>
        <v>30</v>
      </c>
      <c r="B41" s="425"/>
      <c r="C41" s="164">
        <v>0</v>
      </c>
      <c r="D41" s="164"/>
      <c r="E41" s="164">
        <v>0</v>
      </c>
      <c r="F41" s="164"/>
      <c r="G41" s="164">
        <v>0</v>
      </c>
      <c r="H41" s="164"/>
      <c r="I41" s="164">
        <f>SUM(C41:G41)</f>
        <v>0</v>
      </c>
      <c r="J41" s="164"/>
      <c r="K41" s="250">
        <f t="shared" si="1"/>
        <v>30</v>
      </c>
    </row>
    <row r="42" spans="1:11" ht="16.5" thickBot="1">
      <c r="A42" s="250">
        <f t="shared" si="0"/>
        <v>31</v>
      </c>
      <c r="B42" s="471" t="s">
        <v>357</v>
      </c>
      <c r="C42" s="844">
        <f>SUM(C40:C41)</f>
        <v>0</v>
      </c>
      <c r="D42" s="164"/>
      <c r="E42" s="844">
        <f>SUM(E40:E41)</f>
        <v>0</v>
      </c>
      <c r="F42" s="328"/>
      <c r="G42" s="844">
        <f>SUM(G40:G41)</f>
        <v>0</v>
      </c>
      <c r="H42" s="164"/>
      <c r="I42" s="844">
        <f>SUM(I40:I41)</f>
        <v>0</v>
      </c>
      <c r="J42" s="845" t="str">
        <f>"Sum Lines "&amp;A40&amp;" thru "&amp;A41</f>
        <v>Sum Lines 29 thru 30</v>
      </c>
      <c r="K42" s="250">
        <f t="shared" si="1"/>
        <v>31</v>
      </c>
    </row>
    <row r="43" spans="1:11" ht="17.25" thickTop="1" thickBot="1">
      <c r="A43" s="250">
        <f t="shared" si="0"/>
        <v>32</v>
      </c>
      <c r="B43" s="875"/>
      <c r="C43" s="876"/>
      <c r="D43" s="279"/>
      <c r="E43" s="876"/>
      <c r="F43" s="876"/>
      <c r="G43" s="876"/>
      <c r="H43" s="279"/>
      <c r="I43" s="876"/>
      <c r="J43" s="877"/>
      <c r="K43" s="250">
        <f t="shared" si="1"/>
        <v>32</v>
      </c>
    </row>
    <row r="44" spans="1:11">
      <c r="A44" s="250">
        <f t="shared" si="0"/>
        <v>33</v>
      </c>
      <c r="B44" s="471"/>
      <c r="C44" s="328"/>
      <c r="D44" s="164"/>
      <c r="E44" s="328"/>
      <c r="F44" s="328"/>
      <c r="G44" s="328"/>
      <c r="H44" s="164"/>
      <c r="I44" s="328"/>
      <c r="J44" s="845"/>
      <c r="K44" s="250">
        <f t="shared" si="1"/>
        <v>33</v>
      </c>
    </row>
    <row r="45" spans="1:11">
      <c r="A45" s="250">
        <f t="shared" si="0"/>
        <v>34</v>
      </c>
      <c r="B45" s="64" t="s">
        <v>335</v>
      </c>
      <c r="C45" s="11">
        <v>0</v>
      </c>
      <c r="D45" s="164"/>
      <c r="E45" s="11">
        <v>0</v>
      </c>
      <c r="F45" s="328"/>
      <c r="G45" s="11">
        <v>0</v>
      </c>
      <c r="H45" s="164"/>
      <c r="I45" s="381">
        <f>SUM(C45:G45)</f>
        <v>0</v>
      </c>
      <c r="J45" s="65" t="str">
        <f>"Not Applicable to "&amp;Automation!$B$3&amp;" Base Period"</f>
        <v>Not Applicable to 2022 Base Period</v>
      </c>
      <c r="K45" s="250">
        <f t="shared" si="1"/>
        <v>34</v>
      </c>
    </row>
    <row r="46" spans="1:11">
      <c r="B46" s="471"/>
      <c r="C46" s="328"/>
      <c r="D46" s="164"/>
      <c r="E46" s="328"/>
      <c r="F46" s="328"/>
      <c r="G46" s="328"/>
      <c r="H46" s="164"/>
      <c r="I46" s="328"/>
      <c r="J46" s="845"/>
    </row>
    <row r="47" spans="1:11">
      <c r="I47" s="913"/>
    </row>
    <row r="48" spans="1:11" ht="18.75">
      <c r="A48" s="582"/>
      <c r="B48" s="64"/>
    </row>
  </sheetData>
  <mergeCells count="5">
    <mergeCell ref="B2:J2"/>
    <mergeCell ref="B3:J3"/>
    <mergeCell ref="B4:J4"/>
    <mergeCell ref="B5:J5"/>
    <mergeCell ref="B6:J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K58"/>
  <sheetViews>
    <sheetView zoomScale="80" zoomScaleNormal="80" workbookViewId="0"/>
  </sheetViews>
  <sheetFormatPr defaultColWidth="8.7109375" defaultRowHeight="15.75"/>
  <cols>
    <col min="1" max="1" width="5.140625" style="250" bestFit="1" customWidth="1"/>
    <col min="2" max="2" width="45.7109375" style="3" customWidth="1"/>
    <col min="3" max="5" width="18.5703125" style="3" customWidth="1"/>
    <col min="6" max="6" width="25.140625" style="4" customWidth="1"/>
    <col min="7" max="7" width="5.140625" style="250" bestFit="1" customWidth="1"/>
    <col min="8" max="8" width="8.7109375" style="3"/>
    <col min="9" max="9" width="17.7109375" style="3" bestFit="1" customWidth="1"/>
    <col min="10" max="16384" width="8.7109375" style="3"/>
  </cols>
  <sheetData>
    <row r="2" spans="1:11">
      <c r="A2" s="583"/>
      <c r="B2" s="1312" t="str">
        <f>'Summary of Cost Components'!B3:D3</f>
        <v>CITIZENS' SHARE OF THE SX-PQ UNDERGROUND LINE SEGMENT</v>
      </c>
      <c r="C2" s="1312"/>
      <c r="D2" s="1312"/>
      <c r="E2" s="1312"/>
      <c r="F2" s="1312"/>
      <c r="G2" s="583"/>
      <c r="H2" s="103"/>
      <c r="I2" s="103"/>
      <c r="J2" s="103"/>
      <c r="K2" s="103"/>
    </row>
    <row r="3" spans="1:11">
      <c r="A3" s="583"/>
      <c r="B3" s="1312" t="s">
        <v>358</v>
      </c>
      <c r="C3" s="1312"/>
      <c r="D3" s="1312"/>
      <c r="E3" s="1312"/>
      <c r="F3" s="1312"/>
      <c r="G3" s="583"/>
      <c r="H3" s="103"/>
      <c r="I3" s="103"/>
      <c r="J3" s="103"/>
      <c r="K3" s="103"/>
    </row>
    <row r="4" spans="1:11">
      <c r="A4" s="583"/>
      <c r="B4" s="1312" t="str">
        <f>"Base Period &amp; True-Up Period 12 - Months Ending December 31, "&amp;Automation!B3</f>
        <v>Base Period &amp; True-Up Period 12 - Months Ending December 31, 2022</v>
      </c>
      <c r="C4" s="1312"/>
      <c r="D4" s="1312"/>
      <c r="E4" s="1312"/>
      <c r="F4" s="1312"/>
      <c r="G4" s="583"/>
      <c r="H4" s="103"/>
      <c r="I4" s="103"/>
      <c r="J4" s="103"/>
      <c r="K4" s="103"/>
    </row>
    <row r="5" spans="1:11">
      <c r="A5" s="583"/>
      <c r="B5" s="1313" t="s">
        <v>3</v>
      </c>
      <c r="C5" s="1313"/>
      <c r="D5" s="1313"/>
      <c r="E5" s="1313"/>
      <c r="F5" s="1313"/>
      <c r="G5" s="109"/>
      <c r="H5" s="63"/>
      <c r="I5" s="63"/>
      <c r="J5" s="63"/>
      <c r="K5" s="63"/>
    </row>
    <row r="7" spans="1:11">
      <c r="A7" s="735"/>
      <c r="B7" s="978"/>
      <c r="C7" s="1198" t="str">
        <f>"12/31/"&amp;Automation!B3-1</f>
        <v>12/31/2021</v>
      </c>
      <c r="D7" s="1198" t="str">
        <f>"12/31/"&amp;Automation!B3</f>
        <v>12/31/2022</v>
      </c>
      <c r="E7" s="809"/>
      <c r="F7" s="979"/>
      <c r="G7" s="736"/>
      <c r="H7" s="103"/>
      <c r="I7" s="103"/>
      <c r="J7" s="103"/>
      <c r="K7" s="103"/>
    </row>
    <row r="8" spans="1:11">
      <c r="A8" s="735" t="s">
        <v>4</v>
      </c>
      <c r="B8" s="737"/>
      <c r="C8" s="980"/>
      <c r="D8" s="979"/>
      <c r="E8" s="738"/>
      <c r="F8" s="739"/>
      <c r="G8" s="736" t="s">
        <v>4</v>
      </c>
      <c r="H8" s="103"/>
      <c r="I8" s="103"/>
      <c r="J8" s="103"/>
      <c r="K8" s="103"/>
    </row>
    <row r="9" spans="1:11">
      <c r="A9" s="735" t="s">
        <v>5</v>
      </c>
      <c r="B9" s="1154" t="s">
        <v>262</v>
      </c>
      <c r="C9" s="1155" t="s">
        <v>359</v>
      </c>
      <c r="D9" s="1155" t="s">
        <v>359</v>
      </c>
      <c r="E9" s="1156" t="s">
        <v>360</v>
      </c>
      <c r="F9" s="1155" t="s">
        <v>8</v>
      </c>
      <c r="G9" s="736" t="s">
        <v>5</v>
      </c>
      <c r="H9" s="103"/>
      <c r="I9" s="103"/>
      <c r="J9" s="103"/>
      <c r="K9" s="103"/>
    </row>
    <row r="10" spans="1:11">
      <c r="A10" s="735"/>
      <c r="B10" s="103"/>
      <c r="C10" s="642"/>
      <c r="D10" s="639"/>
      <c r="E10" s="640"/>
      <c r="F10" s="427"/>
      <c r="G10" s="736"/>
      <c r="H10" s="103"/>
      <c r="I10" s="103"/>
      <c r="J10" s="103"/>
      <c r="K10" s="103"/>
    </row>
    <row r="11" spans="1:11">
      <c r="A11" s="735">
        <f t="shared" ref="A11:A16" si="0">A10+1</f>
        <v>1</v>
      </c>
      <c r="B11" s="740" t="s">
        <v>361</v>
      </c>
      <c r="C11" s="873">
        <v>-3145.2575391999999</v>
      </c>
      <c r="D11" s="873">
        <v>-3228.10234012</v>
      </c>
      <c r="E11" s="643">
        <f>AVERAGE(C11,D11)</f>
        <v>-3186.6799396599999</v>
      </c>
      <c r="F11" s="428" t="s">
        <v>362</v>
      </c>
      <c r="G11" s="736">
        <f t="shared" ref="G11:G16" si="1">G10+1</f>
        <v>1</v>
      </c>
      <c r="I11" s="741"/>
    </row>
    <row r="12" spans="1:11">
      <c r="A12" s="735">
        <f t="shared" si="0"/>
        <v>2</v>
      </c>
      <c r="B12" s="103"/>
      <c r="C12" s="874"/>
      <c r="D12" s="874"/>
      <c r="E12" s="643"/>
      <c r="F12" s="428"/>
      <c r="G12" s="736">
        <f t="shared" si="1"/>
        <v>2</v>
      </c>
    </row>
    <row r="13" spans="1:11">
      <c r="A13" s="735">
        <f t="shared" si="0"/>
        <v>3</v>
      </c>
      <c r="B13" s="740" t="s">
        <v>363</v>
      </c>
      <c r="C13" s="1157">
        <v>-1574.6675392000002</v>
      </c>
      <c r="D13" s="1157">
        <v>-1814.5940201200001</v>
      </c>
      <c r="E13" s="997">
        <f>AVERAGE(C13,D13)</f>
        <v>-1694.6307796600001</v>
      </c>
      <c r="F13" s="428" t="s">
        <v>216</v>
      </c>
      <c r="G13" s="736">
        <f t="shared" si="1"/>
        <v>3</v>
      </c>
    </row>
    <row r="14" spans="1:11">
      <c r="A14" s="735">
        <f t="shared" si="0"/>
        <v>4</v>
      </c>
      <c r="B14" s="103"/>
      <c r="C14" s="642"/>
      <c r="D14" s="639"/>
      <c r="E14" s="640"/>
      <c r="F14" s="427"/>
      <c r="G14" s="736">
        <f t="shared" si="1"/>
        <v>4</v>
      </c>
    </row>
    <row r="15" spans="1:11" ht="19.5" thickBot="1">
      <c r="A15" s="735">
        <f t="shared" si="0"/>
        <v>5</v>
      </c>
      <c r="B15" s="740" t="s">
        <v>364</v>
      </c>
      <c r="C15" s="641">
        <f>SUM(C11-C13)</f>
        <v>-1570.5899999999997</v>
      </c>
      <c r="D15" s="641">
        <f t="shared" ref="D15:E15" si="2">SUM(D11-D13)</f>
        <v>-1413.5083199999999</v>
      </c>
      <c r="E15" s="641">
        <f t="shared" si="2"/>
        <v>-1492.0491599999998</v>
      </c>
      <c r="F15" s="426" t="str">
        <f>"Line "&amp;A11&amp;" Minus Line "&amp;A13</f>
        <v>Line 1 Minus Line 3</v>
      </c>
      <c r="G15" s="736">
        <f t="shared" si="1"/>
        <v>5</v>
      </c>
    </row>
    <row r="16" spans="1:11" ht="16.5" thickTop="1">
      <c r="A16" s="735">
        <f t="shared" si="0"/>
        <v>6</v>
      </c>
      <c r="B16" s="1158"/>
      <c r="C16" s="1159"/>
      <c r="D16" s="1159"/>
      <c r="E16" s="1158"/>
      <c r="F16" s="1160"/>
      <c r="G16" s="736">
        <f t="shared" si="1"/>
        <v>6</v>
      </c>
    </row>
    <row r="17" spans="1:9">
      <c r="A17" s="742"/>
      <c r="B17" s="103"/>
      <c r="C17" s="103"/>
      <c r="D17" s="103"/>
      <c r="E17" s="103"/>
      <c r="F17" s="102"/>
      <c r="G17" s="742"/>
    </row>
    <row r="18" spans="1:9">
      <c r="A18" s="742"/>
      <c r="B18" s="103"/>
      <c r="C18" s="103"/>
      <c r="D18" s="103"/>
      <c r="E18" s="103"/>
      <c r="F18" s="102"/>
      <c r="G18" s="742"/>
    </row>
    <row r="19" spans="1:9" ht="18.75">
      <c r="A19" s="743">
        <v>1</v>
      </c>
      <c r="B19" s="740" t="s">
        <v>365</v>
      </c>
      <c r="C19" s="103"/>
      <c r="D19" s="103"/>
      <c r="E19" s="103"/>
      <c r="F19" s="102"/>
      <c r="G19" s="742"/>
    </row>
    <row r="20" spans="1:9" ht="18.75">
      <c r="A20" s="584"/>
      <c r="B20" s="914"/>
      <c r="C20" s="103"/>
      <c r="D20" s="103"/>
      <c r="E20" s="103"/>
      <c r="F20" s="102"/>
      <c r="G20" s="583"/>
    </row>
    <row r="21" spans="1:9">
      <c r="A21" s="583"/>
      <c r="B21" s="914"/>
      <c r="C21" s="103"/>
      <c r="D21" s="103"/>
      <c r="E21" s="103"/>
      <c r="F21" s="102"/>
      <c r="G21" s="583"/>
    </row>
    <row r="22" spans="1:9">
      <c r="A22" s="583"/>
      <c r="B22" s="740"/>
      <c r="C22" s="103"/>
      <c r="D22" s="103"/>
      <c r="E22" s="103"/>
      <c r="F22" s="102"/>
      <c r="G22" s="583"/>
    </row>
    <row r="23" spans="1:9">
      <c r="A23" s="583"/>
      <c r="B23" s="740"/>
      <c r="C23" s="103"/>
      <c r="D23" s="103"/>
      <c r="E23" s="103"/>
      <c r="F23" s="102"/>
      <c r="G23" s="583"/>
    </row>
    <row r="26" spans="1:9">
      <c r="C26" s="741"/>
    </row>
    <row r="27" spans="1:9">
      <c r="I27" s="103"/>
    </row>
    <row r="28" spans="1:9">
      <c r="I28" s="103"/>
    </row>
    <row r="29" spans="1:9">
      <c r="I29" s="103"/>
    </row>
    <row r="30" spans="1:9">
      <c r="I30" s="103"/>
    </row>
    <row r="31" spans="1:9">
      <c r="I31" s="103"/>
    </row>
    <row r="32" spans="1:9">
      <c r="I32" s="103"/>
    </row>
    <row r="33" spans="9:9">
      <c r="I33" s="103"/>
    </row>
    <row r="34" spans="9:9">
      <c r="I34" s="103"/>
    </row>
    <row r="35" spans="9:9">
      <c r="I35" s="103"/>
    </row>
    <row r="36" spans="9:9">
      <c r="I36" s="103"/>
    </row>
    <row r="37" spans="9:9">
      <c r="I37" s="103"/>
    </row>
    <row r="38" spans="9:9">
      <c r="I38" s="103"/>
    </row>
    <row r="39" spans="9:9">
      <c r="I39" s="103"/>
    </row>
    <row r="40" spans="9:9">
      <c r="I40" s="103"/>
    </row>
    <row r="41" spans="9:9">
      <c r="I41" s="103"/>
    </row>
    <row r="42" spans="9:9">
      <c r="I42" s="744"/>
    </row>
    <row r="43" spans="9:9">
      <c r="I43" s="744"/>
    </row>
    <row r="44" spans="9:9">
      <c r="I44" s="744"/>
    </row>
    <row r="45" spans="9:9">
      <c r="I45" s="744"/>
    </row>
    <row r="46" spans="9:9">
      <c r="I46" s="744"/>
    </row>
    <row r="47" spans="9:9">
      <c r="I47" s="744"/>
    </row>
    <row r="48" spans="9:9">
      <c r="I48" s="103"/>
    </row>
    <row r="49" spans="9:9">
      <c r="I49" s="103"/>
    </row>
    <row r="50" spans="9:9">
      <c r="I50" s="103"/>
    </row>
    <row r="51" spans="9:9">
      <c r="I51" s="103"/>
    </row>
    <row r="52" spans="9:9">
      <c r="I52" s="103"/>
    </row>
    <row r="53" spans="9:9">
      <c r="I53" s="103"/>
    </row>
    <row r="54" spans="9:9">
      <c r="I54" s="103"/>
    </row>
    <row r="55" spans="9:9">
      <c r="I55" s="103"/>
    </row>
    <row r="56" spans="9:9">
      <c r="I56" s="103"/>
    </row>
    <row r="57" spans="9:9">
      <c r="I57" s="103"/>
    </row>
    <row r="58" spans="9:9">
      <c r="I58" s="103"/>
    </row>
  </sheetData>
  <mergeCells count="4">
    <mergeCell ref="B2:F2"/>
    <mergeCell ref="B3:F3"/>
    <mergeCell ref="B4:F4"/>
    <mergeCell ref="B5:F5"/>
  </mergeCells>
  <printOptions horizontalCentered="1"/>
  <pageMargins left="0.5" right="0.5" top="0.5" bottom="0.5" header="0.25" footer="0.25"/>
  <pageSetup scale="93" orientation="landscape" r:id="rId1"/>
  <headerFooter scaleWithDoc="0">
    <oddFooter>&amp;C&amp;"Times New Roman,Regular"&amp;10&amp;A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I16"/>
  <sheetViews>
    <sheetView zoomScale="80" zoomScaleNormal="80" zoomScalePageLayoutView="80" workbookViewId="0">
      <selection activeCell="B24" sqref="B24"/>
    </sheetView>
  </sheetViews>
  <sheetFormatPr defaultColWidth="9.140625" defaultRowHeight="15.75"/>
  <cols>
    <col min="1" max="1" width="5.140625" style="250" customWidth="1"/>
    <col min="2" max="2" width="56" style="219" customWidth="1"/>
    <col min="3" max="3" width="24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34.5703125" style="219" customWidth="1"/>
    <col min="8" max="8" width="5.140625" style="219" customWidth="1"/>
    <col min="9" max="9" width="9.140625" style="219"/>
    <col min="10" max="10" width="20.28515625" style="219" bestFit="1" customWidth="1"/>
    <col min="11" max="16384" width="9.140625" style="219"/>
  </cols>
  <sheetData>
    <row r="1" spans="1:9">
      <c r="E1" s="250"/>
      <c r="F1" s="250"/>
      <c r="G1" s="250"/>
      <c r="H1" s="250"/>
    </row>
    <row r="2" spans="1:9">
      <c r="B2" s="1299" t="s">
        <v>0</v>
      </c>
      <c r="C2" s="1299"/>
      <c r="D2" s="1299"/>
      <c r="E2" s="1299"/>
      <c r="F2" s="1299"/>
      <c r="G2" s="1299"/>
      <c r="H2" s="250"/>
    </row>
    <row r="3" spans="1:9">
      <c r="B3" s="1299" t="s">
        <v>366</v>
      </c>
      <c r="C3" s="1299"/>
      <c r="D3" s="1299"/>
      <c r="E3" s="1299"/>
      <c r="F3" s="1299"/>
      <c r="G3" s="1299"/>
      <c r="H3" s="250"/>
    </row>
    <row r="4" spans="1:9">
      <c r="B4" s="1299" t="s">
        <v>367</v>
      </c>
      <c r="C4" s="1299"/>
      <c r="D4" s="1299"/>
      <c r="E4" s="1299"/>
      <c r="F4" s="1299"/>
      <c r="G4" s="1299"/>
      <c r="H4" s="250"/>
    </row>
    <row r="5" spans="1:9">
      <c r="B5" s="1301" t="str">
        <f>'A. Sec.1 - Direct Maintenance'!B5</f>
        <v>Base Period &amp; True-Up Period 12 - Months Ending December 31, 2022</v>
      </c>
      <c r="C5" s="1301"/>
      <c r="D5" s="1301"/>
      <c r="E5" s="1301"/>
      <c r="F5" s="1301"/>
      <c r="G5" s="1301"/>
      <c r="H5" s="250"/>
    </row>
    <row r="6" spans="1:9">
      <c r="B6" s="1297" t="s">
        <v>3</v>
      </c>
      <c r="C6" s="1311"/>
      <c r="D6" s="1311"/>
      <c r="E6" s="1311"/>
      <c r="F6" s="1311"/>
      <c r="G6" s="1311"/>
      <c r="H6" s="250"/>
    </row>
    <row r="7" spans="1:9">
      <c r="B7" s="250"/>
      <c r="C7" s="250"/>
      <c r="D7" s="250"/>
      <c r="E7" s="250"/>
      <c r="F7" s="250"/>
      <c r="G7" s="250"/>
      <c r="H7" s="250"/>
    </row>
    <row r="8" spans="1:9">
      <c r="A8" s="250" t="s">
        <v>4</v>
      </c>
      <c r="B8" s="556"/>
      <c r="C8" s="250" t="s">
        <v>189</v>
      </c>
      <c r="D8" s="556"/>
      <c r="E8" s="417"/>
      <c r="F8" s="250"/>
      <c r="G8" s="250"/>
      <c r="H8" s="250" t="s">
        <v>4</v>
      </c>
    </row>
    <row r="9" spans="1:9">
      <c r="A9" s="250" t="s">
        <v>5</v>
      </c>
      <c r="C9" s="1003" t="s">
        <v>191</v>
      </c>
      <c r="E9" s="1004" t="s">
        <v>192</v>
      </c>
      <c r="F9" s="556"/>
      <c r="G9" s="1003" t="s">
        <v>8</v>
      </c>
      <c r="H9" s="250" t="s">
        <v>5</v>
      </c>
    </row>
    <row r="10" spans="1:9">
      <c r="E10" s="250"/>
      <c r="F10" s="250"/>
      <c r="G10" s="250"/>
      <c r="H10" s="250"/>
    </row>
    <row r="11" spans="1:9" s="418" customFormat="1" ht="19.5" thickBot="1">
      <c r="A11" s="250">
        <v>1</v>
      </c>
      <c r="B11" s="17" t="s">
        <v>368</v>
      </c>
      <c r="C11" s="250">
        <v>214</v>
      </c>
      <c r="D11" s="219"/>
      <c r="E11" s="538">
        <f>'AG-1'!C31</f>
        <v>0</v>
      </c>
      <c r="F11" s="250"/>
      <c r="G11" s="250" t="str">
        <f>"AG-1; Line "&amp;'AG-1'!A31</f>
        <v>AG-1; Line 18</v>
      </c>
      <c r="H11" s="250">
        <f>A11</f>
        <v>1</v>
      </c>
      <c r="I11" s="219"/>
    </row>
    <row r="12" spans="1:9" s="418" customFormat="1" ht="16.5" thickTop="1">
      <c r="A12" s="250"/>
      <c r="B12" s="219"/>
      <c r="C12" s="250"/>
      <c r="D12" s="219"/>
      <c r="E12" s="375"/>
      <c r="F12" s="250"/>
      <c r="G12" s="250"/>
      <c r="H12" s="250"/>
      <c r="I12" s="219"/>
    </row>
    <row r="14" spans="1:9" ht="18.75">
      <c r="A14" s="377">
        <v>1</v>
      </c>
      <c r="B14" s="136" t="s">
        <v>935</v>
      </c>
    </row>
    <row r="15" spans="1:9" ht="18.75">
      <c r="A15" s="424"/>
      <c r="B15" s="219" t="s">
        <v>1009</v>
      </c>
    </row>
    <row r="16" spans="1:9">
      <c r="A16" s="219"/>
      <c r="B16" s="136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Roman,Regular"&amp;10AG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M32"/>
  <sheetViews>
    <sheetView zoomScale="80" zoomScaleNormal="80" workbookViewId="0"/>
  </sheetViews>
  <sheetFormatPr defaultColWidth="8.7109375" defaultRowHeight="15.75"/>
  <cols>
    <col min="1" max="1" width="5.140625" style="119" customWidth="1"/>
    <col min="2" max="2" width="35.140625" style="136" customWidth="1"/>
    <col min="3" max="3" width="18.5703125" style="136" customWidth="1"/>
    <col min="4" max="4" width="62.5703125" style="136" customWidth="1"/>
    <col min="5" max="5" width="5.140625" style="119" customWidth="1"/>
    <col min="6" max="9" width="8.7109375" style="136"/>
    <col min="10" max="10" width="12.7109375" style="136" bestFit="1" customWidth="1"/>
    <col min="11" max="11" width="8.7109375" style="136"/>
    <col min="12" max="12" width="14" style="136" bestFit="1" customWidth="1"/>
    <col min="13" max="16384" width="8.7109375" style="136"/>
  </cols>
  <sheetData>
    <row r="2" spans="1:13" s="110" customFormat="1">
      <c r="A2" s="109"/>
      <c r="B2" s="1305" t="s">
        <v>0</v>
      </c>
      <c r="C2" s="1305"/>
      <c r="D2" s="1305"/>
      <c r="E2" s="109"/>
    </row>
    <row r="3" spans="1:13" s="110" customFormat="1">
      <c r="A3" s="109"/>
      <c r="B3" s="1305" t="s">
        <v>369</v>
      </c>
      <c r="C3" s="1305"/>
      <c r="D3" s="1305"/>
      <c r="E3" s="109"/>
    </row>
    <row r="4" spans="1:13" s="110" customFormat="1">
      <c r="A4" s="109"/>
      <c r="B4" s="1305" t="s">
        <v>370</v>
      </c>
      <c r="C4" s="1305"/>
      <c r="D4" s="1305"/>
      <c r="E4" s="109"/>
    </row>
    <row r="5" spans="1:13" s="110" customFormat="1">
      <c r="A5" s="109"/>
      <c r="B5" s="1305" t="s">
        <v>371</v>
      </c>
      <c r="C5" s="1305"/>
      <c r="D5" s="1305"/>
      <c r="E5" s="109"/>
    </row>
    <row r="6" spans="1:13" s="110" customFormat="1">
      <c r="A6" s="109"/>
      <c r="B6" s="1305" t="str">
        <f>"BASE PERIOD / TRUE UP PERIOD - 12/31/"&amp;Automation!$B$3</f>
        <v>BASE PERIOD / TRUE UP PERIOD - 12/31/2022</v>
      </c>
      <c r="C6" s="1305"/>
      <c r="D6" s="1305"/>
      <c r="E6" s="109"/>
    </row>
    <row r="7" spans="1:13" s="110" customFormat="1">
      <c r="A7" s="109"/>
      <c r="B7" s="1309" t="s">
        <v>3</v>
      </c>
      <c r="C7" s="1309"/>
      <c r="D7" s="1309"/>
      <c r="E7" s="109"/>
    </row>
    <row r="8" spans="1:13" s="110" customFormat="1">
      <c r="A8" s="109"/>
      <c r="B8" s="111"/>
      <c r="C8" s="111"/>
      <c r="D8" s="111"/>
      <c r="E8" s="109"/>
    </row>
    <row r="9" spans="1:13" s="110" customFormat="1">
      <c r="A9" s="109"/>
      <c r="B9" s="1305" t="s">
        <v>240</v>
      </c>
      <c r="C9" s="1305"/>
      <c r="D9" s="1305"/>
      <c r="E9" s="109"/>
    </row>
    <row r="10" spans="1:13">
      <c r="B10" s="223"/>
      <c r="C10" s="224"/>
      <c r="D10" s="224"/>
    </row>
    <row r="11" spans="1:13">
      <c r="B11" s="862"/>
      <c r="C11" s="963" t="s">
        <v>241</v>
      </c>
      <c r="D11" s="864"/>
    </row>
    <row r="12" spans="1:13">
      <c r="A12" s="119" t="s">
        <v>4</v>
      </c>
      <c r="B12" s="130"/>
      <c r="C12" s="116" t="s">
        <v>372</v>
      </c>
      <c r="D12" s="166"/>
      <c r="E12" s="119" t="s">
        <v>4</v>
      </c>
      <c r="H12" s="111"/>
      <c r="I12" s="111"/>
      <c r="J12" s="111"/>
      <c r="K12" s="111"/>
      <c r="L12" s="111"/>
      <c r="M12" s="111"/>
    </row>
    <row r="13" spans="1:13">
      <c r="A13" s="119" t="s">
        <v>5</v>
      </c>
      <c r="B13" s="1021" t="s">
        <v>124</v>
      </c>
      <c r="C13" s="1161" t="s">
        <v>373</v>
      </c>
      <c r="D13" s="1021" t="s">
        <v>8</v>
      </c>
      <c r="E13" s="119" t="s">
        <v>5</v>
      </c>
      <c r="H13" s="111"/>
      <c r="I13" s="110"/>
      <c r="J13" s="110"/>
      <c r="K13" s="109"/>
      <c r="L13" s="110"/>
      <c r="M13" s="111"/>
    </row>
    <row r="14" spans="1:13">
      <c r="A14" s="119">
        <v>1</v>
      </c>
      <c r="B14" s="122" t="str">
        <f>"Dec-"&amp;RIGHT(Automation!$B$3-1,2)</f>
        <v>Dec-21</v>
      </c>
      <c r="C14" s="225">
        <v>0</v>
      </c>
      <c r="D14" s="531" t="s">
        <v>216</v>
      </c>
      <c r="E14" s="119">
        <f>A14</f>
        <v>1</v>
      </c>
      <c r="G14" s="226"/>
      <c r="H14" s="111"/>
      <c r="I14" s="109"/>
      <c r="J14" s="109"/>
      <c r="K14" s="109"/>
      <c r="L14" s="111"/>
      <c r="M14" s="111"/>
    </row>
    <row r="15" spans="1:13">
      <c r="A15" s="119">
        <f>A14+1</f>
        <v>2</v>
      </c>
      <c r="B15" s="122" t="str">
        <f>"Jan-"&amp;RIGHT(Automation!$B$3,2)</f>
        <v>Jan-22</v>
      </c>
      <c r="C15" s="179">
        <v>0</v>
      </c>
      <c r="D15" s="179"/>
      <c r="E15" s="119">
        <f>E14+1</f>
        <v>2</v>
      </c>
      <c r="G15" s="226"/>
      <c r="H15" s="111"/>
      <c r="I15" s="109"/>
      <c r="J15" s="109"/>
      <c r="K15" s="109"/>
      <c r="L15" s="111"/>
      <c r="M15" s="111"/>
    </row>
    <row r="16" spans="1:13">
      <c r="A16" s="119">
        <f t="shared" ref="A16:A32" si="0">A15+1</f>
        <v>3</v>
      </c>
      <c r="B16" s="122" t="s">
        <v>217</v>
      </c>
      <c r="C16" s="179">
        <v>0</v>
      </c>
      <c r="D16" s="179"/>
      <c r="E16" s="119">
        <f t="shared" ref="E16:E32" si="1">E15+1</f>
        <v>3</v>
      </c>
      <c r="G16" s="226"/>
      <c r="H16" s="111"/>
      <c r="I16" s="109"/>
      <c r="J16" s="109"/>
      <c r="K16" s="109"/>
      <c r="L16" s="111"/>
      <c r="M16" s="111"/>
    </row>
    <row r="17" spans="1:13">
      <c r="A17" s="119">
        <f t="shared" si="0"/>
        <v>4</v>
      </c>
      <c r="B17" s="122" t="s">
        <v>218</v>
      </c>
      <c r="C17" s="179">
        <v>0</v>
      </c>
      <c r="D17" s="179"/>
      <c r="E17" s="119">
        <f t="shared" si="1"/>
        <v>4</v>
      </c>
      <c r="H17" s="111"/>
      <c r="I17" s="109"/>
      <c r="J17" s="227"/>
      <c r="K17" s="109"/>
      <c r="L17" s="111"/>
      <c r="M17" s="111"/>
    </row>
    <row r="18" spans="1:13">
      <c r="A18" s="119">
        <f t="shared" si="0"/>
        <v>5</v>
      </c>
      <c r="B18" s="122" t="s">
        <v>219</v>
      </c>
      <c r="C18" s="179">
        <v>0</v>
      </c>
      <c r="D18" s="179"/>
      <c r="E18" s="119">
        <f t="shared" si="1"/>
        <v>5</v>
      </c>
      <c r="H18" s="111"/>
      <c r="I18" s="109"/>
      <c r="J18" s="227"/>
      <c r="K18" s="109"/>
      <c r="L18" s="111"/>
      <c r="M18" s="111"/>
    </row>
    <row r="19" spans="1:13">
      <c r="A19" s="119">
        <f t="shared" si="0"/>
        <v>6</v>
      </c>
      <c r="B19" s="122" t="s">
        <v>161</v>
      </c>
      <c r="C19" s="179">
        <v>0</v>
      </c>
      <c r="D19" s="179"/>
      <c r="E19" s="119">
        <f t="shared" si="1"/>
        <v>6</v>
      </c>
      <c r="H19" s="111"/>
      <c r="I19" s="227"/>
      <c r="J19" s="227"/>
      <c r="K19" s="228"/>
      <c r="L19" s="229"/>
      <c r="M19" s="111"/>
    </row>
    <row r="20" spans="1:13">
      <c r="A20" s="119">
        <f>A19+1</f>
        <v>7</v>
      </c>
      <c r="B20" s="122" t="s">
        <v>220</v>
      </c>
      <c r="C20" s="179">
        <v>0</v>
      </c>
      <c r="D20" s="179"/>
      <c r="E20" s="119">
        <f>E19+1</f>
        <v>7</v>
      </c>
      <c r="H20" s="111"/>
      <c r="I20" s="230"/>
      <c r="J20" s="231"/>
      <c r="K20" s="232"/>
      <c r="L20" s="233"/>
      <c r="M20" s="111"/>
    </row>
    <row r="21" spans="1:13">
      <c r="A21" s="119">
        <f t="shared" si="0"/>
        <v>8</v>
      </c>
      <c r="B21" s="122" t="s">
        <v>221</v>
      </c>
      <c r="C21" s="179">
        <v>0</v>
      </c>
      <c r="D21" s="179"/>
      <c r="E21" s="119">
        <f t="shared" si="1"/>
        <v>8</v>
      </c>
      <c r="H21" s="111"/>
      <c r="I21" s="234"/>
      <c r="J21" s="234"/>
      <c r="K21" s="229"/>
      <c r="L21" s="229"/>
      <c r="M21" s="111"/>
    </row>
    <row r="22" spans="1:13">
      <c r="A22" s="119">
        <f t="shared" si="0"/>
        <v>9</v>
      </c>
      <c r="B22" s="122" t="s">
        <v>222</v>
      </c>
      <c r="C22" s="179">
        <v>0</v>
      </c>
      <c r="D22" s="179"/>
      <c r="E22" s="119">
        <f t="shared" si="1"/>
        <v>9</v>
      </c>
      <c r="H22" s="111"/>
      <c r="I22" s="230"/>
      <c r="J22" s="231"/>
      <c r="K22" s="235"/>
      <c r="L22" s="233"/>
      <c r="M22" s="111"/>
    </row>
    <row r="23" spans="1:13">
      <c r="A23" s="119">
        <f t="shared" si="0"/>
        <v>10</v>
      </c>
      <c r="B23" s="122" t="s">
        <v>223</v>
      </c>
      <c r="C23" s="179">
        <v>0</v>
      </c>
      <c r="D23" s="179"/>
      <c r="E23" s="119">
        <f t="shared" si="1"/>
        <v>10</v>
      </c>
      <c r="H23" s="111"/>
      <c r="I23" s="110"/>
      <c r="J23" s="110"/>
      <c r="K23" s="229"/>
      <c r="L23" s="229"/>
      <c r="M23" s="111"/>
    </row>
    <row r="24" spans="1:13">
      <c r="A24" s="119">
        <f t="shared" si="0"/>
        <v>11</v>
      </c>
      <c r="B24" s="122" t="s">
        <v>224</v>
      </c>
      <c r="C24" s="179">
        <v>0</v>
      </c>
      <c r="D24" s="179"/>
      <c r="E24" s="119">
        <f t="shared" si="1"/>
        <v>11</v>
      </c>
      <c r="H24" s="111"/>
      <c r="I24" s="110"/>
      <c r="J24" s="110"/>
      <c r="K24" s="228"/>
      <c r="L24" s="229"/>
      <c r="M24" s="111"/>
    </row>
    <row r="25" spans="1:13">
      <c r="A25" s="119">
        <f t="shared" si="0"/>
        <v>12</v>
      </c>
      <c r="B25" s="122" t="s">
        <v>225</v>
      </c>
      <c r="C25" s="179">
        <v>0</v>
      </c>
      <c r="D25" s="179"/>
      <c r="E25" s="119">
        <f t="shared" si="1"/>
        <v>12</v>
      </c>
      <c r="H25" s="111"/>
      <c r="I25" s="110"/>
      <c r="J25" s="110"/>
      <c r="K25" s="228"/>
      <c r="L25" s="229"/>
      <c r="M25" s="111"/>
    </row>
    <row r="26" spans="1:13">
      <c r="A26" s="119">
        <f t="shared" si="0"/>
        <v>13</v>
      </c>
      <c r="B26" s="1038" t="str">
        <f>"Dec-"&amp;RIGHT(Automation!$B$3,2)</f>
        <v>Dec-22</v>
      </c>
      <c r="C26" s="1124">
        <v>0</v>
      </c>
      <c r="D26" s="1139" t="s">
        <v>216</v>
      </c>
      <c r="E26" s="119">
        <f t="shared" si="1"/>
        <v>13</v>
      </c>
      <c r="H26" s="111"/>
      <c r="I26" s="110"/>
      <c r="J26" s="110"/>
      <c r="K26" s="236"/>
      <c r="L26" s="155"/>
      <c r="M26" s="111"/>
    </row>
    <row r="27" spans="1:13">
      <c r="A27" s="119">
        <f t="shared" si="0"/>
        <v>14</v>
      </c>
      <c r="B27" s="130"/>
      <c r="C27" s="981"/>
      <c r="D27" s="981"/>
      <c r="E27" s="119">
        <f t="shared" si="1"/>
        <v>14</v>
      </c>
    </row>
    <row r="28" spans="1:13">
      <c r="A28" s="119">
        <f t="shared" si="0"/>
        <v>15</v>
      </c>
      <c r="B28" s="130" t="s">
        <v>226</v>
      </c>
      <c r="C28" s="237">
        <f>SUM(C14:C26)</f>
        <v>0</v>
      </c>
      <c r="D28" s="526" t="str">
        <f>"Sum Lines "&amp;A14&amp;" thru "&amp;A26</f>
        <v>Sum Lines 1 thru 13</v>
      </c>
      <c r="E28" s="119">
        <f t="shared" si="1"/>
        <v>15</v>
      </c>
    </row>
    <row r="29" spans="1:13">
      <c r="A29" s="119">
        <f t="shared" si="0"/>
        <v>16</v>
      </c>
      <c r="B29" s="1022"/>
      <c r="C29" s="1162"/>
      <c r="D29" s="1124"/>
      <c r="E29" s="119">
        <f t="shared" si="1"/>
        <v>16</v>
      </c>
    </row>
    <row r="30" spans="1:13">
      <c r="A30" s="119">
        <f t="shared" si="0"/>
        <v>17</v>
      </c>
      <c r="B30" s="130"/>
      <c r="C30" s="982"/>
      <c r="D30" s="983"/>
      <c r="E30" s="119">
        <f t="shared" si="1"/>
        <v>17</v>
      </c>
    </row>
    <row r="31" spans="1:13">
      <c r="A31" s="119">
        <f t="shared" si="0"/>
        <v>18</v>
      </c>
      <c r="B31" s="130" t="s">
        <v>374</v>
      </c>
      <c r="C31" s="202">
        <f>C28/13</f>
        <v>0</v>
      </c>
      <c r="D31" s="1242"/>
      <c r="E31" s="119">
        <f t="shared" si="1"/>
        <v>18</v>
      </c>
    </row>
    <row r="32" spans="1:13">
      <c r="A32" s="119">
        <f t="shared" si="0"/>
        <v>19</v>
      </c>
      <c r="B32" s="1022"/>
      <c r="C32" s="1047"/>
      <c r="D32" s="1047"/>
      <c r="E32" s="119">
        <f t="shared" si="1"/>
        <v>19</v>
      </c>
    </row>
  </sheetData>
  <mergeCells count="7">
    <mergeCell ref="B7:D7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EACE-4BE8-4058-B897-A1BA1BD93627}">
  <sheetPr>
    <pageSetUpPr fitToPage="1"/>
  </sheetPr>
  <dimension ref="A2:H25"/>
  <sheetViews>
    <sheetView zoomScale="80" zoomScaleNormal="80" zoomScaleSheetLayoutView="7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4" width="18.5703125" style="114" customWidth="1"/>
    <col min="5" max="5" width="18.5703125" style="110" customWidth="1"/>
    <col min="6" max="6" width="55" style="110" customWidth="1"/>
    <col min="7" max="7" width="5.140625" style="109" customWidth="1"/>
    <col min="8" max="8" width="24" style="110" customWidth="1"/>
    <col min="9" max="9" width="11" style="110" customWidth="1"/>
    <col min="10" max="10" width="7.140625" style="110" customWidth="1"/>
    <col min="11" max="11" width="9.140625" style="110" customWidth="1"/>
    <col min="12" max="12" width="14" style="110" customWidth="1"/>
    <col min="13" max="13" width="13.28515625" style="110" customWidth="1"/>
    <col min="14" max="16384" width="9.140625" style="110"/>
  </cols>
  <sheetData>
    <row r="2" spans="1:8">
      <c r="B2" s="1305" t="s">
        <v>0</v>
      </c>
      <c r="C2" s="1305"/>
      <c r="D2" s="1305"/>
      <c r="E2" s="1305"/>
      <c r="F2" s="1305"/>
    </row>
    <row r="3" spans="1:8">
      <c r="B3" s="1305" t="s">
        <v>369</v>
      </c>
      <c r="C3" s="1305"/>
      <c r="D3" s="1305"/>
      <c r="E3" s="1305"/>
      <c r="F3" s="1305"/>
    </row>
    <row r="4" spans="1:8">
      <c r="B4" s="1305" t="s">
        <v>370</v>
      </c>
      <c r="C4" s="1305"/>
      <c r="D4" s="1305"/>
      <c r="E4" s="1305"/>
      <c r="F4" s="1305"/>
    </row>
    <row r="5" spans="1:8">
      <c r="B5" s="1305" t="str">
        <f>"BASE PERIOD / TRUE UP PERIOD - 12/31/"&amp;Automation!$B$3</f>
        <v>BASE PERIOD / TRUE UP PERIOD - 12/31/2022</v>
      </c>
      <c r="C5" s="1305"/>
      <c r="D5" s="1305"/>
      <c r="E5" s="1305"/>
      <c r="F5" s="1305"/>
    </row>
    <row r="6" spans="1:8">
      <c r="B6" s="1309" t="s">
        <v>3</v>
      </c>
      <c r="C6" s="1309"/>
      <c r="D6" s="1309"/>
      <c r="E6" s="1309"/>
      <c r="F6" s="1309"/>
    </row>
    <row r="8" spans="1:8">
      <c r="B8" s="862"/>
      <c r="C8" s="810" t="s">
        <v>77</v>
      </c>
      <c r="D8" s="530" t="s">
        <v>78</v>
      </c>
      <c r="E8" s="530" t="s">
        <v>375</v>
      </c>
      <c r="F8" s="864"/>
    </row>
    <row r="9" spans="1:8">
      <c r="A9" s="119"/>
      <c r="B9" s="116"/>
      <c r="C9" s="121" t="s">
        <v>376</v>
      </c>
      <c r="D9" s="121" t="s">
        <v>377</v>
      </c>
      <c r="E9" s="121" t="s">
        <v>378</v>
      </c>
      <c r="F9" s="158"/>
      <c r="G9" s="119"/>
    </row>
    <row r="10" spans="1:8">
      <c r="A10" s="119" t="s">
        <v>4</v>
      </c>
      <c r="B10" s="116" t="s">
        <v>379</v>
      </c>
      <c r="C10" s="121" t="s">
        <v>7</v>
      </c>
      <c r="D10" s="121" t="s">
        <v>7</v>
      </c>
      <c r="E10" s="121" t="s">
        <v>7</v>
      </c>
      <c r="F10" s="116"/>
      <c r="G10" s="119" t="s">
        <v>4</v>
      </c>
    </row>
    <row r="11" spans="1:8">
      <c r="A11" s="119" t="s">
        <v>5</v>
      </c>
      <c r="B11" s="1021" t="s">
        <v>262</v>
      </c>
      <c r="C11" s="1119" t="s">
        <v>380</v>
      </c>
      <c r="D11" s="1021" t="s">
        <v>380</v>
      </c>
      <c r="E11" s="1119" t="s">
        <v>380</v>
      </c>
      <c r="F11" s="1021" t="s">
        <v>8</v>
      </c>
      <c r="G11" s="119" t="s">
        <v>5</v>
      </c>
    </row>
    <row r="12" spans="1:8">
      <c r="A12" s="119">
        <v>1</v>
      </c>
      <c r="B12" s="984"/>
      <c r="C12" s="985">
        <v>0</v>
      </c>
      <c r="D12" s="985">
        <f>E12-C12</f>
        <v>0</v>
      </c>
      <c r="E12" s="986">
        <v>0</v>
      </c>
      <c r="F12" s="987"/>
      <c r="G12" s="119">
        <f>A12</f>
        <v>1</v>
      </c>
    </row>
    <row r="13" spans="1:8">
      <c r="A13" s="119">
        <f>A12+1</f>
        <v>2</v>
      </c>
      <c r="B13" s="122"/>
      <c r="C13" s="178">
        <v>0</v>
      </c>
      <c r="D13" s="178">
        <v>0</v>
      </c>
      <c r="E13" s="179">
        <v>0</v>
      </c>
      <c r="F13" s="534"/>
      <c r="G13" s="119">
        <f>G12+1</f>
        <v>2</v>
      </c>
      <c r="H13" s="140"/>
    </row>
    <row r="14" spans="1:8">
      <c r="A14" s="119">
        <f t="shared" ref="A14:A17" si="0">A13+1</f>
        <v>3</v>
      </c>
      <c r="B14" s="1128"/>
      <c r="C14" s="1124">
        <v>0</v>
      </c>
      <c r="D14" s="1124">
        <v>0</v>
      </c>
      <c r="E14" s="1124">
        <v>0</v>
      </c>
      <c r="F14" s="1128"/>
      <c r="G14" s="119">
        <f t="shared" ref="G14:G17" si="1">G13+1</f>
        <v>3</v>
      </c>
    </row>
    <row r="15" spans="1:8">
      <c r="A15" s="119">
        <f t="shared" si="0"/>
        <v>4</v>
      </c>
      <c r="B15" s="130"/>
      <c r="C15" s="143"/>
      <c r="D15" s="143"/>
      <c r="E15" s="143"/>
      <c r="F15" s="148"/>
      <c r="G15" s="119">
        <f t="shared" si="1"/>
        <v>4</v>
      </c>
    </row>
    <row r="16" spans="1:8">
      <c r="A16" s="119">
        <f t="shared" si="0"/>
        <v>5</v>
      </c>
      <c r="B16" s="130" t="s">
        <v>80</v>
      </c>
      <c r="C16" s="132">
        <f>SUM(C12:C14)</f>
        <v>0</v>
      </c>
      <c r="D16" s="132">
        <f>SUM(D12:D14)</f>
        <v>0</v>
      </c>
      <c r="E16" s="132">
        <f>SUM(E12:E14)</f>
        <v>0</v>
      </c>
      <c r="F16" s="531" t="str">
        <f>"Sum Lines "&amp;A12&amp;" thru "&amp;A14</f>
        <v>Sum Lines 1 thru 3</v>
      </c>
      <c r="G16" s="119">
        <f t="shared" si="1"/>
        <v>5</v>
      </c>
    </row>
    <row r="17" spans="1:7">
      <c r="A17" s="119">
        <f t="shared" si="0"/>
        <v>6</v>
      </c>
      <c r="B17" s="1022"/>
      <c r="C17" s="1121"/>
      <c r="D17" s="1121"/>
      <c r="E17" s="1121"/>
      <c r="F17" s="1047"/>
      <c r="G17" s="119">
        <f t="shared" si="1"/>
        <v>6</v>
      </c>
    </row>
    <row r="18" spans="1:7">
      <c r="A18" s="119"/>
      <c r="C18" s="446"/>
      <c r="D18" s="446"/>
      <c r="E18" s="446"/>
      <c r="F18" s="446"/>
      <c r="G18" s="119"/>
    </row>
    <row r="19" spans="1:7">
      <c r="A19" s="119"/>
      <c r="C19" s="446"/>
      <c r="D19" s="446"/>
      <c r="E19" s="446"/>
      <c r="F19" s="446"/>
    </row>
    <row r="20" spans="1:7" ht="18.75">
      <c r="A20" s="135"/>
      <c r="B20" s="811"/>
      <c r="C20" s="446"/>
      <c r="D20" s="446"/>
      <c r="E20" s="446"/>
      <c r="F20" s="446"/>
    </row>
    <row r="21" spans="1:7">
      <c r="C21" s="446"/>
      <c r="D21" s="446"/>
      <c r="E21" s="446"/>
      <c r="F21" s="446"/>
    </row>
    <row r="22" spans="1:7">
      <c r="B22" s="161"/>
      <c r="C22" s="812"/>
      <c r="D22" s="812"/>
      <c r="E22" s="812"/>
      <c r="F22" s="146"/>
      <c r="G22" s="580"/>
    </row>
    <row r="23" spans="1:7">
      <c r="B23" s="136"/>
      <c r="C23" s="146"/>
      <c r="D23" s="110"/>
      <c r="F23" s="146"/>
      <c r="G23" s="580"/>
    </row>
    <row r="24" spans="1:7">
      <c r="C24" s="146"/>
      <c r="D24" s="146"/>
      <c r="E24" s="146"/>
      <c r="F24" s="146"/>
      <c r="G24" s="580"/>
    </row>
    <row r="25" spans="1:7">
      <c r="C25" s="147"/>
      <c r="D25" s="147"/>
      <c r="E25" s="140"/>
      <c r="F25" s="140"/>
      <c r="G25" s="580"/>
    </row>
  </sheetData>
  <mergeCells count="5"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82" orientation="landscape" r:id="rId1"/>
  <headerFooter scaleWithDoc="0">
    <oddFooter>&amp;C&amp;"Times New Roman,Regular"&amp;10&amp;A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46"/>
  <sheetViews>
    <sheetView zoomScale="80" zoomScaleNormal="80" zoomScaleSheetLayoutView="80" zoomScalePageLayoutView="50" workbookViewId="0">
      <selection activeCell="B38" sqref="B38"/>
    </sheetView>
  </sheetViews>
  <sheetFormatPr defaultColWidth="8.7109375" defaultRowHeight="15.75"/>
  <cols>
    <col min="1" max="1" width="5.140625" style="250" customWidth="1"/>
    <col min="2" max="2" width="78.140625" style="3" bestFit="1" customWidth="1"/>
    <col min="3" max="3" width="16.7109375" style="3" customWidth="1"/>
    <col min="4" max="4" width="1.7109375" style="3" customWidth="1"/>
    <col min="5" max="5" width="16.7109375" style="3" customWidth="1"/>
    <col min="6" max="6" width="1.7109375" style="3" customWidth="1"/>
    <col min="7" max="7" width="16.7109375" style="3" customWidth="1"/>
    <col min="8" max="8" width="1.5703125" style="3" customWidth="1"/>
    <col min="9" max="9" width="46.140625" style="3" customWidth="1"/>
    <col min="10" max="10" width="5.140625" style="250" customWidth="1"/>
    <col min="11" max="16384" width="8.7109375" style="3"/>
  </cols>
  <sheetData>
    <row r="1" spans="1:10">
      <c r="A1" s="567"/>
      <c r="B1" s="59"/>
      <c r="C1" s="59"/>
      <c r="D1" s="59"/>
      <c r="E1" s="59"/>
      <c r="F1" s="59"/>
      <c r="G1" s="59"/>
      <c r="H1" s="59"/>
      <c r="I1" s="48"/>
      <c r="J1" s="567"/>
    </row>
    <row r="2" spans="1:10">
      <c r="A2" s="567"/>
      <c r="B2" s="1289" t="str">
        <f>'Summary of Cost Components'!B2:D2</f>
        <v>SAN DIEGO GAS &amp; ELECTRIC COMPANY</v>
      </c>
      <c r="C2" s="1289"/>
      <c r="D2" s="1289"/>
      <c r="E2" s="1289"/>
      <c r="F2" s="1289"/>
      <c r="G2" s="1289"/>
      <c r="H2" s="1289"/>
      <c r="I2" s="1289"/>
      <c r="J2" s="567"/>
    </row>
    <row r="3" spans="1:10">
      <c r="B3" s="1289" t="str">
        <f>'Summary of Cost Components'!B3:D3</f>
        <v>CITIZENS' SHARE OF THE SX-PQ UNDERGROUND LINE SEGMENT</v>
      </c>
      <c r="C3" s="1289"/>
      <c r="D3" s="1289"/>
      <c r="E3" s="1289"/>
      <c r="F3" s="1289"/>
      <c r="G3" s="1289"/>
      <c r="H3" s="1289"/>
      <c r="I3" s="1289"/>
      <c r="J3" s="570"/>
    </row>
    <row r="4" spans="1:10">
      <c r="B4" s="1289" t="s">
        <v>11</v>
      </c>
      <c r="C4" s="1289"/>
      <c r="D4" s="1289"/>
      <c r="E4" s="1289"/>
      <c r="F4" s="1289"/>
      <c r="G4" s="1289"/>
      <c r="H4" s="1289"/>
      <c r="I4" s="1289"/>
      <c r="J4" s="570"/>
    </row>
    <row r="5" spans="1:10">
      <c r="B5" s="1296" t="str">
        <f>'A. Sec.1 - Direct Maintenance'!B5</f>
        <v>Base Period &amp; True-Up Period 12 - Months Ending December 31, 2022</v>
      </c>
      <c r="C5" s="1296"/>
      <c r="D5" s="1296"/>
      <c r="E5" s="1296"/>
      <c r="F5" s="1296"/>
      <c r="G5" s="1296"/>
      <c r="H5" s="1296"/>
      <c r="I5" s="1296"/>
      <c r="J5" s="570"/>
    </row>
    <row r="6" spans="1:10">
      <c r="B6" s="1291" t="s">
        <v>3</v>
      </c>
      <c r="C6" s="1291"/>
      <c r="D6" s="1291"/>
      <c r="E6" s="1291"/>
      <c r="F6" s="1291"/>
      <c r="G6" s="1291"/>
      <c r="H6" s="1291"/>
      <c r="I6" s="1291"/>
      <c r="J6" s="572"/>
    </row>
    <row r="7" spans="1:10">
      <c r="B7" s="1093"/>
      <c r="C7" s="1093"/>
      <c r="D7" s="1093"/>
      <c r="E7" s="1093"/>
      <c r="F7" s="1093"/>
      <c r="G7" s="1093"/>
      <c r="H7" s="1093"/>
      <c r="I7" s="1093"/>
      <c r="J7" s="572"/>
    </row>
    <row r="8" spans="1:10">
      <c r="A8" s="567"/>
      <c r="B8" s="59"/>
      <c r="C8" s="346" t="s">
        <v>77</v>
      </c>
      <c r="D8" s="59"/>
      <c r="E8" s="346" t="s">
        <v>78</v>
      </c>
      <c r="F8" s="48"/>
      <c r="G8" s="346" t="s">
        <v>79</v>
      </c>
      <c r="H8" s="59"/>
      <c r="I8" s="59"/>
      <c r="J8" s="567"/>
    </row>
    <row r="9" spans="1:10">
      <c r="A9" s="567" t="s">
        <v>4</v>
      </c>
      <c r="B9" s="59"/>
      <c r="C9" s="21" t="s">
        <v>80</v>
      </c>
      <c r="D9" s="59"/>
      <c r="E9" s="21" t="s">
        <v>81</v>
      </c>
      <c r="F9" s="59"/>
      <c r="G9" s="59"/>
      <c r="H9" s="59"/>
      <c r="I9" s="59"/>
      <c r="J9" s="567" t="s">
        <v>4</v>
      </c>
    </row>
    <row r="10" spans="1:10">
      <c r="A10" s="567" t="s">
        <v>5</v>
      </c>
      <c r="B10" s="59"/>
      <c r="C10" s="950" t="s">
        <v>82</v>
      </c>
      <c r="D10" s="59"/>
      <c r="E10" s="950" t="s">
        <v>83</v>
      </c>
      <c r="F10" s="59"/>
      <c r="G10" s="950" t="s">
        <v>7</v>
      </c>
      <c r="H10" s="59"/>
      <c r="I10" s="950" t="s">
        <v>8</v>
      </c>
      <c r="J10" s="567" t="s">
        <v>5</v>
      </c>
    </row>
    <row r="11" spans="1:10">
      <c r="A11" s="567"/>
      <c r="B11" s="59"/>
      <c r="C11" s="59"/>
      <c r="D11" s="59"/>
      <c r="E11" s="59"/>
      <c r="F11" s="59"/>
      <c r="G11" s="48"/>
      <c r="H11" s="59"/>
      <c r="I11" s="48"/>
      <c r="J11" s="567"/>
    </row>
    <row r="12" spans="1:10">
      <c r="A12" s="567">
        <v>1</v>
      </c>
      <c r="B12" s="15" t="s">
        <v>84</v>
      </c>
      <c r="C12" s="59"/>
      <c r="D12" s="59"/>
      <c r="E12" s="59"/>
      <c r="F12" s="59"/>
      <c r="G12" s="59"/>
      <c r="H12" s="59"/>
      <c r="I12" s="48"/>
      <c r="J12" s="567">
        <f>A12</f>
        <v>1</v>
      </c>
    </row>
    <row r="13" spans="1:10">
      <c r="A13" s="567">
        <f>A12+1</f>
        <v>2</v>
      </c>
      <c r="B13" s="59"/>
      <c r="C13" s="59"/>
      <c r="D13" s="59"/>
      <c r="E13" s="59"/>
      <c r="F13" s="59"/>
      <c r="G13" s="59"/>
      <c r="H13" s="59"/>
      <c r="I13" s="59"/>
      <c r="J13" s="567">
        <f>J12+1</f>
        <v>2</v>
      </c>
    </row>
    <row r="14" spans="1:10">
      <c r="A14" s="567">
        <f t="shared" ref="A14:A42" si="0">A13+1</f>
        <v>3</v>
      </c>
      <c r="B14" s="388" t="s">
        <v>85</v>
      </c>
      <c r="C14" s="59"/>
      <c r="D14" s="59"/>
      <c r="E14" s="59"/>
      <c r="F14" s="59"/>
      <c r="G14" s="850">
        <f>'AF-3'!E15</f>
        <v>-1492.0491599999998</v>
      </c>
      <c r="H14" s="550"/>
      <c r="I14" s="26" t="s">
        <v>86</v>
      </c>
      <c r="J14" s="567">
        <f t="shared" ref="J14:J42" si="1">J13+1</f>
        <v>3</v>
      </c>
    </row>
    <row r="15" spans="1:10">
      <c r="A15" s="567">
        <f t="shared" si="0"/>
        <v>4</v>
      </c>
      <c r="B15" s="388"/>
      <c r="C15" s="59"/>
      <c r="D15" s="59"/>
      <c r="E15" s="59"/>
      <c r="F15" s="59"/>
      <c r="G15" s="816"/>
      <c r="H15" s="59"/>
      <c r="I15" s="59"/>
      <c r="J15" s="567">
        <f t="shared" si="1"/>
        <v>4</v>
      </c>
    </row>
    <row r="16" spans="1:10">
      <c r="A16" s="567">
        <f t="shared" si="0"/>
        <v>5</v>
      </c>
      <c r="B16" s="388" t="s">
        <v>30</v>
      </c>
      <c r="C16" s="59"/>
      <c r="D16" s="59"/>
      <c r="E16" s="59"/>
      <c r="F16" s="59"/>
      <c r="G16" s="951">
        <f>'Stmt AV'!G110</f>
        <v>9.6871242572097949E-2</v>
      </c>
      <c r="H16" s="59"/>
      <c r="I16" s="26" t="str">
        <f>"Statement AV2; Line "&amp;'Stmt AV'!A110</f>
        <v>Statement AV2; Line 31</v>
      </c>
      <c r="J16" s="567">
        <f t="shared" si="1"/>
        <v>5</v>
      </c>
    </row>
    <row r="17" spans="1:12">
      <c r="A17" s="567">
        <f t="shared" si="0"/>
        <v>6</v>
      </c>
      <c r="B17" s="388"/>
      <c r="C17" s="59"/>
      <c r="D17" s="59"/>
      <c r="E17" s="59"/>
      <c r="F17" s="59"/>
      <c r="G17" s="630"/>
      <c r="H17" s="59"/>
      <c r="I17" s="21"/>
      <c r="J17" s="567">
        <f t="shared" si="1"/>
        <v>6</v>
      </c>
    </row>
    <row r="18" spans="1:12">
      <c r="A18" s="567">
        <f t="shared" si="0"/>
        <v>7</v>
      </c>
      <c r="B18" s="388" t="s">
        <v>87</v>
      </c>
      <c r="C18" s="59"/>
      <c r="D18" s="59"/>
      <c r="E18" s="59"/>
      <c r="F18" s="59"/>
      <c r="G18" s="829">
        <f>G14*G16</f>
        <v>-144.53665610785495</v>
      </c>
      <c r="H18" s="45"/>
      <c r="I18" s="21" t="str">
        <f>"Line "&amp;A14&amp;" x Line "&amp;A16</f>
        <v>Line 3 x Line 5</v>
      </c>
      <c r="J18" s="567">
        <f t="shared" si="1"/>
        <v>7</v>
      </c>
    </row>
    <row r="19" spans="1:12">
      <c r="A19" s="567">
        <f t="shared" si="0"/>
        <v>8</v>
      </c>
      <c r="B19" s="388"/>
      <c r="C19" s="59"/>
      <c r="D19" s="59"/>
      <c r="E19" s="59"/>
      <c r="F19" s="59"/>
      <c r="G19" s="830"/>
      <c r="H19" s="47"/>
      <c r="I19" s="59"/>
      <c r="J19" s="567">
        <f t="shared" si="1"/>
        <v>8</v>
      </c>
    </row>
    <row r="20" spans="1:12">
      <c r="A20" s="567">
        <f t="shared" si="0"/>
        <v>9</v>
      </c>
      <c r="B20" s="839" t="s">
        <v>88</v>
      </c>
      <c r="C20" s="59"/>
      <c r="D20" s="59"/>
      <c r="E20" s="59"/>
      <c r="F20" s="59"/>
      <c r="G20" s="831"/>
      <c r="H20" s="47"/>
      <c r="I20" s="21"/>
      <c r="J20" s="567">
        <f t="shared" si="1"/>
        <v>9</v>
      </c>
    </row>
    <row r="21" spans="1:12">
      <c r="A21" s="567">
        <f t="shared" si="0"/>
        <v>10</v>
      </c>
      <c r="B21" s="827" t="s">
        <v>89</v>
      </c>
      <c r="C21" s="59"/>
      <c r="D21" s="49"/>
      <c r="E21" s="828"/>
      <c r="F21" s="59"/>
      <c r="G21" s="906">
        <f>'AV-2B'!C27</f>
        <v>21.770731132631123</v>
      </c>
      <c r="H21" s="545"/>
      <c r="I21" s="832" t="str">
        <f>"AV-2B; Line "&amp;'AV-2B'!A27</f>
        <v>AV-2B; Line 17</v>
      </c>
      <c r="J21" s="567">
        <f t="shared" si="1"/>
        <v>10</v>
      </c>
    </row>
    <row r="22" spans="1:12">
      <c r="A22" s="567">
        <f t="shared" si="0"/>
        <v>11</v>
      </c>
      <c r="B22" s="59"/>
      <c r="C22" s="48"/>
      <c r="D22" s="59"/>
      <c r="E22" s="48"/>
      <c r="F22" s="59"/>
      <c r="G22" s="48"/>
      <c r="H22" s="48"/>
      <c r="I22" s="59"/>
      <c r="J22" s="567">
        <f t="shared" si="1"/>
        <v>11</v>
      </c>
    </row>
    <row r="23" spans="1:12">
      <c r="A23" s="567">
        <f t="shared" si="0"/>
        <v>12</v>
      </c>
      <c r="B23" s="15" t="s">
        <v>90</v>
      </c>
      <c r="C23" s="48"/>
      <c r="D23" s="59"/>
      <c r="E23" s="48"/>
      <c r="F23" s="59"/>
      <c r="G23" s="48"/>
      <c r="H23" s="48"/>
      <c r="I23" s="59"/>
      <c r="J23" s="567">
        <f t="shared" si="1"/>
        <v>12</v>
      </c>
    </row>
    <row r="24" spans="1:12">
      <c r="A24" s="567">
        <f t="shared" si="0"/>
        <v>13</v>
      </c>
      <c r="B24" s="50" t="s">
        <v>91</v>
      </c>
      <c r="C24" s="59"/>
      <c r="D24" s="59"/>
      <c r="E24" s="59"/>
      <c r="F24" s="59"/>
      <c r="G24" s="59"/>
      <c r="H24" s="59"/>
      <c r="I24" s="59"/>
      <c r="J24" s="567">
        <f t="shared" si="1"/>
        <v>13</v>
      </c>
    </row>
    <row r="25" spans="1:12">
      <c r="A25" s="567">
        <f t="shared" si="0"/>
        <v>14</v>
      </c>
      <c r="B25" s="59" t="s">
        <v>92</v>
      </c>
      <c r="C25" s="850">
        <v>11661.3</v>
      </c>
      <c r="D25" s="574"/>
      <c r="E25" s="705">
        <v>4.8999999999999998E-3</v>
      </c>
      <c r="F25" s="59"/>
      <c r="G25" s="631">
        <f>C25*E25</f>
        <v>57.140369999999997</v>
      </c>
      <c r="H25" s="46"/>
      <c r="I25" s="21" t="s">
        <v>93</v>
      </c>
      <c r="J25" s="567">
        <f t="shared" si="1"/>
        <v>14</v>
      </c>
      <c r="L25"/>
    </row>
    <row r="26" spans="1:12">
      <c r="A26" s="567">
        <f t="shared" si="0"/>
        <v>15</v>
      </c>
      <c r="B26" s="59"/>
      <c r="C26" s="631"/>
      <c r="D26" s="574"/>
      <c r="E26" s="632"/>
      <c r="F26" s="59"/>
      <c r="G26" s="631"/>
      <c r="H26" s="46"/>
      <c r="I26" s="21"/>
      <c r="J26" s="567">
        <f t="shared" si="1"/>
        <v>15</v>
      </c>
      <c r="L26"/>
    </row>
    <row r="27" spans="1:12">
      <c r="A27" s="567">
        <f t="shared" si="0"/>
        <v>16</v>
      </c>
      <c r="B27" s="59" t="s">
        <v>94</v>
      </c>
      <c r="C27" s="859">
        <v>15149.7</v>
      </c>
      <c r="D27" s="574"/>
      <c r="E27" s="705">
        <v>1.9E-3</v>
      </c>
      <c r="F27" s="59"/>
      <c r="G27" s="496">
        <f>C27*E27</f>
        <v>28.78443</v>
      </c>
      <c r="H27" s="528"/>
      <c r="I27" s="21" t="s">
        <v>93</v>
      </c>
      <c r="J27" s="567">
        <f t="shared" si="1"/>
        <v>16</v>
      </c>
      <c r="L27"/>
    </row>
    <row r="28" spans="1:12">
      <c r="A28" s="567">
        <f t="shared" si="0"/>
        <v>17</v>
      </c>
      <c r="B28" s="59"/>
      <c r="C28" s="496"/>
      <c r="D28" s="574"/>
      <c r="E28" s="632"/>
      <c r="F28" s="59"/>
      <c r="G28" s="496"/>
      <c r="H28" s="528"/>
      <c r="I28" s="59"/>
      <c r="J28" s="567">
        <f t="shared" si="1"/>
        <v>17</v>
      </c>
      <c r="L28"/>
    </row>
    <row r="29" spans="1:12">
      <c r="A29" s="567">
        <f t="shared" si="0"/>
        <v>18</v>
      </c>
      <c r="B29" s="59" t="s">
        <v>95</v>
      </c>
      <c r="C29" s="859">
        <v>186.3</v>
      </c>
      <c r="D29" s="574"/>
      <c r="E29" s="666">
        <v>0</v>
      </c>
      <c r="F29" s="59"/>
      <c r="G29" s="496">
        <f>C29*E29</f>
        <v>0</v>
      </c>
      <c r="H29" s="528"/>
      <c r="I29" s="21" t="s">
        <v>93</v>
      </c>
      <c r="J29" s="567">
        <f t="shared" si="1"/>
        <v>18</v>
      </c>
      <c r="L29"/>
    </row>
    <row r="30" spans="1:12">
      <c r="A30" s="567">
        <f t="shared" si="0"/>
        <v>19</v>
      </c>
      <c r="B30" s="59"/>
      <c r="C30" s="496"/>
      <c r="D30" s="574"/>
      <c r="E30" s="633"/>
      <c r="F30" s="59"/>
      <c r="G30" s="496"/>
      <c r="H30" s="528"/>
      <c r="I30" s="21"/>
      <c r="J30" s="567">
        <f t="shared" si="1"/>
        <v>19</v>
      </c>
      <c r="L30"/>
    </row>
    <row r="31" spans="1:12">
      <c r="A31" s="567">
        <f t="shared" si="0"/>
        <v>20</v>
      </c>
      <c r="B31" s="59" t="s">
        <v>96</v>
      </c>
      <c r="C31" s="859">
        <v>0</v>
      </c>
      <c r="D31" s="574"/>
      <c r="E31" s="666">
        <v>0</v>
      </c>
      <c r="F31" s="59"/>
      <c r="G31" s="496">
        <f>C31*E31</f>
        <v>0</v>
      </c>
      <c r="H31" s="528"/>
      <c r="I31" s="21" t="s">
        <v>93</v>
      </c>
      <c r="J31" s="567">
        <f t="shared" si="1"/>
        <v>20</v>
      </c>
      <c r="L31"/>
    </row>
    <row r="32" spans="1:12">
      <c r="A32" s="567">
        <f t="shared" si="0"/>
        <v>21</v>
      </c>
      <c r="B32" s="59"/>
      <c r="C32" s="634"/>
      <c r="D32" s="574"/>
      <c r="E32" s="633"/>
      <c r="F32" s="59"/>
      <c r="G32" s="496"/>
      <c r="H32" s="528"/>
      <c r="I32" s="21"/>
      <c r="J32" s="567">
        <f t="shared" si="1"/>
        <v>21</v>
      </c>
      <c r="L32"/>
    </row>
    <row r="33" spans="1:16">
      <c r="A33" s="567">
        <f t="shared" si="0"/>
        <v>22</v>
      </c>
      <c r="B33" s="59" t="s">
        <v>97</v>
      </c>
      <c r="C33" s="952">
        <v>2.7</v>
      </c>
      <c r="D33" s="574"/>
      <c r="E33" s="667">
        <v>0</v>
      </c>
      <c r="F33" s="59"/>
      <c r="G33" s="953">
        <f>C33*E33</f>
        <v>0</v>
      </c>
      <c r="H33" s="8"/>
      <c r="I33" s="21" t="s">
        <v>93</v>
      </c>
      <c r="J33" s="567">
        <f t="shared" si="1"/>
        <v>22</v>
      </c>
      <c r="L33"/>
    </row>
    <row r="34" spans="1:16">
      <c r="A34" s="567">
        <f t="shared" si="0"/>
        <v>23</v>
      </c>
      <c r="B34" s="59"/>
      <c r="C34" s="635">
        <f>SUM(C25:C33)</f>
        <v>27000</v>
      </c>
      <c r="D34" s="574"/>
      <c r="E34" s="574"/>
      <c r="F34" s="59"/>
      <c r="G34" s="637"/>
      <c r="H34" s="51"/>
      <c r="I34" s="21" t="str">
        <f>"Col. a = Sum Lines "&amp;A25&amp;" thru "&amp;A33</f>
        <v>Col. a = Sum Lines 14 thru 22</v>
      </c>
      <c r="J34" s="567">
        <f t="shared" si="1"/>
        <v>23</v>
      </c>
    </row>
    <row r="35" spans="1:16">
      <c r="A35" s="567">
        <f t="shared" si="0"/>
        <v>24</v>
      </c>
      <c r="B35" s="59"/>
      <c r="C35" s="635"/>
      <c r="D35" s="574"/>
      <c r="E35" s="574"/>
      <c r="F35" s="59"/>
      <c r="G35" s="574"/>
      <c r="H35" s="59"/>
      <c r="I35" s="59"/>
      <c r="J35" s="567">
        <f t="shared" si="1"/>
        <v>24</v>
      </c>
    </row>
    <row r="36" spans="1:16">
      <c r="A36" s="567">
        <f t="shared" si="0"/>
        <v>25</v>
      </c>
      <c r="B36" s="59" t="s">
        <v>98</v>
      </c>
      <c r="C36" s="574"/>
      <c r="D36" s="574"/>
      <c r="E36" s="574"/>
      <c r="F36" s="59"/>
      <c r="G36" s="635">
        <f>SUM(G25:G33)</f>
        <v>85.924800000000005</v>
      </c>
      <c r="H36" s="51"/>
      <c r="I36" s="21" t="str">
        <f>"Sum Lines "&amp;A25&amp;" thru "&amp;A33</f>
        <v>Sum Lines 14 thru 22</v>
      </c>
      <c r="J36" s="567">
        <f t="shared" si="1"/>
        <v>25</v>
      </c>
    </row>
    <row r="37" spans="1:16">
      <c r="A37" s="567">
        <f t="shared" si="0"/>
        <v>26</v>
      </c>
      <c r="B37" s="59"/>
      <c r="C37" s="574"/>
      <c r="D37" s="574"/>
      <c r="E37" s="574"/>
      <c r="F37" s="59"/>
      <c r="G37" s="637"/>
      <c r="H37" s="51"/>
      <c r="I37" s="59"/>
      <c r="J37" s="567">
        <f t="shared" si="1"/>
        <v>26</v>
      </c>
    </row>
    <row r="38" spans="1:16">
      <c r="A38" s="567">
        <f t="shared" si="0"/>
        <v>27</v>
      </c>
      <c r="B38" s="59" t="s">
        <v>33</v>
      </c>
      <c r="C38" s="574"/>
      <c r="D38" s="574"/>
      <c r="E38" s="636">
        <f>'A. Sec.1 - Direct Maintenance'!C25</f>
        <v>1.0207000000000001E-2</v>
      </c>
      <c r="F38" s="59"/>
      <c r="G38" s="954">
        <f>G36*E38</f>
        <v>0.87703443360000011</v>
      </c>
      <c r="H38" s="12"/>
      <c r="I38" s="21" t="str">
        <f>"Line "&amp;A36&amp;" x Franchise Fee Rate"</f>
        <v>Line 25 x Franchise Fee Rate</v>
      </c>
      <c r="J38" s="567">
        <f t="shared" si="1"/>
        <v>27</v>
      </c>
      <c r="L38"/>
      <c r="M38"/>
      <c r="N38"/>
      <c r="O38"/>
      <c r="P38"/>
    </row>
    <row r="39" spans="1:16">
      <c r="A39" s="567">
        <f t="shared" si="0"/>
        <v>28</v>
      </c>
      <c r="B39" s="59"/>
      <c r="C39" s="59"/>
      <c r="D39" s="59"/>
      <c r="E39" s="59"/>
      <c r="F39" s="59"/>
      <c r="G39" s="637"/>
      <c r="H39" s="51"/>
      <c r="I39" s="59"/>
      <c r="J39" s="567">
        <f t="shared" si="1"/>
        <v>28</v>
      </c>
    </row>
    <row r="40" spans="1:16">
      <c r="A40" s="567">
        <f t="shared" si="0"/>
        <v>29</v>
      </c>
      <c r="B40" s="59" t="s">
        <v>99</v>
      </c>
      <c r="C40" s="59"/>
      <c r="D40" s="59"/>
      <c r="E40" s="59"/>
      <c r="F40" s="59"/>
      <c r="G40" s="375">
        <f>G36+G38</f>
        <v>86.801834433600007</v>
      </c>
      <c r="H40" s="546"/>
      <c r="I40" s="21" t="str">
        <f>"Line "&amp;A36&amp;" + Line "&amp;A38</f>
        <v>Line 25 + Line 27</v>
      </c>
      <c r="J40" s="567">
        <f t="shared" si="1"/>
        <v>29</v>
      </c>
    </row>
    <row r="41" spans="1:16">
      <c r="A41" s="567">
        <f t="shared" si="0"/>
        <v>30</v>
      </c>
      <c r="B41" s="59"/>
      <c r="C41" s="59"/>
      <c r="D41" s="59"/>
      <c r="E41" s="59"/>
      <c r="F41" s="59"/>
      <c r="G41" s="574"/>
      <c r="H41" s="59"/>
      <c r="I41" s="59"/>
      <c r="J41" s="567">
        <f t="shared" si="1"/>
        <v>30</v>
      </c>
    </row>
    <row r="42" spans="1:16" ht="16.5" thickBot="1">
      <c r="A42" s="567">
        <f t="shared" si="0"/>
        <v>31</v>
      </c>
      <c r="B42" s="44" t="s">
        <v>100</v>
      </c>
      <c r="C42" s="59"/>
      <c r="D42" s="59"/>
      <c r="E42" s="59"/>
      <c r="F42" s="59"/>
      <c r="G42" s="837">
        <f>G18+G21+G40</f>
        <v>-35.964090541623818</v>
      </c>
      <c r="H42" s="555"/>
      <c r="I42" s="21" t="str">
        <f>"Line "&amp;A18&amp;" + Line "&amp;A21&amp;" + Line "&amp;A40&amp;""</f>
        <v>Line 7 + Line 10 + Line 29</v>
      </c>
      <c r="J42" s="567">
        <f t="shared" si="1"/>
        <v>31</v>
      </c>
    </row>
    <row r="43" spans="1:16" ht="16.5" thickTop="1">
      <c r="A43" s="567"/>
      <c r="B43" s="59"/>
      <c r="C43" s="59"/>
      <c r="D43" s="59"/>
      <c r="E43" s="59"/>
      <c r="F43" s="59"/>
      <c r="G43" s="52"/>
      <c r="H43" s="52"/>
      <c r="I43" s="21"/>
      <c r="J43" s="567"/>
    </row>
    <row r="44" spans="1:16">
      <c r="A44" s="567"/>
      <c r="B44" s="44"/>
      <c r="C44" s="44"/>
      <c r="D44" s="44"/>
      <c r="E44" s="44"/>
      <c r="F44" s="44"/>
      <c r="G44" s="44"/>
      <c r="H44" s="44"/>
      <c r="I44" s="44"/>
      <c r="J44" s="567"/>
    </row>
    <row r="45" spans="1:16" ht="18.75">
      <c r="A45" s="928"/>
      <c r="B45" s="929"/>
      <c r="C45" s="44"/>
      <c r="D45" s="44"/>
      <c r="E45" s="44"/>
      <c r="F45" s="44"/>
      <c r="G45" s="44"/>
      <c r="H45" s="44"/>
      <c r="I45" s="44"/>
      <c r="J45" s="567"/>
    </row>
    <row r="46" spans="1:16">
      <c r="A46" s="930"/>
      <c r="B46" s="929"/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50" fitToHeight="0" orientation="portrait" r:id="rId1"/>
  <headerFooter scaleWithDoc="0">
    <oddFooter xml:space="preserve">&amp;C&amp;"Times New Roman,Regular"&amp;10Section 3
Other Costs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72"/>
  <sheetViews>
    <sheetView topLeftCell="A16" zoomScale="80" zoomScaleNormal="80" zoomScalePageLayoutView="80" workbookViewId="0"/>
  </sheetViews>
  <sheetFormatPr defaultColWidth="8.7109375" defaultRowHeight="15.75"/>
  <cols>
    <col min="1" max="1" width="5.140625" style="250" bestFit="1" customWidth="1"/>
    <col min="2" max="2" width="80.5703125" style="219" customWidth="1"/>
    <col min="3" max="3" width="21.14062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47.7109375" style="219" customWidth="1"/>
    <col min="8" max="8" width="5.140625" style="219" customWidth="1"/>
    <col min="9" max="9" width="8.7109375" style="219"/>
    <col min="10" max="10" width="20.28515625" style="219" bestFit="1" customWidth="1"/>
    <col min="11" max="16384" width="8.7109375" style="219"/>
  </cols>
  <sheetData>
    <row r="1" spans="1:8">
      <c r="G1" s="250"/>
      <c r="H1" s="250"/>
    </row>
    <row r="2" spans="1:8">
      <c r="B2" s="1299" t="s">
        <v>0</v>
      </c>
      <c r="C2" s="1299"/>
      <c r="D2" s="1299"/>
      <c r="E2" s="1299"/>
      <c r="F2" s="1299"/>
      <c r="G2" s="1299"/>
      <c r="H2" s="250"/>
    </row>
    <row r="3" spans="1:8">
      <c r="B3" s="1299" t="s">
        <v>381</v>
      </c>
      <c r="C3" s="1299"/>
      <c r="D3" s="1299"/>
      <c r="E3" s="1299"/>
      <c r="F3" s="1299"/>
      <c r="G3" s="1299"/>
      <c r="H3" s="250"/>
    </row>
    <row r="4" spans="1:8">
      <c r="B4" s="1299" t="s">
        <v>382</v>
      </c>
      <c r="C4" s="1299"/>
      <c r="D4" s="1299"/>
      <c r="E4" s="1299"/>
      <c r="F4" s="1299"/>
      <c r="G4" s="1299"/>
      <c r="H4" s="250"/>
    </row>
    <row r="5" spans="1:8">
      <c r="B5" s="1301" t="str">
        <f>'A. Sec.1 - Direct Maintenance'!B5</f>
        <v>Base Period &amp; True-Up Period 12 - Months Ending December 31, 2022</v>
      </c>
      <c r="C5" s="1301"/>
      <c r="D5" s="1301"/>
      <c r="E5" s="1301"/>
      <c r="F5" s="1301"/>
      <c r="G5" s="1301"/>
      <c r="H5" s="250"/>
    </row>
    <row r="6" spans="1:8">
      <c r="B6" s="1297" t="s">
        <v>3</v>
      </c>
      <c r="C6" s="1311"/>
      <c r="D6" s="1311"/>
      <c r="E6" s="1311"/>
      <c r="F6" s="1311"/>
      <c r="G6" s="1311"/>
      <c r="H6" s="250"/>
    </row>
    <row r="7" spans="1:8">
      <c r="B7" s="250"/>
      <c r="C7" s="250"/>
      <c r="D7" s="250"/>
      <c r="E7" s="464"/>
      <c r="F7" s="464"/>
      <c r="G7" s="250"/>
      <c r="H7" s="250"/>
    </row>
    <row r="8" spans="1:8">
      <c r="A8" s="250" t="s">
        <v>4</v>
      </c>
      <c r="B8" s="556"/>
      <c r="C8" s="250" t="s">
        <v>189</v>
      </c>
      <c r="D8" s="556"/>
      <c r="E8" s="465"/>
      <c r="F8" s="465"/>
      <c r="G8" s="250"/>
      <c r="H8" s="250" t="s">
        <v>4</v>
      </c>
    </row>
    <row r="9" spans="1:8">
      <c r="A9" s="250" t="s">
        <v>5</v>
      </c>
      <c r="C9" s="1003" t="s">
        <v>191</v>
      </c>
      <c r="D9" s="556"/>
      <c r="E9" s="1004" t="s">
        <v>7</v>
      </c>
      <c r="F9" s="465"/>
      <c r="G9" s="1003" t="s">
        <v>8</v>
      </c>
      <c r="H9" s="250" t="s">
        <v>5</v>
      </c>
    </row>
    <row r="10" spans="1:8">
      <c r="C10" s="556"/>
      <c r="D10" s="556"/>
      <c r="E10" s="465"/>
      <c r="F10" s="465"/>
      <c r="G10" s="250"/>
      <c r="H10" s="250"/>
    </row>
    <row r="11" spans="1:8">
      <c r="A11" s="250">
        <v>1</v>
      </c>
      <c r="B11" s="19" t="s">
        <v>383</v>
      </c>
      <c r="C11" s="556"/>
      <c r="D11" s="556"/>
      <c r="E11" s="465"/>
      <c r="F11" s="465"/>
      <c r="G11" s="250"/>
      <c r="H11" s="250">
        <f>A11</f>
        <v>1</v>
      </c>
    </row>
    <row r="12" spans="1:8">
      <c r="A12" s="250">
        <f>+A11+1</f>
        <v>2</v>
      </c>
      <c r="B12" s="16" t="s">
        <v>384</v>
      </c>
      <c r="C12" s="556"/>
      <c r="D12" s="556"/>
      <c r="E12" s="434">
        <f>'AH-1'!D56</f>
        <v>0</v>
      </c>
      <c r="F12" s="465"/>
      <c r="G12" s="250" t="str">
        <f>"AH-1; Line "&amp;'AH-1'!A56</f>
        <v>AH-1; Line 48</v>
      </c>
      <c r="H12" s="250">
        <f>H11+1</f>
        <v>2</v>
      </c>
    </row>
    <row r="13" spans="1:8">
      <c r="A13" s="250">
        <f t="shared" ref="A13:A68" si="0">+A12+1</f>
        <v>3</v>
      </c>
      <c r="C13" s="556"/>
      <c r="D13" s="556"/>
      <c r="E13" s="465"/>
      <c r="F13" s="465"/>
      <c r="G13" s="250"/>
      <c r="H13" s="250">
        <f t="shared" ref="H13:H68" si="1">H12+1</f>
        <v>3</v>
      </c>
    </row>
    <row r="14" spans="1:8">
      <c r="A14" s="250">
        <f t="shared" si="0"/>
        <v>4</v>
      </c>
      <c r="B14" s="19" t="s">
        <v>385</v>
      </c>
      <c r="G14" s="250"/>
      <c r="H14" s="250">
        <f t="shared" si="1"/>
        <v>4</v>
      </c>
    </row>
    <row r="15" spans="1:8">
      <c r="A15" s="250">
        <f t="shared" si="0"/>
        <v>5</v>
      </c>
      <c r="B15" s="3" t="s">
        <v>386</v>
      </c>
      <c r="C15" s="250"/>
      <c r="E15" s="434">
        <f>'AH-2'!D47</f>
        <v>112387.43208</v>
      </c>
      <c r="G15" s="250" t="str">
        <f>"AH-2; Line "&amp;'AH-2'!A47&amp;"; Col. a"</f>
        <v>AH-2; Line 37; Col. a</v>
      </c>
      <c r="H15" s="250">
        <f t="shared" si="1"/>
        <v>5</v>
      </c>
    </row>
    <row r="16" spans="1:8">
      <c r="A16" s="250">
        <f t="shared" si="0"/>
        <v>6</v>
      </c>
      <c r="B16" s="6" t="s">
        <v>387</v>
      </c>
      <c r="E16" s="374"/>
      <c r="G16" s="250"/>
      <c r="H16" s="250">
        <f t="shared" si="1"/>
        <v>6</v>
      </c>
    </row>
    <row r="17" spans="1:10">
      <c r="A17" s="250">
        <f t="shared" si="0"/>
        <v>7</v>
      </c>
      <c r="B17" s="3" t="s">
        <v>388</v>
      </c>
      <c r="C17" s="250"/>
      <c r="E17" s="350">
        <f>-'AH-2'!E52</f>
        <v>-3357.212</v>
      </c>
      <c r="G17" s="250" t="str">
        <f>"Negative of AH-2; Line "&amp;'AH-2'!A52&amp;"; Col. b"</f>
        <v>Negative of AH-2; Line 42; Col. b</v>
      </c>
      <c r="H17" s="250">
        <f t="shared" si="1"/>
        <v>7</v>
      </c>
    </row>
    <row r="18" spans="1:10">
      <c r="A18" s="250">
        <f t="shared" si="0"/>
        <v>8</v>
      </c>
      <c r="B18" s="3" t="s">
        <v>389</v>
      </c>
      <c r="E18" s="350">
        <f>-'AH-2'!E53</f>
        <v>-1629.53</v>
      </c>
      <c r="G18" s="250" t="str">
        <f>"Negative of AH-2; Line "&amp;'AH-2'!A53&amp;"; Col. b"</f>
        <v>Negative of AH-2; Line 43; Col. b</v>
      </c>
      <c r="H18" s="250">
        <f t="shared" si="1"/>
        <v>8</v>
      </c>
    </row>
    <row r="19" spans="1:10">
      <c r="A19" s="250">
        <f t="shared" si="0"/>
        <v>9</v>
      </c>
      <c r="B19" s="16" t="s">
        <v>390</v>
      </c>
      <c r="E19" s="350">
        <f>-'AH-2'!E54</f>
        <v>-11638.449000000001</v>
      </c>
      <c r="G19" s="250" t="str">
        <f>"Negative of AH-2; Line "&amp;'AH-2'!A54&amp;"; Col. b"</f>
        <v>Negative of AH-2; Line 44; Col. b</v>
      </c>
      <c r="H19" s="250">
        <f t="shared" si="1"/>
        <v>9</v>
      </c>
    </row>
    <row r="20" spans="1:10">
      <c r="A20" s="250">
        <f t="shared" si="0"/>
        <v>10</v>
      </c>
      <c r="B20" s="16" t="s">
        <v>391</v>
      </c>
      <c r="E20" s="350">
        <f>-'AH-2'!E55</f>
        <v>-10659.147999999999</v>
      </c>
      <c r="G20" s="250" t="str">
        <f>"Negative of AH-2; Line "&amp;'AH-2'!A55&amp;"; Col. b"</f>
        <v>Negative of AH-2; Line 45; Col. b</v>
      </c>
      <c r="H20" s="250">
        <f t="shared" si="1"/>
        <v>10</v>
      </c>
    </row>
    <row r="21" spans="1:10">
      <c r="A21" s="250">
        <f t="shared" si="0"/>
        <v>11</v>
      </c>
      <c r="B21" s="3" t="s">
        <v>392</v>
      </c>
      <c r="E21" s="350">
        <f>-'AH-2'!E56</f>
        <v>0</v>
      </c>
      <c r="G21" s="250" t="str">
        <f>"Negative of AH-2; Line "&amp;'AH-2'!A56&amp;"; Col. b"</f>
        <v>Negative of AH-2; Line 46; Col. b</v>
      </c>
      <c r="H21" s="250">
        <f t="shared" si="1"/>
        <v>11</v>
      </c>
    </row>
    <row r="22" spans="1:10">
      <c r="A22" s="250">
        <f t="shared" si="0"/>
        <v>12</v>
      </c>
      <c r="B22" s="3" t="s">
        <v>393</v>
      </c>
      <c r="E22" s="350">
        <f>-'AH-2'!E62</f>
        <v>-2107.7340000000004</v>
      </c>
      <c r="G22" s="250" t="str">
        <f>"Negative of AH-2; Line "&amp;'AH-2'!A62&amp;"; Col. b"</f>
        <v>Negative of AH-2; Line 52; Col. b</v>
      </c>
      <c r="H22" s="250">
        <f t="shared" si="1"/>
        <v>12</v>
      </c>
    </row>
    <row r="23" spans="1:10">
      <c r="A23" s="250">
        <f t="shared" si="0"/>
        <v>13</v>
      </c>
      <c r="B23" s="16" t="s">
        <v>394</v>
      </c>
      <c r="E23" s="350">
        <f>-'AH-2'!E63</f>
        <v>-18834.561000000002</v>
      </c>
      <c r="G23" s="250" t="str">
        <f>"Negative of AH-2; Line "&amp;'AH-2'!A63&amp;"; Col. b"</f>
        <v>Negative of AH-2; Line 53; Col. b</v>
      </c>
      <c r="H23" s="250">
        <f t="shared" si="1"/>
        <v>13</v>
      </c>
    </row>
    <row r="24" spans="1:10">
      <c r="A24" s="250">
        <f t="shared" si="0"/>
        <v>14</v>
      </c>
      <c r="B24" s="16" t="s">
        <v>395</v>
      </c>
      <c r="E24" s="350">
        <f>-'AH-2'!E64</f>
        <v>-25278.445</v>
      </c>
      <c r="G24" s="250" t="str">
        <f>"Negative of AH-2; Line "&amp;'AH-2'!A64&amp;"; Col. b"</f>
        <v>Negative of AH-2; Line 54; Col. b</v>
      </c>
      <c r="H24" s="250">
        <f t="shared" si="1"/>
        <v>14</v>
      </c>
    </row>
    <row r="25" spans="1:10">
      <c r="A25" s="250">
        <f t="shared" si="0"/>
        <v>15</v>
      </c>
      <c r="B25" s="16" t="s">
        <v>396</v>
      </c>
      <c r="E25" s="350">
        <f>-'AH-2'!E65</f>
        <v>-578.39599999999996</v>
      </c>
      <c r="G25" s="250" t="str">
        <f>"Negative of AH-2; Line "&amp;'AH-2'!A65&amp;"; Col. b"</f>
        <v>Negative of AH-2; Line 55; Col. b</v>
      </c>
      <c r="H25" s="250">
        <f t="shared" si="1"/>
        <v>15</v>
      </c>
    </row>
    <row r="26" spans="1:10">
      <c r="A26" s="250">
        <f t="shared" si="0"/>
        <v>16</v>
      </c>
      <c r="B26" s="3" t="s">
        <v>893</v>
      </c>
      <c r="E26" s="1209">
        <f>-'AH-2'!E51</f>
        <v>-143.70699999999999</v>
      </c>
      <c r="G26" s="250" t="s">
        <v>920</v>
      </c>
      <c r="H26" s="250">
        <f t="shared" si="1"/>
        <v>16</v>
      </c>
    </row>
    <row r="27" spans="1:10">
      <c r="A27" s="250">
        <f t="shared" si="0"/>
        <v>17</v>
      </c>
      <c r="B27" s="3" t="s">
        <v>397</v>
      </c>
      <c r="E27" s="988">
        <f>SUM(E15:E26)</f>
        <v>38160.250080000005</v>
      </c>
      <c r="G27" s="467" t="str">
        <f>"Sum Lines "&amp;A15&amp;" thru "&amp;A26</f>
        <v>Sum Lines 5 thru 16</v>
      </c>
      <c r="H27" s="250">
        <f t="shared" si="1"/>
        <v>17</v>
      </c>
    </row>
    <row r="28" spans="1:10">
      <c r="A28" s="250">
        <f t="shared" si="0"/>
        <v>18</v>
      </c>
      <c r="E28" s="164"/>
      <c r="H28" s="250">
        <f t="shared" si="1"/>
        <v>18</v>
      </c>
    </row>
    <row r="29" spans="1:10">
      <c r="A29" s="250">
        <f t="shared" si="0"/>
        <v>19</v>
      </c>
      <c r="B29" s="20" t="s">
        <v>398</v>
      </c>
      <c r="E29" s="468"/>
      <c r="G29" s="250"/>
      <c r="H29" s="250">
        <f t="shared" si="1"/>
        <v>19</v>
      </c>
    </row>
    <row r="30" spans="1:10">
      <c r="A30" s="250">
        <f t="shared" si="0"/>
        <v>20</v>
      </c>
      <c r="B30" s="6" t="s">
        <v>399</v>
      </c>
      <c r="C30" s="250"/>
      <c r="E30" s="434">
        <f>'AH-3'!D30</f>
        <v>655441.93770999997</v>
      </c>
      <c r="G30" s="250" t="str">
        <f>"AH-3; Line "&amp;'AH-3'!A30&amp;"; Col. a"</f>
        <v>AH-3; Line 20; Col. a</v>
      </c>
      <c r="H30" s="250">
        <f t="shared" si="1"/>
        <v>20</v>
      </c>
    </row>
    <row r="31" spans="1:10">
      <c r="A31" s="250">
        <f t="shared" si="0"/>
        <v>21</v>
      </c>
      <c r="B31" s="6" t="s">
        <v>400</v>
      </c>
      <c r="E31" s="468" t="s">
        <v>186</v>
      </c>
      <c r="G31" s="250"/>
      <c r="H31" s="250">
        <f t="shared" si="1"/>
        <v>21</v>
      </c>
    </row>
    <row r="32" spans="1:10">
      <c r="A32" s="250">
        <f t="shared" si="0"/>
        <v>22</v>
      </c>
      <c r="B32" s="425" t="s">
        <v>401</v>
      </c>
      <c r="E32" s="350">
        <f>-'AH-3'!D49</f>
        <v>-401.94600000000003</v>
      </c>
      <c r="G32" s="250" t="s">
        <v>1047</v>
      </c>
      <c r="H32" s="250">
        <f t="shared" si="1"/>
        <v>22</v>
      </c>
      <c r="I32" s="745"/>
      <c r="J32" s="469"/>
    </row>
    <row r="33" spans="1:10" ht="31.5">
      <c r="A33" s="250">
        <f t="shared" si="0"/>
        <v>23</v>
      </c>
      <c r="B33" s="425" t="s">
        <v>402</v>
      </c>
      <c r="E33" s="350">
        <f>-SUM('AH-3'!D39+'AH-3'!E41+'AH-3'!D45)</f>
        <v>-803.07546026599982</v>
      </c>
      <c r="G33" s="486" t="s">
        <v>1048</v>
      </c>
      <c r="H33" s="250">
        <f t="shared" si="1"/>
        <v>23</v>
      </c>
      <c r="I33" s="745"/>
      <c r="J33" s="469"/>
    </row>
    <row r="34" spans="1:10">
      <c r="A34" s="250">
        <f t="shared" si="0"/>
        <v>24</v>
      </c>
      <c r="B34" s="425" t="s">
        <v>403</v>
      </c>
      <c r="E34" s="350">
        <f>-'AH-3'!D46</f>
        <v>0</v>
      </c>
      <c r="G34" s="250" t="s">
        <v>1049</v>
      </c>
      <c r="H34" s="250">
        <f t="shared" si="1"/>
        <v>24</v>
      </c>
    </row>
    <row r="35" spans="1:10">
      <c r="A35" s="250">
        <f t="shared" si="0"/>
        <v>25</v>
      </c>
      <c r="B35" s="425" t="s">
        <v>404</v>
      </c>
      <c r="E35" s="350">
        <f>-'AH-3'!D47</f>
        <v>-1805.1186499999999</v>
      </c>
      <c r="G35" s="250" t="s">
        <v>1042</v>
      </c>
      <c r="H35" s="250">
        <f t="shared" si="1"/>
        <v>25</v>
      </c>
      <c r="J35" s="469"/>
    </row>
    <row r="36" spans="1:10">
      <c r="A36" s="250">
        <f t="shared" si="0"/>
        <v>26</v>
      </c>
      <c r="B36" s="425" t="s">
        <v>405</v>
      </c>
      <c r="E36" s="350">
        <f>-'AH-3'!D43</f>
        <v>-22865.18</v>
      </c>
      <c r="G36" s="250" t="s">
        <v>1050</v>
      </c>
      <c r="H36" s="250">
        <f t="shared" si="1"/>
        <v>26</v>
      </c>
      <c r="J36" s="469"/>
    </row>
    <row r="37" spans="1:10">
      <c r="A37" s="250">
        <f t="shared" si="0"/>
        <v>27</v>
      </c>
      <c r="B37" s="425" t="s">
        <v>406</v>
      </c>
      <c r="E37" s="350">
        <v>0</v>
      </c>
      <c r="G37" s="845" t="s">
        <v>1041</v>
      </c>
      <c r="H37" s="250">
        <f t="shared" si="1"/>
        <v>27</v>
      </c>
      <c r="J37" s="469"/>
    </row>
    <row r="38" spans="1:10">
      <c r="A38" s="250">
        <f t="shared" si="0"/>
        <v>28</v>
      </c>
      <c r="B38" s="425" t="s">
        <v>407</v>
      </c>
      <c r="E38" s="350">
        <f>-'AH-3'!E48</f>
        <v>-7.6341200000000002</v>
      </c>
      <c r="G38" s="486" t="s">
        <v>1051</v>
      </c>
      <c r="H38" s="250">
        <f t="shared" si="1"/>
        <v>28</v>
      </c>
      <c r="I38" s="745"/>
    </row>
    <row r="39" spans="1:10">
      <c r="A39" s="250">
        <f t="shared" si="0"/>
        <v>29</v>
      </c>
      <c r="B39" s="425" t="s">
        <v>408</v>
      </c>
      <c r="E39" s="350">
        <f>-'AH-3'!E42</f>
        <v>-136000.65109999999</v>
      </c>
      <c r="G39" s="250" t="s">
        <v>1052</v>
      </c>
      <c r="H39" s="250">
        <f t="shared" si="1"/>
        <v>29</v>
      </c>
      <c r="I39" s="745"/>
      <c r="J39" s="469"/>
    </row>
    <row r="40" spans="1:10">
      <c r="A40" s="250">
        <f t="shared" si="0"/>
        <v>30</v>
      </c>
      <c r="B40" s="425" t="s">
        <v>409</v>
      </c>
      <c r="E40" s="350">
        <f>-'AH-3'!E51</f>
        <v>0</v>
      </c>
      <c r="G40" s="486" t="s">
        <v>1053</v>
      </c>
      <c r="H40" s="250">
        <f t="shared" si="1"/>
        <v>30</v>
      </c>
    </row>
    <row r="41" spans="1:10">
      <c r="A41" s="250">
        <f t="shared" si="0"/>
        <v>31</v>
      </c>
      <c r="B41" s="425" t="s">
        <v>410</v>
      </c>
      <c r="E41" s="350">
        <f>-'AH-3'!D44</f>
        <v>-0.96526000000000001</v>
      </c>
      <c r="G41" s="486" t="s">
        <v>1054</v>
      </c>
      <c r="H41" s="250">
        <f t="shared" si="1"/>
        <v>31</v>
      </c>
    </row>
    <row r="42" spans="1:10" ht="31.5">
      <c r="A42" s="250">
        <f t="shared" si="0"/>
        <v>32</v>
      </c>
      <c r="B42" s="425" t="s">
        <v>892</v>
      </c>
      <c r="E42" s="350">
        <f>-SUM('AH-3'!E35+'AH-3'!E36+'AH-3'!E38+'AH-3'!D40+'AH-3'!D50)</f>
        <v>-238.71136999999931</v>
      </c>
      <c r="G42" s="486" t="s">
        <v>1055</v>
      </c>
      <c r="H42" s="250">
        <f t="shared" si="1"/>
        <v>32</v>
      </c>
    </row>
    <row r="43" spans="1:10">
      <c r="A43" s="250">
        <f t="shared" si="0"/>
        <v>33</v>
      </c>
      <c r="B43" s="6" t="s">
        <v>411</v>
      </c>
      <c r="E43" s="470">
        <f>SUM(E30:E42)</f>
        <v>493318.65574973403</v>
      </c>
      <c r="G43" s="250" t="str">
        <f>"Sum Lines "&amp;A30&amp;" thru "&amp;A42</f>
        <v>Sum Lines 20 thru 32</v>
      </c>
      <c r="H43" s="250">
        <f t="shared" si="1"/>
        <v>33</v>
      </c>
      <c r="J43" s="913"/>
    </row>
    <row r="44" spans="1:10">
      <c r="A44" s="250">
        <f t="shared" si="0"/>
        <v>34</v>
      </c>
      <c r="B44" s="6" t="s">
        <v>412</v>
      </c>
      <c r="E44" s="1028">
        <f>-'AH-3'!F15</f>
        <v>-8930.0596700000024</v>
      </c>
      <c r="G44" s="250" t="str">
        <f>"Negative of AH-3; Line "&amp;'AH-3'!A15&amp;"; Col. c"</f>
        <v>Negative of AH-3; Line 5; Col. c</v>
      </c>
      <c r="H44" s="250">
        <f t="shared" si="1"/>
        <v>34</v>
      </c>
    </row>
    <row r="45" spans="1:10">
      <c r="A45" s="250">
        <f t="shared" si="0"/>
        <v>35</v>
      </c>
      <c r="B45" s="6" t="s">
        <v>413</v>
      </c>
      <c r="E45" s="470">
        <f>SUM(E43:E44)</f>
        <v>484388.59607973404</v>
      </c>
      <c r="G45" s="250" t="str">
        <f>"Line "&amp;A43&amp;" + Line "&amp;A44</f>
        <v>Line 33 + Line 34</v>
      </c>
      <c r="H45" s="250">
        <f t="shared" si="1"/>
        <v>35</v>
      </c>
    </row>
    <row r="46" spans="1:10">
      <c r="A46" s="250">
        <f t="shared" si="0"/>
        <v>36</v>
      </c>
      <c r="B46" s="3" t="s">
        <v>198</v>
      </c>
      <c r="E46" s="1163">
        <f>'Stmt AI'!E27</f>
        <v>0.10215928815161097</v>
      </c>
      <c r="G46" s="467" t="str">
        <f>"Statement AI; Line "&amp;'Stmt AI'!A27</f>
        <v>Statement AI; Line 17</v>
      </c>
      <c r="H46" s="250">
        <f t="shared" si="1"/>
        <v>36</v>
      </c>
    </row>
    <row r="47" spans="1:10">
      <c r="A47" s="250">
        <f t="shared" si="0"/>
        <v>37</v>
      </c>
      <c r="B47" s="6" t="s">
        <v>414</v>
      </c>
      <c r="E47" s="989">
        <f>E45*E46</f>
        <v>49484.794164263847</v>
      </c>
      <c r="G47" s="250" t="str">
        <f>"Line "&amp;A45&amp;" x Line "&amp;A46</f>
        <v>Line 35 x Line 36</v>
      </c>
      <c r="H47" s="250">
        <f t="shared" si="1"/>
        <v>37</v>
      </c>
    </row>
    <row r="48" spans="1:10">
      <c r="A48" s="250">
        <f t="shared" si="0"/>
        <v>38</v>
      </c>
      <c r="B48" s="219" t="s">
        <v>415</v>
      </c>
      <c r="E48" s="1164">
        <f>E68*(-E44)</f>
        <v>3440.4476676396303</v>
      </c>
      <c r="G48" s="250" t="str">
        <f>"Negative of Line "&amp;A44&amp;" x Line "&amp;A68</f>
        <v>Negative of Line 34 x Line 58</v>
      </c>
      <c r="H48" s="250">
        <f t="shared" si="1"/>
        <v>38</v>
      </c>
    </row>
    <row r="49" spans="1:9" ht="16.5" thickBot="1">
      <c r="A49" s="250">
        <f t="shared" si="0"/>
        <v>39</v>
      </c>
      <c r="B49" s="425" t="s">
        <v>416</v>
      </c>
      <c r="E49" s="483">
        <f>E48+E47</f>
        <v>52925.241831903477</v>
      </c>
      <c r="G49" s="250" t="str">
        <f>"Line "&amp;A47&amp;" + Line "&amp;A48</f>
        <v>Line 37 + Line 38</v>
      </c>
      <c r="H49" s="250">
        <f t="shared" si="1"/>
        <v>39</v>
      </c>
      <c r="I49" s="425"/>
    </row>
    <row r="50" spans="1:9" ht="16.5" thickTop="1">
      <c r="A50" s="250">
        <f t="shared" si="0"/>
        <v>40</v>
      </c>
      <c r="B50" s="471"/>
      <c r="E50" s="472"/>
      <c r="G50" s="250"/>
      <c r="H50" s="250">
        <f t="shared" si="1"/>
        <v>40</v>
      </c>
    </row>
    <row r="51" spans="1:9">
      <c r="A51" s="250">
        <f t="shared" si="0"/>
        <v>41</v>
      </c>
      <c r="B51" s="7" t="s">
        <v>417</v>
      </c>
      <c r="E51" s="473"/>
      <c r="G51" s="250"/>
      <c r="H51" s="250">
        <f t="shared" si="1"/>
        <v>41</v>
      </c>
    </row>
    <row r="52" spans="1:9">
      <c r="A52" s="250">
        <f t="shared" si="0"/>
        <v>42</v>
      </c>
      <c r="B52" s="6" t="s">
        <v>418</v>
      </c>
      <c r="E52" s="474">
        <f>'Stmt AD'!I35</f>
        <v>7503381.1074746149</v>
      </c>
      <c r="G52" s="250" t="str">
        <f>"Statement AD; Line "&amp;'Stmt AD'!A35</f>
        <v>Statement AD; Line 25</v>
      </c>
      <c r="H52" s="250">
        <f t="shared" si="1"/>
        <v>42</v>
      </c>
    </row>
    <row r="53" spans="1:9">
      <c r="A53" s="250">
        <f t="shared" si="0"/>
        <v>43</v>
      </c>
      <c r="B53" s="6" t="s">
        <v>200</v>
      </c>
      <c r="E53" s="475">
        <v>0</v>
      </c>
      <c r="G53" s="250" t="s">
        <v>307</v>
      </c>
      <c r="H53" s="250">
        <f t="shared" si="1"/>
        <v>43</v>
      </c>
    </row>
    <row r="54" spans="1:9">
      <c r="A54" s="250">
        <f t="shared" si="0"/>
        <v>44</v>
      </c>
      <c r="B54" s="6" t="s">
        <v>201</v>
      </c>
      <c r="E54" s="476">
        <f>'Stmt AD'!I39</f>
        <v>55713.882123291965</v>
      </c>
      <c r="G54" s="477" t="str">
        <f>"Statement AD; Line "&amp;'Stmt AD'!A39</f>
        <v>Statement AD; Line 29</v>
      </c>
      <c r="H54" s="250">
        <f t="shared" si="1"/>
        <v>44</v>
      </c>
    </row>
    <row r="55" spans="1:9">
      <c r="A55" s="250">
        <f t="shared" si="0"/>
        <v>45</v>
      </c>
      <c r="B55" s="6" t="s">
        <v>202</v>
      </c>
      <c r="E55" s="1165">
        <f>'Stmt AD'!I41</f>
        <v>156288.03692994633</v>
      </c>
      <c r="G55" s="477" t="str">
        <f>"Statement AD; Line "&amp;'Stmt AD'!A41</f>
        <v>Statement AD; Line 31</v>
      </c>
      <c r="H55" s="250">
        <f t="shared" si="1"/>
        <v>45</v>
      </c>
    </row>
    <row r="56" spans="1:9" ht="16.5" thickBot="1">
      <c r="A56" s="250">
        <f t="shared" si="0"/>
        <v>46</v>
      </c>
      <c r="B56" s="6" t="s">
        <v>419</v>
      </c>
      <c r="E56" s="990">
        <f>SUM(E52:E55)</f>
        <v>7715383.0265278537</v>
      </c>
      <c r="G56" s="250" t="str">
        <f>"Sum Lines "&amp;A52&amp;" thru "&amp;A55</f>
        <v>Sum Lines 42 thru 45</v>
      </c>
      <c r="H56" s="250">
        <f t="shared" si="1"/>
        <v>46</v>
      </c>
      <c r="I56" s="425"/>
    </row>
    <row r="57" spans="1:9" ht="16.5" thickTop="1">
      <c r="A57" s="250">
        <f t="shared" si="0"/>
        <v>47</v>
      </c>
      <c r="B57" s="471"/>
      <c r="E57" s="164"/>
      <c r="G57" s="250"/>
      <c r="H57" s="250">
        <f t="shared" si="1"/>
        <v>47</v>
      </c>
    </row>
    <row r="58" spans="1:9">
      <c r="A58" s="250">
        <f t="shared" si="0"/>
        <v>48</v>
      </c>
      <c r="B58" s="6" t="s">
        <v>199</v>
      </c>
      <c r="E58" s="478">
        <f>E52</f>
        <v>7503381.1074746149</v>
      </c>
      <c r="G58" s="359" t="str">
        <f>"Line "&amp;A52&amp;" Above"</f>
        <v>Line 42 Above</v>
      </c>
      <c r="H58" s="250">
        <f t="shared" si="1"/>
        <v>48</v>
      </c>
    </row>
    <row r="59" spans="1:9">
      <c r="A59" s="250">
        <f t="shared" si="0"/>
        <v>49</v>
      </c>
      <c r="B59" s="6" t="s">
        <v>420</v>
      </c>
      <c r="E59" s="479">
        <f>'Stmt AD'!I11</f>
        <v>573458.27988615376</v>
      </c>
      <c r="G59" s="477" t="str">
        <f>"Statement AD; Line "&amp;'Stmt AD'!A11</f>
        <v>Statement AD; Line 1</v>
      </c>
      <c r="H59" s="250">
        <f t="shared" si="1"/>
        <v>49</v>
      </c>
    </row>
    <row r="60" spans="1:9">
      <c r="A60" s="250">
        <f t="shared" si="0"/>
        <v>50</v>
      </c>
      <c r="B60" s="6" t="s">
        <v>421</v>
      </c>
      <c r="E60" s="475">
        <v>0</v>
      </c>
      <c r="G60" s="250" t="s">
        <v>307</v>
      </c>
      <c r="H60" s="250">
        <f t="shared" si="1"/>
        <v>50</v>
      </c>
    </row>
    <row r="61" spans="1:9">
      <c r="A61" s="250">
        <f t="shared" si="0"/>
        <v>51</v>
      </c>
      <c r="B61" s="6" t="s">
        <v>422</v>
      </c>
      <c r="E61" s="479">
        <f>'Stmt AD'!I17</f>
        <v>539341.99986846163</v>
      </c>
      <c r="G61" s="477" t="str">
        <f>"Statement AD; Line "&amp;'Stmt AD'!A17</f>
        <v>Statement AD; Line 7</v>
      </c>
      <c r="H61" s="250">
        <f t="shared" si="1"/>
        <v>51</v>
      </c>
    </row>
    <row r="62" spans="1:9">
      <c r="A62" s="250">
        <f t="shared" si="0"/>
        <v>52</v>
      </c>
      <c r="B62" s="6" t="s">
        <v>423</v>
      </c>
      <c r="E62" s="479">
        <f>'Stmt AD'!I19</f>
        <v>9334732.9401250016</v>
      </c>
      <c r="G62" s="477" t="str">
        <f>"Statement AD; Line "&amp;'Stmt AD'!A19</f>
        <v>Statement AD; Line 9</v>
      </c>
      <c r="H62" s="250">
        <f t="shared" si="1"/>
        <v>52</v>
      </c>
    </row>
    <row r="63" spans="1:9">
      <c r="A63" s="250">
        <f t="shared" si="0"/>
        <v>53</v>
      </c>
      <c r="B63" s="425" t="s">
        <v>200</v>
      </c>
      <c r="E63" s="475">
        <v>0</v>
      </c>
      <c r="G63" s="250" t="s">
        <v>307</v>
      </c>
      <c r="H63" s="250">
        <f t="shared" si="1"/>
        <v>53</v>
      </c>
    </row>
    <row r="64" spans="1:9">
      <c r="A64" s="250">
        <f t="shared" si="0"/>
        <v>54</v>
      </c>
      <c r="B64" s="6" t="s">
        <v>424</v>
      </c>
      <c r="E64" s="479">
        <f>'Stmt AD'!I27</f>
        <v>545362.86549500003</v>
      </c>
      <c r="G64" s="477" t="str">
        <f>"Statement AD; Line "&amp;'Stmt AD'!A27</f>
        <v>Statement AD; Line 17</v>
      </c>
      <c r="H64" s="250">
        <f t="shared" si="1"/>
        <v>54</v>
      </c>
    </row>
    <row r="65" spans="1:9">
      <c r="A65" s="250">
        <f t="shared" si="0"/>
        <v>55</v>
      </c>
      <c r="B65" s="6" t="s">
        <v>425</v>
      </c>
      <c r="E65" s="1166">
        <f>'Stmt AD'!I29</f>
        <v>1529846.5735000502</v>
      </c>
      <c r="G65" s="477" t="str">
        <f>"Statement AD; Line "&amp;'Stmt AD'!A29</f>
        <v>Statement AD; Line 19</v>
      </c>
      <c r="H65" s="250">
        <f t="shared" si="1"/>
        <v>55</v>
      </c>
    </row>
    <row r="66" spans="1:9" ht="16.5" thickBot="1">
      <c r="A66" s="250">
        <f t="shared" si="0"/>
        <v>56</v>
      </c>
      <c r="B66" s="6" t="s">
        <v>426</v>
      </c>
      <c r="E66" s="991">
        <f>SUM(E58:E65)</f>
        <v>20026123.766349278</v>
      </c>
      <c r="G66" s="250" t="str">
        <f>"Sum Lines "&amp;A58&amp;" thru "&amp;A65</f>
        <v>Sum Lines 48 thru 55</v>
      </c>
      <c r="H66" s="250">
        <f t="shared" si="1"/>
        <v>56</v>
      </c>
      <c r="I66" s="425"/>
    </row>
    <row r="67" spans="1:9" ht="16.5" thickTop="1">
      <c r="A67" s="250">
        <f t="shared" si="0"/>
        <v>57</v>
      </c>
      <c r="E67" s="401"/>
      <c r="G67" s="250"/>
      <c r="H67" s="250">
        <f t="shared" si="1"/>
        <v>57</v>
      </c>
    </row>
    <row r="68" spans="1:9" ht="19.5" thickBot="1">
      <c r="A68" s="250">
        <f t="shared" si="0"/>
        <v>58</v>
      </c>
      <c r="B68" s="6" t="s">
        <v>427</v>
      </c>
      <c r="E68" s="480">
        <f>E56/E66</f>
        <v>0.38526592148063771</v>
      </c>
      <c r="G68" s="250" t="str">
        <f>"Line "&amp;A56&amp;" / Line "&amp;A66</f>
        <v>Line 46 / Line 56</v>
      </c>
      <c r="H68" s="250">
        <f t="shared" si="1"/>
        <v>58</v>
      </c>
      <c r="I68" s="425"/>
    </row>
    <row r="69" spans="1:9" ht="16.5" thickTop="1">
      <c r="B69" s="425" t="s">
        <v>186</v>
      </c>
      <c r="E69" s="481"/>
      <c r="G69" s="250"/>
      <c r="H69" s="250"/>
    </row>
    <row r="70" spans="1:9">
      <c r="B70" s="6"/>
      <c r="E70" s="481"/>
      <c r="F70" s="481"/>
      <c r="G70" s="250"/>
      <c r="H70" s="250"/>
    </row>
    <row r="71" spans="1:9" ht="18.75">
      <c r="A71" s="482">
        <v>1</v>
      </c>
      <c r="B71" s="6" t="str">
        <f>"Used to allocate property insurance in conformance with the TO"&amp;Automation!B1&amp;" Formula Rate Mechanism."</f>
        <v>Used to allocate property insurance in conformance with the TO5 Formula Rate Mechanism.</v>
      </c>
      <c r="H71" s="250"/>
    </row>
    <row r="72" spans="1:9">
      <c r="B72" s="425"/>
      <c r="E72" s="401"/>
      <c r="F72" s="401"/>
      <c r="G72" s="250"/>
      <c r="H72" s="25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3" orientation="portrait" r:id="rId1"/>
  <headerFooter scaleWithDoc="0">
    <oddFooter>&amp;C&amp;"Times New Roman,Regular"&amp;10AH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2:J67"/>
  <sheetViews>
    <sheetView topLeftCell="A27" zoomScale="80" zoomScaleNormal="80" workbookViewId="0"/>
  </sheetViews>
  <sheetFormatPr defaultColWidth="10" defaultRowHeight="15.75"/>
  <cols>
    <col min="1" max="1" width="5.140625" style="762" customWidth="1"/>
    <col min="2" max="2" width="11.140625" style="747" customWidth="1"/>
    <col min="3" max="3" width="69.140625" style="747" customWidth="1"/>
    <col min="4" max="4" width="18.5703125" style="747" customWidth="1"/>
    <col min="5" max="5" width="5.140625" style="762" customWidth="1"/>
    <col min="6" max="7" width="10" style="747"/>
    <col min="8" max="8" width="14" style="747" customWidth="1"/>
    <col min="9" max="16384" width="10" style="747"/>
  </cols>
  <sheetData>
    <row r="2" spans="1:10">
      <c r="A2" s="746"/>
      <c r="B2" s="1299" t="s">
        <v>0</v>
      </c>
      <c r="C2" s="1299"/>
      <c r="D2" s="1299"/>
      <c r="E2" s="556"/>
      <c r="F2" s="240"/>
      <c r="G2" s="539"/>
      <c r="H2" s="539"/>
      <c r="I2" s="539"/>
      <c r="J2" s="539"/>
    </row>
    <row r="3" spans="1:10">
      <c r="A3" s="585"/>
      <c r="B3" s="1314" t="str">
        <f>Automation!B3&amp;" Citizens Direct Maintenance"</f>
        <v>2022 Citizens Direct Maintenance</v>
      </c>
      <c r="C3" s="1314"/>
      <c r="D3" s="1314"/>
      <c r="E3" s="586"/>
      <c r="F3" s="539"/>
      <c r="G3" s="539"/>
      <c r="H3" s="539"/>
      <c r="I3" s="539"/>
      <c r="J3" s="539"/>
    </row>
    <row r="4" spans="1:10">
      <c r="A4" s="110"/>
      <c r="B4" s="1286" t="str">
        <f>" 12 Months Ending December 31, "&amp;Automation!$B$3</f>
        <v xml:space="preserve"> 12 Months Ending December 31, 2022</v>
      </c>
      <c r="C4" s="1286"/>
      <c r="D4" s="1286"/>
      <c r="E4" s="109"/>
      <c r="F4" s="63"/>
      <c r="G4" s="63"/>
      <c r="H4" s="63"/>
      <c r="I4" s="63"/>
      <c r="J4" s="63"/>
    </row>
    <row r="5" spans="1:10">
      <c r="A5" s="110"/>
      <c r="B5" s="1315" t="s">
        <v>3</v>
      </c>
      <c r="C5" s="1315"/>
      <c r="D5" s="1315"/>
      <c r="E5" s="109"/>
      <c r="F5" s="63"/>
      <c r="G5" s="63"/>
      <c r="H5" s="63"/>
      <c r="I5" s="63"/>
      <c r="J5" s="63"/>
    </row>
    <row r="6" spans="1:10" ht="16.5" thickBot="1">
      <c r="A6" s="109"/>
      <c r="B6" s="77"/>
      <c r="C6" s="77"/>
      <c r="D6" s="77"/>
      <c r="E6" s="109"/>
      <c r="F6" s="63"/>
      <c r="G6" s="63"/>
      <c r="H6" s="63"/>
      <c r="I6" s="63"/>
      <c r="J6" s="63"/>
    </row>
    <row r="7" spans="1:10">
      <c r="A7" s="748" t="s">
        <v>4</v>
      </c>
      <c r="B7" s="749" t="s">
        <v>428</v>
      </c>
      <c r="C7" s="750"/>
      <c r="D7" s="751"/>
      <c r="E7" s="748" t="s">
        <v>4</v>
      </c>
    </row>
    <row r="8" spans="1:10">
      <c r="A8" s="748" t="s">
        <v>5</v>
      </c>
      <c r="B8" s="1199" t="s">
        <v>261</v>
      </c>
      <c r="C8" s="1167" t="s">
        <v>262</v>
      </c>
      <c r="D8" s="1168" t="s">
        <v>7</v>
      </c>
      <c r="E8" s="748" t="s">
        <v>5</v>
      </c>
    </row>
    <row r="9" spans="1:10">
      <c r="A9" s="748">
        <v>1</v>
      </c>
      <c r="B9" s="752">
        <v>6110020</v>
      </c>
      <c r="C9" s="753" t="s">
        <v>429</v>
      </c>
      <c r="D9" s="992">
        <f>0/1000</f>
        <v>0</v>
      </c>
      <c r="E9" s="748">
        <f>A9</f>
        <v>1</v>
      </c>
    </row>
    <row r="10" spans="1:10">
      <c r="A10" s="748">
        <f>A9+1</f>
        <v>2</v>
      </c>
      <c r="B10" s="752">
        <v>6110030</v>
      </c>
      <c r="C10" s="753" t="s">
        <v>430</v>
      </c>
      <c r="D10" s="909">
        <f>0/1000</f>
        <v>0</v>
      </c>
      <c r="E10" s="748">
        <f>E9+1</f>
        <v>2</v>
      </c>
    </row>
    <row r="11" spans="1:10">
      <c r="A11" s="748">
        <f>A10+1</f>
        <v>3</v>
      </c>
      <c r="B11" s="752">
        <v>6110080</v>
      </c>
      <c r="C11" s="753" t="s">
        <v>431</v>
      </c>
      <c r="D11" s="909">
        <f t="shared" ref="D11:D54" si="0">0/1000</f>
        <v>0</v>
      </c>
      <c r="E11" s="748">
        <f>E10+1</f>
        <v>3</v>
      </c>
    </row>
    <row r="12" spans="1:10">
      <c r="A12" s="748">
        <f>A11+1</f>
        <v>4</v>
      </c>
      <c r="B12" s="752">
        <v>6110090</v>
      </c>
      <c r="C12" s="753" t="s">
        <v>432</v>
      </c>
      <c r="D12" s="909">
        <f t="shared" si="0"/>
        <v>0</v>
      </c>
      <c r="E12" s="748">
        <f>E11+1</f>
        <v>4</v>
      </c>
    </row>
    <row r="13" spans="1:10">
      <c r="A13" s="748">
        <f>A12+1</f>
        <v>5</v>
      </c>
      <c r="B13" s="752">
        <v>6110100</v>
      </c>
      <c r="C13" s="753" t="s">
        <v>433</v>
      </c>
      <c r="D13" s="909">
        <f t="shared" si="0"/>
        <v>0</v>
      </c>
      <c r="E13" s="748">
        <f>E12+1</f>
        <v>5</v>
      </c>
    </row>
    <row r="14" spans="1:10">
      <c r="A14" s="748">
        <f>A13+1</f>
        <v>6</v>
      </c>
      <c r="B14" s="752">
        <v>6110110</v>
      </c>
      <c r="C14" s="753" t="s">
        <v>434</v>
      </c>
      <c r="D14" s="909">
        <f t="shared" si="0"/>
        <v>0</v>
      </c>
      <c r="E14" s="748">
        <f>E13+1</f>
        <v>6</v>
      </c>
    </row>
    <row r="15" spans="1:10">
      <c r="A15" s="748">
        <f t="shared" ref="A15:A57" si="1">A14+1</f>
        <v>7</v>
      </c>
      <c r="B15" s="752">
        <v>6110120</v>
      </c>
      <c r="C15" s="753" t="s">
        <v>435</v>
      </c>
      <c r="D15" s="909">
        <f t="shared" si="0"/>
        <v>0</v>
      </c>
      <c r="E15" s="748">
        <f t="shared" ref="E15:E57" si="2">E14+1</f>
        <v>7</v>
      </c>
    </row>
    <row r="16" spans="1:10">
      <c r="A16" s="748">
        <f t="shared" si="1"/>
        <v>8</v>
      </c>
      <c r="B16" s="752">
        <v>6110130</v>
      </c>
      <c r="C16" s="753" t="s">
        <v>436</v>
      </c>
      <c r="D16" s="909">
        <f t="shared" si="0"/>
        <v>0</v>
      </c>
      <c r="E16" s="748">
        <f t="shared" si="2"/>
        <v>8</v>
      </c>
    </row>
    <row r="17" spans="1:5">
      <c r="A17" s="748">
        <f t="shared" si="1"/>
        <v>9</v>
      </c>
      <c r="B17" s="752">
        <v>6110335</v>
      </c>
      <c r="C17" s="753" t="s">
        <v>437</v>
      </c>
      <c r="D17" s="909">
        <f t="shared" si="0"/>
        <v>0</v>
      </c>
      <c r="E17" s="748">
        <f t="shared" si="2"/>
        <v>9</v>
      </c>
    </row>
    <row r="18" spans="1:5">
      <c r="A18" s="748">
        <f t="shared" si="1"/>
        <v>10</v>
      </c>
      <c r="B18" s="752">
        <v>6130020</v>
      </c>
      <c r="C18" s="753" t="s">
        <v>438</v>
      </c>
      <c r="D18" s="909">
        <f t="shared" si="0"/>
        <v>0</v>
      </c>
      <c r="E18" s="748">
        <f t="shared" si="2"/>
        <v>10</v>
      </c>
    </row>
    <row r="19" spans="1:5">
      <c r="A19" s="748">
        <f t="shared" si="1"/>
        <v>11</v>
      </c>
      <c r="B19" s="752">
        <v>6220007</v>
      </c>
      <c r="C19" s="753" t="s">
        <v>439</v>
      </c>
      <c r="D19" s="909">
        <f t="shared" si="0"/>
        <v>0</v>
      </c>
      <c r="E19" s="748">
        <f t="shared" si="2"/>
        <v>11</v>
      </c>
    </row>
    <row r="20" spans="1:5">
      <c r="A20" s="748">
        <f t="shared" si="1"/>
        <v>12</v>
      </c>
      <c r="B20" s="752">
        <v>6220100</v>
      </c>
      <c r="C20" s="753" t="s">
        <v>440</v>
      </c>
      <c r="D20" s="909">
        <f t="shared" si="0"/>
        <v>0</v>
      </c>
      <c r="E20" s="748">
        <f t="shared" si="2"/>
        <v>12</v>
      </c>
    </row>
    <row r="21" spans="1:5">
      <c r="A21" s="748">
        <f t="shared" si="1"/>
        <v>13</v>
      </c>
      <c r="B21" s="752">
        <v>6220600</v>
      </c>
      <c r="C21" s="753" t="s">
        <v>441</v>
      </c>
      <c r="D21" s="909">
        <f t="shared" si="0"/>
        <v>0</v>
      </c>
      <c r="E21" s="748">
        <f t="shared" si="2"/>
        <v>13</v>
      </c>
    </row>
    <row r="22" spans="1:5">
      <c r="A22" s="748">
        <f t="shared" si="1"/>
        <v>14</v>
      </c>
      <c r="B22" s="752">
        <v>6220850</v>
      </c>
      <c r="C22" s="753" t="s">
        <v>442</v>
      </c>
      <c r="D22" s="909">
        <f t="shared" si="0"/>
        <v>0</v>
      </c>
      <c r="E22" s="748">
        <f t="shared" si="2"/>
        <v>14</v>
      </c>
    </row>
    <row r="23" spans="1:5">
      <c r="A23" s="748">
        <f t="shared" si="1"/>
        <v>15</v>
      </c>
      <c r="B23" s="752">
        <v>6221000</v>
      </c>
      <c r="C23" s="753" t="s">
        <v>443</v>
      </c>
      <c r="D23" s="909">
        <f t="shared" si="0"/>
        <v>0</v>
      </c>
      <c r="E23" s="748">
        <f t="shared" si="2"/>
        <v>15</v>
      </c>
    </row>
    <row r="24" spans="1:5">
      <c r="A24" s="748">
        <f t="shared" si="1"/>
        <v>16</v>
      </c>
      <c r="B24" s="752">
        <v>6231042</v>
      </c>
      <c r="C24" s="753" t="s">
        <v>444</v>
      </c>
      <c r="D24" s="909">
        <f t="shared" si="0"/>
        <v>0</v>
      </c>
      <c r="E24" s="748">
        <f t="shared" si="2"/>
        <v>16</v>
      </c>
    </row>
    <row r="25" spans="1:5">
      <c r="A25" s="748">
        <f t="shared" si="1"/>
        <v>17</v>
      </c>
      <c r="B25" s="752">
        <v>6261050</v>
      </c>
      <c r="C25" s="753" t="s">
        <v>445</v>
      </c>
      <c r="D25" s="909">
        <f t="shared" si="0"/>
        <v>0</v>
      </c>
      <c r="E25" s="748">
        <f t="shared" si="2"/>
        <v>17</v>
      </c>
    </row>
    <row r="26" spans="1:5">
      <c r="A26" s="748">
        <f t="shared" si="1"/>
        <v>18</v>
      </c>
      <c r="B26" s="752">
        <v>6262050</v>
      </c>
      <c r="C26" s="753" t="s">
        <v>446</v>
      </c>
      <c r="D26" s="909">
        <f t="shared" si="0"/>
        <v>0</v>
      </c>
      <c r="E26" s="748">
        <f t="shared" si="2"/>
        <v>18</v>
      </c>
    </row>
    <row r="27" spans="1:5">
      <c r="A27" s="748">
        <f t="shared" si="1"/>
        <v>19</v>
      </c>
      <c r="B27" s="752">
        <v>6340000</v>
      </c>
      <c r="C27" s="753" t="s">
        <v>447</v>
      </c>
      <c r="D27" s="909">
        <f t="shared" si="0"/>
        <v>0</v>
      </c>
      <c r="E27" s="748">
        <f t="shared" si="2"/>
        <v>19</v>
      </c>
    </row>
    <row r="28" spans="1:5">
      <c r="A28" s="748">
        <f t="shared" si="1"/>
        <v>20</v>
      </c>
      <c r="B28" s="752">
        <v>9121100</v>
      </c>
      <c r="C28" s="753" t="s">
        <v>448</v>
      </c>
      <c r="D28" s="909">
        <f t="shared" si="0"/>
        <v>0</v>
      </c>
      <c r="E28" s="748">
        <f t="shared" si="2"/>
        <v>20</v>
      </c>
    </row>
    <row r="29" spans="1:5">
      <c r="A29" s="748">
        <f t="shared" si="1"/>
        <v>21</v>
      </c>
      <c r="B29" s="752">
        <v>9121200</v>
      </c>
      <c r="C29" s="753" t="s">
        <v>449</v>
      </c>
      <c r="D29" s="909">
        <f t="shared" si="0"/>
        <v>0</v>
      </c>
      <c r="E29" s="748">
        <f t="shared" si="2"/>
        <v>21</v>
      </c>
    </row>
    <row r="30" spans="1:5">
      <c r="A30" s="748">
        <f t="shared" si="1"/>
        <v>22</v>
      </c>
      <c r="B30" s="752">
        <v>9121400</v>
      </c>
      <c r="C30" s="753" t="s">
        <v>450</v>
      </c>
      <c r="D30" s="909">
        <f t="shared" si="0"/>
        <v>0</v>
      </c>
      <c r="E30" s="748">
        <f t="shared" si="2"/>
        <v>22</v>
      </c>
    </row>
    <row r="31" spans="1:5">
      <c r="A31" s="748">
        <f t="shared" si="1"/>
        <v>23</v>
      </c>
      <c r="B31" s="752">
        <v>9121500</v>
      </c>
      <c r="C31" s="753" t="s">
        <v>451</v>
      </c>
      <c r="D31" s="909">
        <f t="shared" si="0"/>
        <v>0</v>
      </c>
      <c r="E31" s="748">
        <f t="shared" si="2"/>
        <v>23</v>
      </c>
    </row>
    <row r="32" spans="1:5">
      <c r="A32" s="748">
        <f t="shared" si="1"/>
        <v>24</v>
      </c>
      <c r="B32" s="752">
        <v>9121600</v>
      </c>
      <c r="C32" s="753" t="s">
        <v>452</v>
      </c>
      <c r="D32" s="909">
        <f t="shared" si="0"/>
        <v>0</v>
      </c>
      <c r="E32" s="748">
        <f t="shared" si="2"/>
        <v>24</v>
      </c>
    </row>
    <row r="33" spans="1:5">
      <c r="A33" s="748">
        <f t="shared" si="1"/>
        <v>25</v>
      </c>
      <c r="B33" s="752">
        <v>9122300</v>
      </c>
      <c r="C33" s="753" t="s">
        <v>453</v>
      </c>
      <c r="D33" s="909">
        <f t="shared" si="0"/>
        <v>0</v>
      </c>
      <c r="E33" s="748">
        <f t="shared" si="2"/>
        <v>25</v>
      </c>
    </row>
    <row r="34" spans="1:5">
      <c r="A34" s="748">
        <f t="shared" si="1"/>
        <v>26</v>
      </c>
      <c r="B34" s="752">
        <v>9122400</v>
      </c>
      <c r="C34" s="753" t="s">
        <v>454</v>
      </c>
      <c r="D34" s="909">
        <f t="shared" si="0"/>
        <v>0</v>
      </c>
      <c r="E34" s="748">
        <f t="shared" si="2"/>
        <v>26</v>
      </c>
    </row>
    <row r="35" spans="1:5">
      <c r="A35" s="748">
        <f t="shared" si="1"/>
        <v>27</v>
      </c>
      <c r="B35" s="752">
        <v>9122500</v>
      </c>
      <c r="C35" s="753" t="s">
        <v>455</v>
      </c>
      <c r="D35" s="909">
        <f t="shared" si="0"/>
        <v>0</v>
      </c>
      <c r="E35" s="748">
        <f t="shared" si="2"/>
        <v>27</v>
      </c>
    </row>
    <row r="36" spans="1:5">
      <c r="A36" s="748">
        <f t="shared" si="1"/>
        <v>28</v>
      </c>
      <c r="B36" s="752">
        <v>9122600</v>
      </c>
      <c r="C36" s="753" t="s">
        <v>456</v>
      </c>
      <c r="D36" s="909">
        <f t="shared" si="0"/>
        <v>0</v>
      </c>
      <c r="E36" s="748">
        <f t="shared" si="2"/>
        <v>28</v>
      </c>
    </row>
    <row r="37" spans="1:5">
      <c r="A37" s="748">
        <f t="shared" si="1"/>
        <v>29</v>
      </c>
      <c r="B37" s="752">
        <v>9122900</v>
      </c>
      <c r="C37" s="753" t="s">
        <v>457</v>
      </c>
      <c r="D37" s="909">
        <f t="shared" si="0"/>
        <v>0</v>
      </c>
      <c r="E37" s="748">
        <f t="shared" si="2"/>
        <v>29</v>
      </c>
    </row>
    <row r="38" spans="1:5">
      <c r="A38" s="748">
        <f t="shared" si="1"/>
        <v>30</v>
      </c>
      <c r="B38" s="752">
        <v>9123100</v>
      </c>
      <c r="C38" s="753" t="s">
        <v>458</v>
      </c>
      <c r="D38" s="909">
        <f t="shared" si="0"/>
        <v>0</v>
      </c>
      <c r="E38" s="748">
        <f t="shared" si="2"/>
        <v>30</v>
      </c>
    </row>
    <row r="39" spans="1:5">
      <c r="A39" s="748">
        <f t="shared" si="1"/>
        <v>31</v>
      </c>
      <c r="B39" s="752">
        <v>9123200</v>
      </c>
      <c r="C39" s="753" t="s">
        <v>459</v>
      </c>
      <c r="D39" s="909">
        <f t="shared" si="0"/>
        <v>0</v>
      </c>
      <c r="E39" s="748">
        <f t="shared" si="2"/>
        <v>31</v>
      </c>
    </row>
    <row r="40" spans="1:5">
      <c r="A40" s="748">
        <f t="shared" si="1"/>
        <v>32</v>
      </c>
      <c r="B40" s="752">
        <v>9123400</v>
      </c>
      <c r="C40" s="753" t="s">
        <v>460</v>
      </c>
      <c r="D40" s="909">
        <f t="shared" si="0"/>
        <v>0</v>
      </c>
      <c r="E40" s="748">
        <f t="shared" si="2"/>
        <v>32</v>
      </c>
    </row>
    <row r="41" spans="1:5">
      <c r="A41" s="748">
        <f t="shared" si="1"/>
        <v>33</v>
      </c>
      <c r="B41" s="752">
        <v>9123500</v>
      </c>
      <c r="C41" s="753" t="s">
        <v>461</v>
      </c>
      <c r="D41" s="909">
        <f t="shared" si="0"/>
        <v>0</v>
      </c>
      <c r="E41" s="748">
        <f t="shared" si="2"/>
        <v>33</v>
      </c>
    </row>
    <row r="42" spans="1:5">
      <c r="A42" s="748">
        <f t="shared" si="1"/>
        <v>34</v>
      </c>
      <c r="B42" s="752">
        <v>9123600</v>
      </c>
      <c r="C42" s="753" t="s">
        <v>462</v>
      </c>
      <c r="D42" s="909">
        <f t="shared" si="0"/>
        <v>0</v>
      </c>
      <c r="E42" s="748">
        <f t="shared" si="2"/>
        <v>34</v>
      </c>
    </row>
    <row r="43" spans="1:5">
      <c r="A43" s="748">
        <f t="shared" si="1"/>
        <v>35</v>
      </c>
      <c r="B43" s="752">
        <v>9124300</v>
      </c>
      <c r="C43" s="753" t="s">
        <v>463</v>
      </c>
      <c r="D43" s="909">
        <f t="shared" si="0"/>
        <v>0</v>
      </c>
      <c r="E43" s="748">
        <f t="shared" si="2"/>
        <v>35</v>
      </c>
    </row>
    <row r="44" spans="1:5">
      <c r="A44" s="748">
        <f t="shared" si="1"/>
        <v>36</v>
      </c>
      <c r="B44" s="752">
        <v>9124400</v>
      </c>
      <c r="C44" s="753" t="s">
        <v>464</v>
      </c>
      <c r="D44" s="909">
        <f t="shared" si="0"/>
        <v>0</v>
      </c>
      <c r="E44" s="748">
        <f t="shared" si="2"/>
        <v>36</v>
      </c>
    </row>
    <row r="45" spans="1:5">
      <c r="A45" s="748">
        <f t="shared" si="1"/>
        <v>37</v>
      </c>
      <c r="B45" s="752">
        <v>9124500</v>
      </c>
      <c r="C45" s="753" t="s">
        <v>465</v>
      </c>
      <c r="D45" s="909">
        <f t="shared" si="0"/>
        <v>0</v>
      </c>
      <c r="E45" s="748">
        <f t="shared" si="2"/>
        <v>37</v>
      </c>
    </row>
    <row r="46" spans="1:5">
      <c r="A46" s="748">
        <f t="shared" si="1"/>
        <v>38</v>
      </c>
      <c r="B46" s="752">
        <v>9124600</v>
      </c>
      <c r="C46" s="753" t="s">
        <v>466</v>
      </c>
      <c r="D46" s="909">
        <f t="shared" si="0"/>
        <v>0</v>
      </c>
      <c r="E46" s="748">
        <f t="shared" si="2"/>
        <v>38</v>
      </c>
    </row>
    <row r="47" spans="1:5">
      <c r="A47" s="748">
        <f t="shared" si="1"/>
        <v>39</v>
      </c>
      <c r="B47" s="752">
        <v>9124900</v>
      </c>
      <c r="C47" s="753" t="s">
        <v>467</v>
      </c>
      <c r="D47" s="909">
        <f t="shared" si="0"/>
        <v>0</v>
      </c>
      <c r="E47" s="748">
        <f t="shared" si="2"/>
        <v>39</v>
      </c>
    </row>
    <row r="48" spans="1:5">
      <c r="A48" s="748">
        <f t="shared" si="1"/>
        <v>40</v>
      </c>
      <c r="B48" s="752">
        <v>9131150</v>
      </c>
      <c r="C48" s="753" t="s">
        <v>468</v>
      </c>
      <c r="D48" s="909">
        <f t="shared" si="0"/>
        <v>0</v>
      </c>
      <c r="E48" s="748">
        <f t="shared" si="2"/>
        <v>40</v>
      </c>
    </row>
    <row r="49" spans="1:5">
      <c r="A49" s="748">
        <f t="shared" si="1"/>
        <v>41</v>
      </c>
      <c r="B49" s="752">
        <v>9131700</v>
      </c>
      <c r="C49" s="753" t="s">
        <v>469</v>
      </c>
      <c r="D49" s="909">
        <f t="shared" si="0"/>
        <v>0</v>
      </c>
      <c r="E49" s="748">
        <f t="shared" si="2"/>
        <v>41</v>
      </c>
    </row>
    <row r="50" spans="1:5">
      <c r="A50" s="748">
        <f t="shared" si="1"/>
        <v>42</v>
      </c>
      <c r="B50" s="752">
        <v>9131850</v>
      </c>
      <c r="C50" s="753" t="s">
        <v>470</v>
      </c>
      <c r="D50" s="909">
        <f t="shared" si="0"/>
        <v>0</v>
      </c>
      <c r="E50" s="748">
        <f t="shared" si="2"/>
        <v>42</v>
      </c>
    </row>
    <row r="51" spans="1:5">
      <c r="A51" s="748">
        <f t="shared" si="1"/>
        <v>43</v>
      </c>
      <c r="B51" s="752">
        <v>9131860</v>
      </c>
      <c r="C51" s="753" t="s">
        <v>471</v>
      </c>
      <c r="D51" s="909">
        <f t="shared" si="0"/>
        <v>0</v>
      </c>
      <c r="E51" s="748">
        <f t="shared" si="2"/>
        <v>43</v>
      </c>
    </row>
    <row r="52" spans="1:5">
      <c r="A52" s="748">
        <f t="shared" si="1"/>
        <v>44</v>
      </c>
      <c r="B52" s="752">
        <v>9132150</v>
      </c>
      <c r="C52" s="753" t="s">
        <v>472</v>
      </c>
      <c r="D52" s="909">
        <f t="shared" si="0"/>
        <v>0</v>
      </c>
      <c r="E52" s="748">
        <f t="shared" si="2"/>
        <v>44</v>
      </c>
    </row>
    <row r="53" spans="1:5">
      <c r="A53" s="748">
        <f t="shared" si="1"/>
        <v>45</v>
      </c>
      <c r="B53" s="752">
        <v>9132700</v>
      </c>
      <c r="C53" s="753" t="s">
        <v>473</v>
      </c>
      <c r="D53" s="909">
        <f t="shared" si="0"/>
        <v>0</v>
      </c>
      <c r="E53" s="748">
        <f t="shared" si="2"/>
        <v>45</v>
      </c>
    </row>
    <row r="54" spans="1:5">
      <c r="A54" s="748">
        <f t="shared" si="1"/>
        <v>46</v>
      </c>
      <c r="B54" s="1200">
        <v>9132850</v>
      </c>
      <c r="C54" s="1169" t="s">
        <v>474</v>
      </c>
      <c r="D54" s="1170">
        <f t="shared" si="0"/>
        <v>0</v>
      </c>
      <c r="E54" s="748">
        <f t="shared" si="2"/>
        <v>46</v>
      </c>
    </row>
    <row r="55" spans="1:5">
      <c r="A55" s="748">
        <f t="shared" si="1"/>
        <v>47</v>
      </c>
      <c r="B55" s="754"/>
      <c r="C55" s="755"/>
      <c r="D55" s="993"/>
      <c r="E55" s="748">
        <f t="shared" si="2"/>
        <v>47</v>
      </c>
    </row>
    <row r="56" spans="1:5" ht="19.5" thickBot="1">
      <c r="A56" s="748">
        <f t="shared" si="1"/>
        <v>48</v>
      </c>
      <c r="B56" s="756" t="s">
        <v>475</v>
      </c>
      <c r="C56" s="757"/>
      <c r="D56" s="758">
        <f>SUM(D9:D54)</f>
        <v>0</v>
      </c>
      <c r="E56" s="748">
        <f t="shared" si="2"/>
        <v>48</v>
      </c>
    </row>
    <row r="57" spans="1:5" ht="17.25" thickTop="1" thickBot="1">
      <c r="A57" s="748">
        <f t="shared" si="1"/>
        <v>49</v>
      </c>
      <c r="B57" s="759"/>
      <c r="C57" s="760"/>
      <c r="D57" s="761"/>
      <c r="E57" s="748">
        <f t="shared" si="2"/>
        <v>49</v>
      </c>
    </row>
    <row r="58" spans="1:5">
      <c r="D58" s="763"/>
    </row>
    <row r="59" spans="1:5">
      <c r="D59" s="763"/>
    </row>
    <row r="60" spans="1:5" ht="18.75">
      <c r="A60" s="764">
        <v>1</v>
      </c>
      <c r="B60" s="765" t="s">
        <v>476</v>
      </c>
      <c r="C60" s="765"/>
    </row>
    <row r="61" spans="1:5" ht="18.75">
      <c r="A61" s="764"/>
      <c r="B61" s="765" t="s">
        <v>477</v>
      </c>
      <c r="C61" s="765"/>
    </row>
    <row r="62" spans="1:5" ht="18.75">
      <c r="A62" s="764">
        <v>2</v>
      </c>
      <c r="B62" s="765" t="s">
        <v>898</v>
      </c>
      <c r="C62" s="765"/>
    </row>
    <row r="64" spans="1:5">
      <c r="C64" s="110"/>
    </row>
    <row r="65" spans="3:3">
      <c r="C65" s="765"/>
    </row>
    <row r="66" spans="3:3">
      <c r="C66" s="765"/>
    </row>
    <row r="67" spans="3:3">
      <c r="C67" s="765"/>
    </row>
  </sheetData>
  <mergeCells count="4">
    <mergeCell ref="B2:D2"/>
    <mergeCell ref="B3:D3"/>
    <mergeCell ref="B4:D4"/>
    <mergeCell ref="B5:D5"/>
  </mergeCells>
  <printOptions horizontalCentered="1"/>
  <pageMargins left="0.5" right="0.5" top="0.5" bottom="0.5" header="0.25" footer="0.25"/>
  <pageSetup scale="75" orientation="portrait" r:id="rId1"/>
  <headerFooter scaleWithDoc="0">
    <oddFooter>&amp;C&amp;"Times New Roman,Regular"&amp;10&amp;A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427"/>
  <sheetViews>
    <sheetView topLeftCell="A47" zoomScale="80" zoomScaleNormal="80" zoomScalePageLayoutView="90" workbookViewId="0">
      <selection activeCell="D33" sqref="D33"/>
    </sheetView>
  </sheetViews>
  <sheetFormatPr defaultColWidth="13.28515625" defaultRowHeight="15.75"/>
  <cols>
    <col min="1" max="1" width="5.140625" style="219" customWidth="1"/>
    <col min="2" max="2" width="8.5703125" style="238" customWidth="1"/>
    <col min="3" max="3" width="66.5703125" style="219" customWidth="1"/>
    <col min="4" max="4" width="16.7109375" style="219" customWidth="1"/>
    <col min="5" max="5" width="16.7109375" style="164" customWidth="1"/>
    <col min="6" max="6" width="17.42578125" style="219" bestFit="1" customWidth="1"/>
    <col min="7" max="7" width="35.5703125" style="219" customWidth="1"/>
    <col min="8" max="8" width="5.140625" style="219" customWidth="1"/>
    <col min="9" max="16384" width="13.28515625" style="219"/>
  </cols>
  <sheetData>
    <row r="1" spans="1:11">
      <c r="A1" s="240"/>
    </row>
    <row r="2" spans="1:11" s="240" customFormat="1">
      <c r="B2" s="1299" t="s">
        <v>0</v>
      </c>
      <c r="C2" s="1299"/>
      <c r="D2" s="1299"/>
      <c r="E2" s="1299"/>
      <c r="F2" s="1299"/>
      <c r="G2" s="1299"/>
      <c r="H2" s="556"/>
    </row>
    <row r="3" spans="1:11" s="240" customFormat="1">
      <c r="B3" s="1299" t="s">
        <v>478</v>
      </c>
      <c r="C3" s="1299"/>
      <c r="D3" s="1299"/>
      <c r="E3" s="1299"/>
      <c r="F3" s="1299"/>
      <c r="G3" s="1299"/>
      <c r="H3" s="239"/>
    </row>
    <row r="4" spans="1:11" s="240" customFormat="1">
      <c r="B4" s="1299" t="str">
        <f>" 12 Months Ending December 31, "&amp;Automation!$B$3</f>
        <v xml:space="preserve"> 12 Months Ending December 31, 2022</v>
      </c>
      <c r="C4" s="1299"/>
      <c r="D4" s="1299"/>
      <c r="E4" s="1299"/>
      <c r="F4" s="1299"/>
      <c r="G4" s="1299"/>
      <c r="H4" s="239"/>
    </row>
    <row r="5" spans="1:11" s="240" customFormat="1">
      <c r="B5" s="1297" t="s">
        <v>3</v>
      </c>
      <c r="C5" s="1297"/>
      <c r="D5" s="1297"/>
      <c r="E5" s="1297"/>
      <c r="F5" s="1297"/>
      <c r="G5" s="1297"/>
      <c r="H5" s="239"/>
    </row>
    <row r="6" spans="1:11" ht="16.5" thickBot="1">
      <c r="A6" s="241"/>
      <c r="B6" s="242"/>
      <c r="C6" s="243"/>
      <c r="D6" s="243"/>
      <c r="E6" s="244"/>
      <c r="F6" s="243"/>
      <c r="G6" s="243"/>
      <c r="H6" s="243"/>
      <c r="J6"/>
    </row>
    <row r="7" spans="1:11" s="240" customFormat="1">
      <c r="A7" s="219"/>
      <c r="B7" s="245"/>
      <c r="C7" s="246"/>
      <c r="D7" s="247" t="s">
        <v>77</v>
      </c>
      <c r="E7" s="248" t="s">
        <v>78</v>
      </c>
      <c r="F7" s="247" t="s">
        <v>894</v>
      </c>
      <c r="G7" s="249"/>
      <c r="H7" s="219"/>
    </row>
    <row r="8" spans="1:11" s="240" customFormat="1">
      <c r="A8" s="250" t="s">
        <v>4</v>
      </c>
      <c r="B8" s="251" t="s">
        <v>376</v>
      </c>
      <c r="D8" s="252" t="s">
        <v>80</v>
      </c>
      <c r="E8" s="252" t="s">
        <v>479</v>
      </c>
      <c r="F8" s="252" t="s">
        <v>80</v>
      </c>
      <c r="G8" s="253"/>
      <c r="H8" s="250" t="s">
        <v>4</v>
      </c>
    </row>
    <row r="9" spans="1:11" s="240" customFormat="1">
      <c r="A9" s="250" t="s">
        <v>5</v>
      </c>
      <c r="B9" s="1201" t="s">
        <v>480</v>
      </c>
      <c r="C9" s="994" t="s">
        <v>262</v>
      </c>
      <c r="D9" s="995" t="s">
        <v>481</v>
      </c>
      <c r="E9" s="995" t="s">
        <v>482</v>
      </c>
      <c r="F9" s="995" t="s">
        <v>483</v>
      </c>
      <c r="G9" s="996" t="s">
        <v>8</v>
      </c>
      <c r="H9" s="250" t="s">
        <v>5</v>
      </c>
    </row>
    <row r="10" spans="1:11" s="240" customFormat="1">
      <c r="A10" s="250"/>
      <c r="B10" s="254"/>
      <c r="C10" s="255" t="s">
        <v>484</v>
      </c>
      <c r="D10" s="256"/>
      <c r="E10" s="256"/>
      <c r="F10" s="256"/>
      <c r="G10" s="257"/>
      <c r="H10" s="250"/>
      <c r="J10" s="219"/>
      <c r="K10" s="219"/>
    </row>
    <row r="11" spans="1:11" s="240" customFormat="1">
      <c r="A11" s="250">
        <v>1</v>
      </c>
      <c r="B11" s="258">
        <v>560</v>
      </c>
      <c r="C11" s="219" t="s">
        <v>485</v>
      </c>
      <c r="D11" s="176">
        <v>9101.5750000000007</v>
      </c>
      <c r="E11" s="176">
        <f>E51</f>
        <v>143.70699999999999</v>
      </c>
      <c r="F11" s="176">
        <f>D11-E11</f>
        <v>8957.8680000000004</v>
      </c>
      <c r="G11" s="259" t="s">
        <v>936</v>
      </c>
      <c r="H11" s="250">
        <f>A11</f>
        <v>1</v>
      </c>
      <c r="J11" s="219"/>
      <c r="K11" s="219"/>
    </row>
    <row r="12" spans="1:11" s="240" customFormat="1">
      <c r="A12" s="250">
        <f>A11+1</f>
        <v>2</v>
      </c>
      <c r="B12" s="258">
        <v>561.1</v>
      </c>
      <c r="C12" s="219" t="s">
        <v>486</v>
      </c>
      <c r="D12" s="178">
        <v>964.71199999999999</v>
      </c>
      <c r="E12" s="178">
        <v>0</v>
      </c>
      <c r="F12" s="178">
        <f>D12-E12</f>
        <v>964.71199999999999</v>
      </c>
      <c r="G12" s="259" t="s">
        <v>937</v>
      </c>
      <c r="H12" s="250">
        <f>H11+1</f>
        <v>2</v>
      </c>
      <c r="J12" s="219"/>
      <c r="K12" s="219"/>
    </row>
    <row r="13" spans="1:11" s="240" customFormat="1">
      <c r="A13" s="250">
        <f t="shared" ref="A13:A74" si="0">A12+1</f>
        <v>3</v>
      </c>
      <c r="B13" s="258">
        <v>561.20000000000005</v>
      </c>
      <c r="C13" s="219" t="s">
        <v>487</v>
      </c>
      <c r="D13" s="178">
        <v>1892.6669999999999</v>
      </c>
      <c r="E13" s="178">
        <v>0</v>
      </c>
      <c r="F13" s="178">
        <f t="shared" ref="F13:F24" si="1">D13-E13</f>
        <v>1892.6669999999999</v>
      </c>
      <c r="G13" s="259" t="s">
        <v>938</v>
      </c>
      <c r="H13" s="250">
        <f t="shared" ref="H13:H74" si="2">H12+1</f>
        <v>3</v>
      </c>
      <c r="J13" s="219"/>
      <c r="K13" s="219"/>
    </row>
    <row r="14" spans="1:11" s="240" customFormat="1">
      <c r="A14" s="250">
        <f t="shared" si="0"/>
        <v>4</v>
      </c>
      <c r="B14" s="258">
        <v>561.29999999999995</v>
      </c>
      <c r="C14" s="219" t="s">
        <v>488</v>
      </c>
      <c r="D14" s="178">
        <v>157.91900000000001</v>
      </c>
      <c r="E14" s="178">
        <v>0</v>
      </c>
      <c r="F14" s="178">
        <f t="shared" si="1"/>
        <v>157.91900000000001</v>
      </c>
      <c r="G14" s="259" t="s">
        <v>939</v>
      </c>
      <c r="H14" s="250">
        <f t="shared" si="2"/>
        <v>4</v>
      </c>
      <c r="J14" s="219"/>
      <c r="K14" s="219"/>
    </row>
    <row r="15" spans="1:11" s="240" customFormat="1">
      <c r="A15" s="250">
        <f t="shared" si="0"/>
        <v>5</v>
      </c>
      <c r="B15" s="258">
        <v>561.4</v>
      </c>
      <c r="C15" s="219" t="s">
        <v>489</v>
      </c>
      <c r="D15" s="178">
        <v>3357.212</v>
      </c>
      <c r="E15" s="178">
        <f>E52</f>
        <v>3357.212</v>
      </c>
      <c r="F15" s="178">
        <f t="shared" si="1"/>
        <v>0</v>
      </c>
      <c r="G15" s="259" t="s">
        <v>940</v>
      </c>
      <c r="H15" s="250">
        <f t="shared" si="2"/>
        <v>5</v>
      </c>
      <c r="J15" s="219"/>
      <c r="K15" s="219"/>
    </row>
    <row r="16" spans="1:11" s="240" customFormat="1">
      <c r="A16" s="250">
        <f t="shared" si="0"/>
        <v>6</v>
      </c>
      <c r="B16" s="258">
        <v>561.5</v>
      </c>
      <c r="C16" s="219" t="s">
        <v>490</v>
      </c>
      <c r="D16" s="178">
        <v>139.928</v>
      </c>
      <c r="E16" s="178">
        <v>0</v>
      </c>
      <c r="F16" s="178">
        <f t="shared" si="1"/>
        <v>139.928</v>
      </c>
      <c r="G16" s="259" t="s">
        <v>941</v>
      </c>
      <c r="H16" s="250">
        <f t="shared" si="2"/>
        <v>6</v>
      </c>
      <c r="J16" s="219"/>
      <c r="K16" s="219"/>
    </row>
    <row r="17" spans="1:11" s="240" customFormat="1">
      <c r="A17" s="250">
        <f t="shared" si="0"/>
        <v>7</v>
      </c>
      <c r="B17" s="258">
        <v>561.6</v>
      </c>
      <c r="C17" s="219" t="s">
        <v>491</v>
      </c>
      <c r="D17" s="178">
        <v>0</v>
      </c>
      <c r="E17" s="178">
        <v>0</v>
      </c>
      <c r="F17" s="178">
        <f t="shared" si="1"/>
        <v>0</v>
      </c>
      <c r="G17" s="259" t="s">
        <v>942</v>
      </c>
      <c r="H17" s="250">
        <f t="shared" si="2"/>
        <v>7</v>
      </c>
      <c r="J17" s="219"/>
      <c r="K17" s="219"/>
    </row>
    <row r="18" spans="1:11" s="240" customFormat="1">
      <c r="A18" s="250">
        <f t="shared" si="0"/>
        <v>8</v>
      </c>
      <c r="B18" s="258">
        <v>561.70000000000005</v>
      </c>
      <c r="C18" s="219" t="s">
        <v>492</v>
      </c>
      <c r="D18" s="178">
        <v>0</v>
      </c>
      <c r="E18" s="178">
        <v>0</v>
      </c>
      <c r="F18" s="178">
        <f t="shared" si="1"/>
        <v>0</v>
      </c>
      <c r="G18" s="1248" t="s">
        <v>943</v>
      </c>
      <c r="H18" s="250">
        <f t="shared" si="2"/>
        <v>8</v>
      </c>
      <c r="J18" s="219"/>
      <c r="K18" s="219"/>
    </row>
    <row r="19" spans="1:11" s="240" customFormat="1">
      <c r="A19" s="250">
        <f t="shared" si="0"/>
        <v>9</v>
      </c>
      <c r="B19" s="258">
        <v>561.79999999999995</v>
      </c>
      <c r="C19" s="219" t="s">
        <v>493</v>
      </c>
      <c r="D19" s="178">
        <v>2611.931</v>
      </c>
      <c r="E19" s="178">
        <f>E53</f>
        <v>1629.53</v>
      </c>
      <c r="F19" s="178">
        <f t="shared" si="1"/>
        <v>982.40100000000007</v>
      </c>
      <c r="G19" s="1248" t="s">
        <v>944</v>
      </c>
      <c r="H19" s="250">
        <f t="shared" si="2"/>
        <v>9</v>
      </c>
      <c r="J19" s="219"/>
      <c r="K19" s="219"/>
    </row>
    <row r="20" spans="1:11" s="240" customFormat="1" ht="18.75">
      <c r="A20" s="250">
        <f t="shared" si="0"/>
        <v>10</v>
      </c>
      <c r="B20" s="258">
        <v>562</v>
      </c>
      <c r="C20" s="219" t="s">
        <v>494</v>
      </c>
      <c r="D20" s="178">
        <v>11638.449000000001</v>
      </c>
      <c r="E20" s="178">
        <f>E54</f>
        <v>11638.449000000001</v>
      </c>
      <c r="F20" s="178">
        <f t="shared" si="1"/>
        <v>0</v>
      </c>
      <c r="G20" s="1248" t="s">
        <v>945</v>
      </c>
      <c r="H20" s="250">
        <f t="shared" si="2"/>
        <v>10</v>
      </c>
      <c r="I20" s="669"/>
      <c r="J20" s="469"/>
      <c r="K20" s="219"/>
    </row>
    <row r="21" spans="1:11" s="240" customFormat="1" ht="18.75">
      <c r="A21" s="250">
        <f t="shared" si="0"/>
        <v>11</v>
      </c>
      <c r="B21" s="258">
        <v>563</v>
      </c>
      <c r="C21" s="219" t="s">
        <v>915</v>
      </c>
      <c r="D21" s="178">
        <v>10659.147999999999</v>
      </c>
      <c r="E21" s="178">
        <f>E55</f>
        <v>10659.147999999999</v>
      </c>
      <c r="F21" s="178">
        <f t="shared" si="1"/>
        <v>0</v>
      </c>
      <c r="G21" s="1248" t="s">
        <v>946</v>
      </c>
      <c r="H21" s="250">
        <f t="shared" si="2"/>
        <v>11</v>
      </c>
      <c r="I21" s="670"/>
      <c r="J21" s="469"/>
      <c r="K21" s="219"/>
    </row>
    <row r="22" spans="1:11" s="240" customFormat="1">
      <c r="A22" s="250">
        <f t="shared" si="0"/>
        <v>12</v>
      </c>
      <c r="B22" s="258">
        <v>564</v>
      </c>
      <c r="C22" s="219" t="s">
        <v>495</v>
      </c>
      <c r="D22" s="178">
        <v>-0.40300000000000002</v>
      </c>
      <c r="E22" s="178">
        <v>0</v>
      </c>
      <c r="F22" s="178">
        <f t="shared" si="1"/>
        <v>-0.40300000000000002</v>
      </c>
      <c r="G22" s="1248" t="s">
        <v>947</v>
      </c>
      <c r="H22" s="250">
        <f t="shared" si="2"/>
        <v>12</v>
      </c>
      <c r="J22" s="469"/>
      <c r="K22" s="219"/>
    </row>
    <row r="23" spans="1:11" s="240" customFormat="1">
      <c r="A23" s="250">
        <f t="shared" si="0"/>
        <v>13</v>
      </c>
      <c r="B23" s="258">
        <v>565</v>
      </c>
      <c r="C23" s="219" t="s">
        <v>496</v>
      </c>
      <c r="D23" s="178">
        <v>0</v>
      </c>
      <c r="E23" s="178">
        <f>E56</f>
        <v>0</v>
      </c>
      <c r="F23" s="178">
        <f t="shared" si="1"/>
        <v>0</v>
      </c>
      <c r="G23" s="1248" t="s">
        <v>948</v>
      </c>
      <c r="H23" s="250">
        <f t="shared" si="2"/>
        <v>13</v>
      </c>
      <c r="J23" s="164"/>
      <c r="K23" s="219"/>
    </row>
    <row r="24" spans="1:11" s="240" customFormat="1">
      <c r="A24" s="250">
        <f t="shared" si="0"/>
        <v>14</v>
      </c>
      <c r="B24" s="258">
        <v>566</v>
      </c>
      <c r="C24" s="219" t="s">
        <v>497</v>
      </c>
      <c r="D24" s="178">
        <v>16813.008000000002</v>
      </c>
      <c r="E24" s="178">
        <f>E62</f>
        <v>2107.7340000000004</v>
      </c>
      <c r="F24" s="178">
        <f t="shared" si="1"/>
        <v>14705.274000000001</v>
      </c>
      <c r="G24" s="1248" t="s">
        <v>949</v>
      </c>
      <c r="H24" s="250">
        <f t="shared" si="2"/>
        <v>14</v>
      </c>
      <c r="J24" s="164"/>
      <c r="K24" s="219"/>
    </row>
    <row r="25" spans="1:11" s="240" customFormat="1">
      <c r="A25" s="250">
        <f t="shared" si="0"/>
        <v>15</v>
      </c>
      <c r="B25" s="258">
        <v>567</v>
      </c>
      <c r="C25" s="219" t="s">
        <v>498</v>
      </c>
      <c r="D25" s="997">
        <v>3610.3420000000001</v>
      </c>
      <c r="E25" s="997">
        <v>0</v>
      </c>
      <c r="F25" s="997">
        <f>D25-E25</f>
        <v>3610.3420000000001</v>
      </c>
      <c r="G25" s="1248" t="s">
        <v>950</v>
      </c>
      <c r="H25" s="250">
        <f t="shared" si="2"/>
        <v>15</v>
      </c>
      <c r="J25" s="164"/>
      <c r="K25" s="219"/>
    </row>
    <row r="26" spans="1:11" s="240" customFormat="1">
      <c r="A26" s="250">
        <f t="shared" si="0"/>
        <v>16</v>
      </c>
      <c r="B26" s="258"/>
      <c r="C26" s="219"/>
      <c r="D26" s="178"/>
      <c r="E26" s="178"/>
      <c r="F26" s="178"/>
      <c r="G26" s="259"/>
      <c r="H26" s="250">
        <f t="shared" si="2"/>
        <v>16</v>
      </c>
      <c r="J26" s="164"/>
      <c r="K26" s="219"/>
    </row>
    <row r="27" spans="1:11" s="240" customFormat="1" ht="16.5" thickBot="1">
      <c r="A27" s="250">
        <f t="shared" si="0"/>
        <v>17</v>
      </c>
      <c r="B27" s="261"/>
      <c r="C27" s="262" t="s">
        <v>499</v>
      </c>
      <c r="D27" s="263">
        <f>SUM(D11:D25)</f>
        <v>60946.487999999998</v>
      </c>
      <c r="E27" s="263">
        <f>SUM(E11:E25)</f>
        <v>29535.780000000002</v>
      </c>
      <c r="F27" s="263">
        <f>SUM(F11:F25)</f>
        <v>31410.708000000002</v>
      </c>
      <c r="G27" s="264" t="str">
        <f>"Sum Lines "&amp;A11&amp;" thru "&amp;A25</f>
        <v>Sum Lines 1 thru 15</v>
      </c>
      <c r="H27" s="250">
        <f t="shared" si="2"/>
        <v>17</v>
      </c>
      <c r="J27" s="913"/>
      <c r="K27" s="219"/>
    </row>
    <row r="28" spans="1:11" s="240" customFormat="1">
      <c r="A28" s="250">
        <f t="shared" si="0"/>
        <v>18</v>
      </c>
      <c r="B28" s="265"/>
      <c r="C28" s="219"/>
      <c r="D28" s="266"/>
      <c r="E28" s="266"/>
      <c r="F28" s="266"/>
      <c r="G28" s="922"/>
      <c r="H28" s="250">
        <f t="shared" si="2"/>
        <v>18</v>
      </c>
      <c r="J28" s="913"/>
      <c r="K28" s="219"/>
    </row>
    <row r="29" spans="1:11" s="240" customFormat="1">
      <c r="A29" s="250">
        <f t="shared" si="0"/>
        <v>19</v>
      </c>
      <c r="B29" s="254"/>
      <c r="C29" s="255" t="s">
        <v>500</v>
      </c>
      <c r="D29" s="266"/>
      <c r="E29" s="266"/>
      <c r="F29" s="266"/>
      <c r="G29" s="922"/>
      <c r="H29" s="250">
        <f t="shared" si="2"/>
        <v>19</v>
      </c>
      <c r="J29" s="219"/>
      <c r="K29" s="219"/>
    </row>
    <row r="30" spans="1:11" s="240" customFormat="1">
      <c r="A30" s="250">
        <f t="shared" si="0"/>
        <v>20</v>
      </c>
      <c r="B30" s="258">
        <v>568</v>
      </c>
      <c r="C30" s="219" t="s">
        <v>501</v>
      </c>
      <c r="D30" s="176">
        <v>2150.4340000000002</v>
      </c>
      <c r="E30" s="176">
        <v>0</v>
      </c>
      <c r="F30" s="176">
        <f t="shared" ref="F30:F31" si="3">D30-E30</f>
        <v>2150.4340000000002</v>
      </c>
      <c r="G30" s="1248" t="s">
        <v>951</v>
      </c>
      <c r="H30" s="250">
        <f t="shared" si="2"/>
        <v>20</v>
      </c>
      <c r="J30" s="219"/>
      <c r="K30" s="219"/>
    </row>
    <row r="31" spans="1:11" s="240" customFormat="1">
      <c r="A31" s="250">
        <f t="shared" si="0"/>
        <v>21</v>
      </c>
      <c r="B31" s="258">
        <v>569</v>
      </c>
      <c r="C31" s="219" t="s">
        <v>502</v>
      </c>
      <c r="D31" s="178">
        <v>1191.816</v>
      </c>
      <c r="E31" s="178">
        <v>0</v>
      </c>
      <c r="F31" s="178">
        <f t="shared" si="3"/>
        <v>1191.816</v>
      </c>
      <c r="G31" s="1248" t="s">
        <v>952</v>
      </c>
      <c r="H31" s="250">
        <f t="shared" si="2"/>
        <v>21</v>
      </c>
      <c r="J31" s="219"/>
      <c r="K31" s="219"/>
    </row>
    <row r="32" spans="1:11" s="240" customFormat="1">
      <c r="A32" s="250">
        <f t="shared" si="0"/>
        <v>22</v>
      </c>
      <c r="B32" s="258">
        <v>569.1</v>
      </c>
      <c r="C32" s="219" t="s">
        <v>503</v>
      </c>
      <c r="D32" s="178">
        <v>1021.635</v>
      </c>
      <c r="E32" s="178">
        <v>0</v>
      </c>
      <c r="F32" s="178">
        <f>D32-E32</f>
        <v>1021.635</v>
      </c>
      <c r="G32" s="1248" t="s">
        <v>953</v>
      </c>
      <c r="H32" s="250">
        <f t="shared" si="2"/>
        <v>22</v>
      </c>
      <c r="J32" s="219"/>
      <c r="K32" s="219"/>
    </row>
    <row r="33" spans="1:11" s="240" customFormat="1">
      <c r="A33" s="250">
        <f t="shared" si="0"/>
        <v>23</v>
      </c>
      <c r="B33" s="258">
        <v>569.20000000000005</v>
      </c>
      <c r="C33" s="219" t="s">
        <v>504</v>
      </c>
      <c r="D33" s="178">
        <v>2015.654</v>
      </c>
      <c r="E33" s="178">
        <v>0</v>
      </c>
      <c r="F33" s="178">
        <f t="shared" ref="F33:F35" si="4">D33-E33</f>
        <v>2015.654</v>
      </c>
      <c r="G33" s="1248" t="s">
        <v>954</v>
      </c>
      <c r="H33" s="250">
        <f t="shared" si="2"/>
        <v>23</v>
      </c>
      <c r="J33" s="219"/>
      <c r="K33" s="219"/>
    </row>
    <row r="34" spans="1:11" s="240" customFormat="1">
      <c r="A34" s="250">
        <f t="shared" si="0"/>
        <v>24</v>
      </c>
      <c r="B34" s="258">
        <v>569.29999999999995</v>
      </c>
      <c r="C34" s="219" t="s">
        <v>505</v>
      </c>
      <c r="D34" s="178">
        <v>64.367999999999995</v>
      </c>
      <c r="E34" s="178">
        <v>0</v>
      </c>
      <c r="F34" s="178">
        <f t="shared" si="4"/>
        <v>64.367999999999995</v>
      </c>
      <c r="G34" s="1248" t="s">
        <v>955</v>
      </c>
      <c r="H34" s="250">
        <f t="shared" si="2"/>
        <v>24</v>
      </c>
      <c r="J34" s="219"/>
      <c r="K34" s="219"/>
    </row>
    <row r="35" spans="1:11" s="240" customFormat="1">
      <c r="A35" s="250">
        <f t="shared" si="0"/>
        <v>25</v>
      </c>
      <c r="B35" s="258">
        <v>569.4</v>
      </c>
      <c r="C35" s="219" t="s">
        <v>506</v>
      </c>
      <c r="D35" s="178">
        <v>102</v>
      </c>
      <c r="E35" s="178">
        <v>0</v>
      </c>
      <c r="F35" s="178">
        <f t="shared" si="4"/>
        <v>102</v>
      </c>
      <c r="G35" s="1248" t="s">
        <v>956</v>
      </c>
      <c r="H35" s="250">
        <f t="shared" si="2"/>
        <v>25</v>
      </c>
      <c r="J35" s="219"/>
      <c r="K35" s="219"/>
    </row>
    <row r="36" spans="1:11" s="240" customFormat="1" ht="18.75">
      <c r="A36" s="250">
        <f t="shared" si="0"/>
        <v>26</v>
      </c>
      <c r="B36" s="258">
        <v>570</v>
      </c>
      <c r="C36" s="219" t="s">
        <v>525</v>
      </c>
      <c r="D36" s="178">
        <v>18834.561000000002</v>
      </c>
      <c r="E36" s="178">
        <f>E63</f>
        <v>18834.561000000002</v>
      </c>
      <c r="F36" s="178">
        <f>D36-E36</f>
        <v>0</v>
      </c>
      <c r="G36" s="1248" t="s">
        <v>957</v>
      </c>
      <c r="H36" s="250">
        <f t="shared" si="2"/>
        <v>26</v>
      </c>
      <c r="J36" s="219"/>
      <c r="K36" s="219"/>
    </row>
    <row r="37" spans="1:11" s="240" customFormat="1" ht="18.75">
      <c r="A37" s="250">
        <f t="shared" si="0"/>
        <v>27</v>
      </c>
      <c r="B37" s="258">
        <v>571</v>
      </c>
      <c r="C37" s="219" t="s">
        <v>526</v>
      </c>
      <c r="D37" s="178">
        <v>25278.445</v>
      </c>
      <c r="E37" s="178">
        <f>E64</f>
        <v>25278.445</v>
      </c>
      <c r="F37" s="178">
        <f t="shared" ref="F37:F38" si="5">D37-E37</f>
        <v>0</v>
      </c>
      <c r="G37" s="1248" t="s">
        <v>958</v>
      </c>
      <c r="H37" s="250">
        <f t="shared" si="2"/>
        <v>27</v>
      </c>
      <c r="J37" s="219"/>
      <c r="K37" s="219"/>
    </row>
    <row r="38" spans="1:11" s="240" customFormat="1" ht="18.75">
      <c r="A38" s="250">
        <f t="shared" si="0"/>
        <v>28</v>
      </c>
      <c r="B38" s="258">
        <v>572</v>
      </c>
      <c r="C38" s="219" t="s">
        <v>507</v>
      </c>
      <c r="D38" s="178">
        <v>578.39599999999996</v>
      </c>
      <c r="E38" s="178">
        <f>E65</f>
        <v>578.39599999999996</v>
      </c>
      <c r="F38" s="178">
        <f t="shared" si="5"/>
        <v>0</v>
      </c>
      <c r="G38" s="259" t="s">
        <v>959</v>
      </c>
      <c r="H38" s="250">
        <f t="shared" si="2"/>
        <v>28</v>
      </c>
      <c r="J38" s="219"/>
      <c r="K38" s="219"/>
    </row>
    <row r="39" spans="1:11" s="240" customFormat="1">
      <c r="A39" s="250">
        <f t="shared" si="0"/>
        <v>29</v>
      </c>
      <c r="B39" s="258">
        <v>573</v>
      </c>
      <c r="C39" s="219" t="s">
        <v>508</v>
      </c>
      <c r="D39" s="997">
        <v>34.209000000000003</v>
      </c>
      <c r="E39" s="997">
        <v>0</v>
      </c>
      <c r="F39" s="997">
        <f>D39-E39</f>
        <v>34.209000000000003</v>
      </c>
      <c r="G39" s="259" t="s">
        <v>960</v>
      </c>
      <c r="H39" s="250">
        <f t="shared" si="2"/>
        <v>29</v>
      </c>
      <c r="J39" s="219"/>
      <c r="K39" s="219"/>
    </row>
    <row r="40" spans="1:11" s="240" customFormat="1">
      <c r="A40" s="250">
        <f t="shared" si="0"/>
        <v>30</v>
      </c>
      <c r="B40" s="258"/>
      <c r="C40" s="219"/>
      <c r="D40" s="998"/>
      <c r="E40" s="178"/>
      <c r="F40" s="998"/>
      <c r="G40" s="259"/>
      <c r="H40" s="250">
        <f t="shared" si="2"/>
        <v>30</v>
      </c>
      <c r="J40" s="219"/>
      <c r="K40" s="219"/>
    </row>
    <row r="41" spans="1:11" s="240" customFormat="1">
      <c r="A41" s="250">
        <f t="shared" si="0"/>
        <v>31</v>
      </c>
      <c r="B41" s="265"/>
      <c r="C41" s="268" t="s">
        <v>509</v>
      </c>
      <c r="D41" s="176">
        <f>SUM(D30:D39)</f>
        <v>51271.518000000004</v>
      </c>
      <c r="E41" s="176">
        <f>SUM(E30:E39)</f>
        <v>44691.402000000002</v>
      </c>
      <c r="F41" s="176">
        <f>SUM(F30:F39)</f>
        <v>6580.1160000000009</v>
      </c>
      <c r="G41" s="259" t="str">
        <f>"Sum Lines "&amp;A30&amp;" thru "&amp;A39</f>
        <v>Sum Lines 20 thru 29</v>
      </c>
      <c r="H41" s="250">
        <f t="shared" si="2"/>
        <v>31</v>
      </c>
      <c r="J41" s="219"/>
      <c r="K41" s="219"/>
    </row>
    <row r="42" spans="1:11" s="240" customFormat="1">
      <c r="A42" s="250">
        <f t="shared" si="0"/>
        <v>32</v>
      </c>
      <c r="B42" s="265"/>
      <c r="C42" s="219"/>
      <c r="D42" s="999"/>
      <c r="E42" s="999"/>
      <c r="F42" s="999"/>
      <c r="G42" s="259"/>
      <c r="H42" s="250">
        <f t="shared" si="2"/>
        <v>32</v>
      </c>
      <c r="J42" s="219"/>
      <c r="K42" s="219"/>
    </row>
    <row r="43" spans="1:11" s="240" customFormat="1" ht="16.5" thickBot="1">
      <c r="A43" s="250">
        <f t="shared" si="0"/>
        <v>33</v>
      </c>
      <c r="B43" s="251"/>
      <c r="C43" s="240" t="s">
        <v>510</v>
      </c>
      <c r="D43" s="269">
        <f>D27+D41</f>
        <v>112218.00599999999</v>
      </c>
      <c r="E43" s="269">
        <f>+E27+E41</f>
        <v>74227.182000000001</v>
      </c>
      <c r="F43" s="269">
        <f>+F27+F41</f>
        <v>37990.824000000001</v>
      </c>
      <c r="G43" s="259" t="str">
        <f>"Line "&amp;A27&amp;" + Line "&amp;A41</f>
        <v>Line 17 + Line 31</v>
      </c>
      <c r="H43" s="250">
        <f t="shared" si="2"/>
        <v>33</v>
      </c>
      <c r="J43" s="913"/>
      <c r="K43" s="219"/>
    </row>
    <row r="44" spans="1:11" s="240" customFormat="1" ht="16.5" thickTop="1">
      <c r="A44" s="250">
        <f t="shared" si="0"/>
        <v>34</v>
      </c>
      <c r="B44" s="251"/>
      <c r="D44" s="281"/>
      <c r="E44" s="281"/>
      <c r="F44" s="281"/>
      <c r="G44" s="259"/>
      <c r="H44" s="250">
        <f t="shared" si="2"/>
        <v>34</v>
      </c>
      <c r="J44" s="913"/>
      <c r="K44" s="219"/>
    </row>
    <row r="45" spans="1:11" s="240" customFormat="1" ht="18.75">
      <c r="A45" s="250">
        <f t="shared" si="0"/>
        <v>35</v>
      </c>
      <c r="B45" s="258">
        <v>413</v>
      </c>
      <c r="C45" s="219" t="s">
        <v>511</v>
      </c>
      <c r="D45" s="997">
        <v>169.42608000000001</v>
      </c>
      <c r="E45" s="997">
        <v>0</v>
      </c>
      <c r="F45" s="997">
        <f>D45-E45</f>
        <v>169.42608000000001</v>
      </c>
      <c r="G45" s="318"/>
      <c r="H45" s="250">
        <f t="shared" si="2"/>
        <v>35</v>
      </c>
      <c r="J45" s="219"/>
      <c r="K45" s="219"/>
    </row>
    <row r="46" spans="1:11" s="240" customFormat="1">
      <c r="A46" s="250">
        <f t="shared" si="0"/>
        <v>36</v>
      </c>
      <c r="B46" s="251"/>
      <c r="D46" s="281"/>
      <c r="E46" s="281"/>
      <c r="F46" s="281"/>
      <c r="G46" s="259"/>
      <c r="H46" s="250">
        <f t="shared" si="2"/>
        <v>36</v>
      </c>
      <c r="J46" s="913"/>
      <c r="K46" s="219"/>
    </row>
    <row r="47" spans="1:11" s="240" customFormat="1" ht="16.5" thickBot="1">
      <c r="A47" s="250">
        <f t="shared" si="0"/>
        <v>37</v>
      </c>
      <c r="B47" s="251"/>
      <c r="C47" s="240" t="s">
        <v>512</v>
      </c>
      <c r="D47" s="269">
        <f>D43+D45</f>
        <v>112387.43208</v>
      </c>
      <c r="E47" s="269">
        <f>E43+E45</f>
        <v>74227.182000000001</v>
      </c>
      <c r="F47" s="269">
        <f>F43+F45</f>
        <v>38160.250079999998</v>
      </c>
      <c r="G47" s="259" t="str">
        <f>"Line "&amp;A43&amp;" + Line "&amp;A45</f>
        <v>Line 33 + Line 35</v>
      </c>
      <c r="H47" s="250">
        <f t="shared" si="2"/>
        <v>37</v>
      </c>
      <c r="J47" s="469"/>
      <c r="K47" s="219"/>
    </row>
    <row r="48" spans="1:11" ht="17.25" thickTop="1" thickBot="1">
      <c r="A48" s="250">
        <f t="shared" si="0"/>
        <v>38</v>
      </c>
      <c r="B48" s="270"/>
      <c r="C48" s="271"/>
      <c r="D48" s="272"/>
      <c r="E48" s="273"/>
      <c r="F48" s="272"/>
      <c r="G48" s="274"/>
      <c r="H48" s="250">
        <f t="shared" si="2"/>
        <v>38</v>
      </c>
      <c r="J48" s="669"/>
    </row>
    <row r="49" spans="1:10">
      <c r="A49" s="250">
        <f t="shared" si="0"/>
        <v>39</v>
      </c>
      <c r="B49" s="275"/>
      <c r="D49" s="276"/>
      <c r="E49" s="267"/>
      <c r="F49" s="276"/>
      <c r="G49" s="277"/>
      <c r="H49" s="250">
        <f t="shared" si="2"/>
        <v>39</v>
      </c>
      <c r="J49" s="669"/>
    </row>
    <row r="50" spans="1:10" s="3" customFormat="1">
      <c r="A50" s="250">
        <f t="shared" si="0"/>
        <v>40</v>
      </c>
      <c r="B50" s="283" t="s">
        <v>513</v>
      </c>
      <c r="D50" s="10"/>
      <c r="E50" s="9"/>
      <c r="F50" s="10"/>
      <c r="G50" s="288"/>
      <c r="H50" s="250">
        <f t="shared" si="2"/>
        <v>40</v>
      </c>
      <c r="J50" s="1213"/>
    </row>
    <row r="51" spans="1:10" s="3" customFormat="1">
      <c r="A51" s="250">
        <f t="shared" si="0"/>
        <v>41</v>
      </c>
      <c r="B51" s="282" t="s">
        <v>514</v>
      </c>
      <c r="C51" s="3" t="s">
        <v>515</v>
      </c>
      <c r="D51" s="933"/>
      <c r="E51" s="1255">
        <v>143.70699999999999</v>
      </c>
      <c r="F51" s="10"/>
      <c r="G51" s="288"/>
      <c r="H51" s="250">
        <f t="shared" si="2"/>
        <v>41</v>
      </c>
      <c r="J51" s="1213"/>
    </row>
    <row r="52" spans="1:10" s="3" customFormat="1">
      <c r="A52" s="250">
        <f t="shared" si="0"/>
        <v>42</v>
      </c>
      <c r="B52" s="282">
        <v>561.4</v>
      </c>
      <c r="C52" s="3" t="s">
        <v>516</v>
      </c>
      <c r="D52" s="10"/>
      <c r="E52" s="8">
        <v>3357.212</v>
      </c>
      <c r="F52" s="766"/>
      <c r="G52" s="288"/>
      <c r="H52" s="250">
        <f t="shared" si="2"/>
        <v>42</v>
      </c>
      <c r="J52" s="706"/>
    </row>
    <row r="53" spans="1:10" s="3" customFormat="1">
      <c r="A53" s="250">
        <f t="shared" si="0"/>
        <v>43</v>
      </c>
      <c r="B53" s="282">
        <v>561.79999999999995</v>
      </c>
      <c r="C53" s="3" t="s">
        <v>517</v>
      </c>
      <c r="D53" s="10"/>
      <c r="E53" s="8">
        <v>1629.53</v>
      </c>
      <c r="F53" s="766"/>
      <c r="G53" s="288"/>
      <c r="H53" s="250">
        <f t="shared" si="2"/>
        <v>43</v>
      </c>
      <c r="J53" s="741"/>
    </row>
    <row r="54" spans="1:10" s="3" customFormat="1" ht="18.75">
      <c r="A54" s="250">
        <f t="shared" si="0"/>
        <v>44</v>
      </c>
      <c r="B54" s="282">
        <v>562</v>
      </c>
      <c r="C54" s="3" t="s">
        <v>494</v>
      </c>
      <c r="D54" s="10"/>
      <c r="E54" s="8">
        <f>D20</f>
        <v>11638.449000000001</v>
      </c>
      <c r="F54" s="766"/>
      <c r="G54" s="288"/>
      <c r="H54" s="250">
        <f t="shared" si="2"/>
        <v>44</v>
      </c>
      <c r="I54" s="707"/>
      <c r="J54" s="741"/>
    </row>
    <row r="55" spans="1:10" s="3" customFormat="1" ht="18.75">
      <c r="A55" s="250">
        <f t="shared" si="0"/>
        <v>45</v>
      </c>
      <c r="B55" s="282">
        <v>563</v>
      </c>
      <c r="C55" s="3" t="s">
        <v>915</v>
      </c>
      <c r="D55" s="10"/>
      <c r="E55" s="8">
        <f>D21</f>
        <v>10659.147999999999</v>
      </c>
      <c r="F55" s="766"/>
      <c r="G55" s="288"/>
      <c r="H55" s="250">
        <f t="shared" si="2"/>
        <v>45</v>
      </c>
      <c r="J55" s="741"/>
    </row>
    <row r="56" spans="1:10" s="3" customFormat="1">
      <c r="A56" s="250">
        <f t="shared" si="0"/>
        <v>46</v>
      </c>
      <c r="B56" s="282">
        <v>565</v>
      </c>
      <c r="C56" s="3" t="s">
        <v>518</v>
      </c>
      <c r="D56" s="10"/>
      <c r="E56" s="8">
        <v>0</v>
      </c>
      <c r="F56" s="766"/>
      <c r="G56" s="288"/>
      <c r="H56" s="250">
        <f t="shared" si="2"/>
        <v>46</v>
      </c>
      <c r="I56" s="707"/>
      <c r="J56" s="706"/>
    </row>
    <row r="57" spans="1:10" s="3" customFormat="1">
      <c r="A57" s="250">
        <f t="shared" si="0"/>
        <v>47</v>
      </c>
      <c r="B57" s="282">
        <v>566</v>
      </c>
      <c r="C57" s="3" t="s">
        <v>519</v>
      </c>
      <c r="D57" s="10"/>
      <c r="E57" s="8"/>
      <c r="F57" s="10"/>
      <c r="G57" s="288"/>
      <c r="H57" s="250">
        <f t="shared" si="2"/>
        <v>47</v>
      </c>
      <c r="I57" s="707"/>
    </row>
    <row r="58" spans="1:10" s="3" customFormat="1">
      <c r="A58" s="250">
        <f t="shared" si="0"/>
        <v>48</v>
      </c>
      <c r="B58" s="284"/>
      <c r="C58" s="3" t="s">
        <v>520</v>
      </c>
      <c r="D58" s="1233">
        <v>0</v>
      </c>
      <c r="E58" s="8"/>
      <c r="F58" s="10"/>
      <c r="G58" s="288"/>
      <c r="H58" s="250">
        <f t="shared" si="2"/>
        <v>48</v>
      </c>
      <c r="I58" s="707"/>
    </row>
    <row r="59" spans="1:10" s="3" customFormat="1">
      <c r="A59" s="250">
        <f t="shared" si="0"/>
        <v>49</v>
      </c>
      <c r="B59" s="284"/>
      <c r="C59" s="3" t="s">
        <v>521</v>
      </c>
      <c r="D59" s="8">
        <v>0</v>
      </c>
      <c r="E59" s="8"/>
      <c r="F59" s="10"/>
      <c r="G59" s="288"/>
      <c r="H59" s="250">
        <f t="shared" si="2"/>
        <v>49</v>
      </c>
      <c r="I59" s="707"/>
      <c r="J59" s="707"/>
    </row>
    <row r="60" spans="1:10" s="3" customFormat="1">
      <c r="A60" s="250">
        <f t="shared" si="0"/>
        <v>50</v>
      </c>
      <c r="B60" s="284"/>
      <c r="C60" s="3" t="s">
        <v>522</v>
      </c>
      <c r="D60" s="8">
        <v>993.31799999999998</v>
      </c>
      <c r="E60" s="8"/>
      <c r="F60" s="10"/>
      <c r="G60" s="288"/>
      <c r="H60" s="250">
        <f t="shared" si="2"/>
        <v>50</v>
      </c>
      <c r="I60" s="707"/>
    </row>
    <row r="61" spans="1:10" s="3" customFormat="1">
      <c r="A61" s="250">
        <f t="shared" si="0"/>
        <v>51</v>
      </c>
      <c r="B61" s="284"/>
      <c r="C61" s="3" t="s">
        <v>523</v>
      </c>
      <c r="D61" s="8">
        <v>473.28300000000002</v>
      </c>
      <c r="E61" s="8"/>
      <c r="F61" s="10"/>
      <c r="G61" s="288"/>
      <c r="H61" s="250">
        <f t="shared" si="2"/>
        <v>51</v>
      </c>
      <c r="J61" s="706"/>
    </row>
    <row r="62" spans="1:10" s="3" customFormat="1">
      <c r="A62" s="250">
        <f t="shared" si="0"/>
        <v>52</v>
      </c>
      <c r="B62" s="284"/>
      <c r="C62" s="3" t="s">
        <v>524</v>
      </c>
      <c r="D62" s="1000">
        <v>641.13300000000004</v>
      </c>
      <c r="E62" s="707">
        <f>SUM(D58:D62)</f>
        <v>2107.7340000000004</v>
      </c>
      <c r="F62" s="766"/>
      <c r="G62" s="288"/>
      <c r="H62" s="250">
        <f t="shared" si="2"/>
        <v>52</v>
      </c>
      <c r="I62" s="706"/>
      <c r="J62" s="1213"/>
    </row>
    <row r="63" spans="1:10" s="3" customFormat="1" ht="18.75">
      <c r="A63" s="250">
        <f t="shared" si="0"/>
        <v>53</v>
      </c>
      <c r="B63" s="282">
        <v>570</v>
      </c>
      <c r="C63" s="61" t="s">
        <v>525</v>
      </c>
      <c r="D63" s="8"/>
      <c r="E63" s="260">
        <f>D36</f>
        <v>18834.561000000002</v>
      </c>
      <c r="F63" s="766"/>
      <c r="G63" s="288"/>
      <c r="H63" s="250">
        <f t="shared" si="2"/>
        <v>53</v>
      </c>
      <c r="I63" s="706"/>
      <c r="J63" s="1213"/>
    </row>
    <row r="64" spans="1:10" s="3" customFormat="1" ht="18.75">
      <c r="A64" s="250">
        <f t="shared" si="0"/>
        <v>54</v>
      </c>
      <c r="B64" s="282">
        <v>571</v>
      </c>
      <c r="C64" s="61" t="s">
        <v>526</v>
      </c>
      <c r="D64" s="8"/>
      <c r="E64" s="260">
        <f t="shared" ref="E64:E65" si="6">D37</f>
        <v>25278.445</v>
      </c>
      <c r="F64" s="766"/>
      <c r="G64" s="288"/>
      <c r="H64" s="250">
        <f t="shared" si="2"/>
        <v>54</v>
      </c>
      <c r="I64" s="706"/>
      <c r="J64" s="1213"/>
    </row>
    <row r="65" spans="1:10" s="3" customFormat="1" ht="18.75">
      <c r="A65" s="250">
        <f t="shared" si="0"/>
        <v>55</v>
      </c>
      <c r="B65" s="282">
        <v>572</v>
      </c>
      <c r="C65" s="1234" t="s">
        <v>507</v>
      </c>
      <c r="D65" s="8"/>
      <c r="E65" s="260">
        <f t="shared" si="6"/>
        <v>578.39599999999996</v>
      </c>
      <c r="F65" s="766"/>
      <c r="G65" s="288"/>
      <c r="H65" s="250">
        <f t="shared" si="2"/>
        <v>55</v>
      </c>
      <c r="I65" s="706"/>
      <c r="J65" s="1213"/>
    </row>
    <row r="66" spans="1:10" s="3" customFormat="1">
      <c r="A66" s="250">
        <f t="shared" si="0"/>
        <v>56</v>
      </c>
      <c r="B66" s="285"/>
      <c r="D66" s="10"/>
      <c r="E66" s="1001"/>
      <c r="F66" s="10"/>
      <c r="G66" s="288"/>
      <c r="H66" s="250">
        <f t="shared" si="2"/>
        <v>56</v>
      </c>
      <c r="J66" s="707"/>
    </row>
    <row r="67" spans="1:10" s="3" customFormat="1" ht="16.5" thickBot="1">
      <c r="A67" s="250">
        <f t="shared" si="0"/>
        <v>57</v>
      </c>
      <c r="B67" s="286"/>
      <c r="C67" s="594" t="s">
        <v>527</v>
      </c>
      <c r="D67" s="10"/>
      <c r="E67" s="335">
        <f>SUM(E51:E65)</f>
        <v>74227.181999999986</v>
      </c>
      <c r="F67" s="10"/>
      <c r="G67" s="288"/>
      <c r="H67" s="250">
        <f t="shared" si="2"/>
        <v>57</v>
      </c>
      <c r="J67" s="706"/>
    </row>
    <row r="68" spans="1:10" s="3" customFormat="1" ht="16.5" thickTop="1">
      <c r="A68" s="250">
        <f t="shared" si="0"/>
        <v>58</v>
      </c>
      <c r="B68" s="286"/>
      <c r="C68" s="61"/>
      <c r="D68" s="10"/>
      <c r="E68" s="108"/>
      <c r="F68" s="10"/>
      <c r="G68" s="288"/>
      <c r="H68" s="250">
        <f t="shared" si="2"/>
        <v>58</v>
      </c>
      <c r="J68" s="707"/>
    </row>
    <row r="69" spans="1:10" s="3" customFormat="1" ht="18.75">
      <c r="A69" s="250">
        <f t="shared" si="0"/>
        <v>59</v>
      </c>
      <c r="B69" s="287">
        <v>1</v>
      </c>
      <c r="C69" s="61" t="s">
        <v>528</v>
      </c>
      <c r="D69" s="10"/>
      <c r="E69" s="12"/>
      <c r="F69" s="10"/>
      <c r="G69" s="288"/>
      <c r="H69" s="250">
        <f t="shared" si="2"/>
        <v>59</v>
      </c>
    </row>
    <row r="70" spans="1:10" s="3" customFormat="1" ht="18.75">
      <c r="A70" s="250">
        <f t="shared" si="0"/>
        <v>60</v>
      </c>
      <c r="B70" s="287"/>
      <c r="C70" s="61" t="s">
        <v>529</v>
      </c>
      <c r="D70" s="10"/>
      <c r="E70" s="12"/>
      <c r="F70" s="10"/>
      <c r="G70" s="288"/>
      <c r="H70" s="250">
        <f t="shared" si="2"/>
        <v>60</v>
      </c>
    </row>
    <row r="71" spans="1:10" s="3" customFormat="1" ht="18.75">
      <c r="A71" s="250">
        <f t="shared" si="0"/>
        <v>61</v>
      </c>
      <c r="B71" s="287">
        <v>2</v>
      </c>
      <c r="C71" s="61" t="s">
        <v>530</v>
      </c>
      <c r="E71" s="12"/>
      <c r="G71" s="288"/>
      <c r="H71" s="250">
        <f t="shared" si="2"/>
        <v>61</v>
      </c>
    </row>
    <row r="72" spans="1:10" s="3" customFormat="1" ht="18.75">
      <c r="A72" s="250">
        <f t="shared" si="0"/>
        <v>62</v>
      </c>
      <c r="B72" s="287">
        <v>3</v>
      </c>
      <c r="C72" s="61" t="str">
        <f>"This amount represents the Direct Maintenance and Non-Direct O&amp;M expenses billed to Citizens in "&amp;Automation!B3&amp;", which is added back to derive Total Adjusted Electric"</f>
        <v>This amount represents the Direct Maintenance and Non-Direct O&amp;M expenses billed to Citizens in 2022, which is added back to derive Total Adjusted Electric</v>
      </c>
      <c r="E72" s="12"/>
      <c r="G72" s="288"/>
      <c r="H72" s="250">
        <f t="shared" si="2"/>
        <v>62</v>
      </c>
    </row>
    <row r="73" spans="1:10" s="3" customFormat="1" ht="18.75">
      <c r="A73" s="250">
        <f t="shared" si="0"/>
        <v>63</v>
      </c>
      <c r="B73" s="287"/>
      <c r="C73" s="61" t="s">
        <v>531</v>
      </c>
      <c r="E73" s="12"/>
      <c r="G73" s="288"/>
      <c r="H73" s="250">
        <f t="shared" si="2"/>
        <v>63</v>
      </c>
    </row>
    <row r="74" spans="1:10" ht="16.5" thickBot="1">
      <c r="A74" s="250">
        <f t="shared" si="0"/>
        <v>64</v>
      </c>
      <c r="B74" s="278"/>
      <c r="C74" s="271"/>
      <c r="D74" s="271"/>
      <c r="E74" s="279"/>
      <c r="F74" s="271"/>
      <c r="G74" s="274"/>
      <c r="H74" s="250">
        <f t="shared" si="2"/>
        <v>64</v>
      </c>
    </row>
    <row r="75" spans="1:10">
      <c r="A75" s="250"/>
      <c r="B75" s="280"/>
    </row>
    <row r="76" spans="1:10" ht="18.75">
      <c r="A76" s="250"/>
      <c r="B76" s="135"/>
      <c r="C76" s="3"/>
      <c r="D76" s="63"/>
      <c r="E76" s="63"/>
      <c r="F76" s="63"/>
    </row>
    <row r="77" spans="1:10" ht="18.75">
      <c r="A77" s="250"/>
      <c r="B77" s="135"/>
      <c r="C77" s="16"/>
      <c r="D77" s="63"/>
      <c r="E77" s="63"/>
      <c r="F77" s="63"/>
    </row>
    <row r="78" spans="1:10" ht="18.75">
      <c r="A78" s="250"/>
      <c r="B78" s="135"/>
      <c r="C78" s="16"/>
      <c r="D78" s="63"/>
      <c r="E78" s="63"/>
      <c r="F78" s="63"/>
    </row>
    <row r="79" spans="1:10">
      <c r="A79" s="250"/>
      <c r="B79" s="280"/>
    </row>
    <row r="80" spans="1:10">
      <c r="A80" s="250"/>
      <c r="B80" s="280"/>
    </row>
    <row r="81" spans="1:5">
      <c r="A81" s="250"/>
      <c r="B81" s="280"/>
    </row>
    <row r="82" spans="1:5">
      <c r="A82" s="250"/>
      <c r="B82" s="280"/>
    </row>
    <row r="83" spans="1:5">
      <c r="A83" s="250"/>
      <c r="B83" s="280"/>
    </row>
    <row r="84" spans="1:5">
      <c r="A84" s="250"/>
      <c r="B84" s="280"/>
    </row>
    <row r="85" spans="1:5">
      <c r="A85" s="250"/>
      <c r="B85" s="280"/>
    </row>
    <row r="86" spans="1:5">
      <c r="A86" s="250"/>
      <c r="B86" s="280"/>
    </row>
    <row r="87" spans="1:5">
      <c r="A87" s="250"/>
      <c r="B87" s="280"/>
    </row>
    <row r="88" spans="1:5">
      <c r="A88" s="250"/>
      <c r="B88" s="280"/>
      <c r="E88" s="219"/>
    </row>
    <row r="89" spans="1:5">
      <c r="A89" s="250"/>
      <c r="B89" s="280"/>
      <c r="E89" s="219"/>
    </row>
    <row r="90" spans="1:5">
      <c r="A90" s="250"/>
      <c r="B90" s="280"/>
      <c r="E90" s="219"/>
    </row>
    <row r="91" spans="1:5">
      <c r="A91" s="250"/>
      <c r="B91" s="280"/>
      <c r="E91" s="219"/>
    </row>
    <row r="92" spans="1:5">
      <c r="A92" s="250"/>
      <c r="B92" s="280"/>
      <c r="E92" s="219"/>
    </row>
    <row r="93" spans="1:5">
      <c r="A93" s="250"/>
      <c r="B93" s="280"/>
      <c r="E93" s="219"/>
    </row>
    <row r="94" spans="1:5">
      <c r="A94" s="250"/>
      <c r="B94" s="280"/>
      <c r="E94" s="219"/>
    </row>
    <row r="95" spans="1:5">
      <c r="A95" s="250"/>
      <c r="B95" s="280"/>
      <c r="E95" s="219"/>
    </row>
    <row r="96" spans="1:5">
      <c r="A96" s="250"/>
      <c r="B96" s="280"/>
      <c r="E96" s="219"/>
    </row>
    <row r="97" spans="1:5">
      <c r="A97" s="250"/>
      <c r="B97" s="280"/>
      <c r="E97" s="219"/>
    </row>
    <row r="98" spans="1:5">
      <c r="A98" s="250"/>
      <c r="B98" s="280"/>
      <c r="E98" s="219"/>
    </row>
    <row r="99" spans="1:5">
      <c r="A99" s="250"/>
      <c r="B99" s="280"/>
      <c r="E99" s="219"/>
    </row>
    <row r="100" spans="1:5">
      <c r="A100" s="250"/>
      <c r="B100" s="280"/>
      <c r="E100" s="219"/>
    </row>
    <row r="101" spans="1:5">
      <c r="A101" s="250"/>
      <c r="B101" s="280"/>
      <c r="E101" s="219"/>
    </row>
    <row r="102" spans="1:5">
      <c r="B102" s="280"/>
      <c r="E102" s="219"/>
    </row>
    <row r="103" spans="1:5">
      <c r="B103" s="280"/>
      <c r="E103" s="219"/>
    </row>
    <row r="104" spans="1:5">
      <c r="B104" s="280"/>
      <c r="E104" s="219"/>
    </row>
    <row r="105" spans="1:5">
      <c r="B105" s="280"/>
      <c r="E105" s="219"/>
    </row>
    <row r="106" spans="1:5">
      <c r="B106" s="280"/>
      <c r="E106" s="219"/>
    </row>
    <row r="107" spans="1:5">
      <c r="B107" s="280"/>
      <c r="E107" s="219"/>
    </row>
    <row r="108" spans="1:5">
      <c r="B108" s="280"/>
      <c r="E108" s="219"/>
    </row>
    <row r="109" spans="1:5">
      <c r="B109" s="280"/>
      <c r="E109" s="219"/>
    </row>
    <row r="110" spans="1:5">
      <c r="B110" s="280"/>
      <c r="E110" s="219"/>
    </row>
    <row r="111" spans="1:5">
      <c r="B111" s="280"/>
      <c r="E111" s="219"/>
    </row>
    <row r="112" spans="1:5">
      <c r="B112" s="280"/>
      <c r="E112" s="219"/>
    </row>
    <row r="113" spans="2:5">
      <c r="B113" s="280"/>
      <c r="E113" s="219"/>
    </row>
    <row r="114" spans="2:5">
      <c r="B114" s="280"/>
      <c r="E114" s="219"/>
    </row>
    <row r="115" spans="2:5">
      <c r="B115" s="280"/>
      <c r="E115" s="219"/>
    </row>
    <row r="116" spans="2:5">
      <c r="B116" s="280"/>
      <c r="E116" s="219"/>
    </row>
    <row r="117" spans="2:5">
      <c r="B117" s="280"/>
      <c r="E117" s="219"/>
    </row>
    <row r="118" spans="2:5">
      <c r="B118" s="280"/>
      <c r="E118" s="219"/>
    </row>
    <row r="119" spans="2:5">
      <c r="B119" s="280"/>
      <c r="E119" s="219"/>
    </row>
    <row r="120" spans="2:5">
      <c r="B120" s="280"/>
      <c r="E120" s="219"/>
    </row>
    <row r="121" spans="2:5">
      <c r="B121" s="280"/>
      <c r="E121" s="219"/>
    </row>
    <row r="122" spans="2:5">
      <c r="B122" s="280"/>
      <c r="E122" s="219"/>
    </row>
    <row r="123" spans="2:5">
      <c r="B123" s="280"/>
      <c r="E123" s="219"/>
    </row>
    <row r="124" spans="2:5">
      <c r="B124" s="280"/>
      <c r="E124" s="219"/>
    </row>
    <row r="125" spans="2:5">
      <c r="B125" s="280"/>
      <c r="E125" s="219"/>
    </row>
    <row r="126" spans="2:5">
      <c r="B126" s="280"/>
      <c r="E126" s="219"/>
    </row>
    <row r="127" spans="2:5">
      <c r="B127" s="280"/>
      <c r="E127" s="219"/>
    </row>
    <row r="128" spans="2:5">
      <c r="B128" s="280"/>
      <c r="E128" s="219"/>
    </row>
    <row r="129" spans="2:5">
      <c r="B129" s="280"/>
      <c r="E129" s="219"/>
    </row>
    <row r="130" spans="2:5">
      <c r="B130" s="280"/>
      <c r="E130" s="219"/>
    </row>
    <row r="131" spans="2:5">
      <c r="B131" s="280"/>
      <c r="E131" s="219"/>
    </row>
    <row r="132" spans="2:5">
      <c r="B132" s="280"/>
      <c r="E132" s="219"/>
    </row>
    <row r="133" spans="2:5">
      <c r="B133" s="280"/>
      <c r="E133" s="219"/>
    </row>
    <row r="134" spans="2:5">
      <c r="B134" s="280"/>
      <c r="E134" s="219"/>
    </row>
    <row r="135" spans="2:5">
      <c r="B135" s="280"/>
      <c r="E135" s="219"/>
    </row>
    <row r="136" spans="2:5">
      <c r="B136" s="280"/>
      <c r="E136" s="219"/>
    </row>
    <row r="137" spans="2:5">
      <c r="B137" s="280"/>
      <c r="E137" s="219"/>
    </row>
    <row r="138" spans="2:5">
      <c r="B138" s="280"/>
      <c r="E138" s="219"/>
    </row>
    <row r="139" spans="2:5">
      <c r="B139" s="280"/>
      <c r="E139" s="219"/>
    </row>
    <row r="140" spans="2:5">
      <c r="B140" s="280"/>
      <c r="E140" s="219"/>
    </row>
    <row r="141" spans="2:5">
      <c r="B141" s="280"/>
      <c r="E141" s="219"/>
    </row>
    <row r="142" spans="2:5">
      <c r="B142" s="280"/>
      <c r="E142" s="219"/>
    </row>
    <row r="143" spans="2:5">
      <c r="B143" s="280"/>
      <c r="E143" s="219"/>
    </row>
    <row r="144" spans="2:5">
      <c r="B144" s="280"/>
      <c r="E144" s="219"/>
    </row>
    <row r="145" spans="2:5">
      <c r="B145" s="280"/>
      <c r="E145" s="219"/>
    </row>
    <row r="146" spans="2:5">
      <c r="B146" s="280"/>
      <c r="E146" s="219"/>
    </row>
    <row r="147" spans="2:5">
      <c r="B147" s="280"/>
      <c r="E147" s="219"/>
    </row>
    <row r="148" spans="2:5">
      <c r="B148" s="280"/>
      <c r="E148" s="219"/>
    </row>
    <row r="149" spans="2:5">
      <c r="B149" s="280"/>
      <c r="E149" s="219"/>
    </row>
    <row r="150" spans="2:5">
      <c r="B150" s="280"/>
      <c r="E150" s="219"/>
    </row>
    <row r="151" spans="2:5">
      <c r="B151" s="280"/>
      <c r="E151" s="219"/>
    </row>
    <row r="152" spans="2:5">
      <c r="B152" s="280"/>
      <c r="E152" s="219"/>
    </row>
    <row r="153" spans="2:5">
      <c r="B153" s="280"/>
      <c r="E153" s="219"/>
    </row>
    <row r="154" spans="2:5">
      <c r="B154" s="280"/>
      <c r="E154" s="219"/>
    </row>
    <row r="155" spans="2:5">
      <c r="B155" s="280"/>
      <c r="E155" s="219"/>
    </row>
    <row r="156" spans="2:5">
      <c r="B156" s="280"/>
      <c r="E156" s="219"/>
    </row>
    <row r="157" spans="2:5">
      <c r="B157" s="280"/>
      <c r="E157" s="219"/>
    </row>
    <row r="158" spans="2:5">
      <c r="B158" s="280"/>
      <c r="E158" s="219"/>
    </row>
    <row r="159" spans="2:5">
      <c r="B159" s="280"/>
      <c r="E159" s="219"/>
    </row>
    <row r="160" spans="2:5">
      <c r="B160" s="280"/>
      <c r="E160" s="219"/>
    </row>
    <row r="161" spans="2:5">
      <c r="B161" s="280"/>
      <c r="E161" s="219"/>
    </row>
    <row r="162" spans="2:5">
      <c r="B162" s="280"/>
      <c r="E162" s="219"/>
    </row>
    <row r="163" spans="2:5">
      <c r="B163" s="280"/>
      <c r="E163" s="219"/>
    </row>
    <row r="164" spans="2:5">
      <c r="B164" s="280"/>
      <c r="E164" s="219"/>
    </row>
    <row r="165" spans="2:5">
      <c r="B165" s="280"/>
      <c r="E165" s="219"/>
    </row>
    <row r="166" spans="2:5">
      <c r="B166" s="280"/>
      <c r="E166" s="219"/>
    </row>
    <row r="167" spans="2:5">
      <c r="B167" s="280"/>
      <c r="E167" s="219"/>
    </row>
    <row r="168" spans="2:5">
      <c r="B168" s="280"/>
      <c r="E168" s="219"/>
    </row>
    <row r="169" spans="2:5">
      <c r="B169" s="280"/>
      <c r="E169" s="219"/>
    </row>
    <row r="170" spans="2:5">
      <c r="B170" s="280"/>
      <c r="E170" s="219"/>
    </row>
    <row r="171" spans="2:5">
      <c r="B171" s="280"/>
      <c r="E171" s="219"/>
    </row>
    <row r="172" spans="2:5">
      <c r="B172" s="280"/>
      <c r="E172" s="219"/>
    </row>
    <row r="173" spans="2:5">
      <c r="B173" s="280"/>
      <c r="E173" s="219"/>
    </row>
    <row r="174" spans="2:5">
      <c r="B174" s="280"/>
      <c r="E174" s="219"/>
    </row>
    <row r="175" spans="2:5">
      <c r="B175" s="280"/>
      <c r="E175" s="219"/>
    </row>
    <row r="176" spans="2:5">
      <c r="B176" s="280"/>
      <c r="E176" s="219"/>
    </row>
    <row r="177" spans="2:5">
      <c r="B177" s="280"/>
      <c r="E177" s="219"/>
    </row>
    <row r="178" spans="2:5">
      <c r="B178" s="280"/>
      <c r="E178" s="219"/>
    </row>
    <row r="179" spans="2:5">
      <c r="B179" s="280"/>
      <c r="E179" s="219"/>
    </row>
    <row r="180" spans="2:5">
      <c r="B180" s="280"/>
      <c r="E180" s="219"/>
    </row>
    <row r="181" spans="2:5">
      <c r="B181" s="280"/>
      <c r="E181" s="219"/>
    </row>
    <row r="182" spans="2:5">
      <c r="B182" s="280"/>
      <c r="E182" s="219"/>
    </row>
    <row r="183" spans="2:5">
      <c r="B183" s="280"/>
      <c r="E183" s="219"/>
    </row>
    <row r="184" spans="2:5">
      <c r="B184" s="280"/>
      <c r="E184" s="219"/>
    </row>
    <row r="185" spans="2:5">
      <c r="B185" s="280"/>
      <c r="E185" s="219"/>
    </row>
    <row r="186" spans="2:5">
      <c r="B186" s="280"/>
      <c r="E186" s="219"/>
    </row>
    <row r="187" spans="2:5">
      <c r="B187" s="280"/>
      <c r="E187" s="219"/>
    </row>
    <row r="188" spans="2:5">
      <c r="B188" s="280"/>
      <c r="E188" s="219"/>
    </row>
    <row r="189" spans="2:5">
      <c r="B189" s="280"/>
      <c r="E189" s="219"/>
    </row>
    <row r="190" spans="2:5">
      <c r="B190" s="280"/>
      <c r="E190" s="219"/>
    </row>
    <row r="191" spans="2:5">
      <c r="B191" s="280"/>
      <c r="E191" s="219"/>
    </row>
    <row r="192" spans="2:5">
      <c r="B192" s="280"/>
      <c r="E192" s="219"/>
    </row>
    <row r="193" spans="2:5">
      <c r="B193" s="280"/>
      <c r="E193" s="219"/>
    </row>
    <row r="194" spans="2:5">
      <c r="B194" s="280"/>
      <c r="E194" s="219"/>
    </row>
    <row r="195" spans="2:5">
      <c r="B195" s="280"/>
      <c r="E195" s="219"/>
    </row>
    <row r="196" spans="2:5">
      <c r="B196" s="280"/>
      <c r="E196" s="219"/>
    </row>
    <row r="197" spans="2:5">
      <c r="B197" s="280"/>
      <c r="E197" s="219"/>
    </row>
    <row r="198" spans="2:5">
      <c r="B198" s="280"/>
      <c r="E198" s="219"/>
    </row>
    <row r="199" spans="2:5">
      <c r="B199" s="280"/>
      <c r="E199" s="219"/>
    </row>
    <row r="200" spans="2:5">
      <c r="B200" s="280"/>
      <c r="E200" s="219"/>
    </row>
    <row r="201" spans="2:5">
      <c r="B201" s="280"/>
      <c r="E201" s="219"/>
    </row>
    <row r="202" spans="2:5">
      <c r="B202" s="280"/>
      <c r="E202" s="219"/>
    </row>
    <row r="203" spans="2:5">
      <c r="B203" s="280"/>
      <c r="E203" s="219"/>
    </row>
    <row r="204" spans="2:5">
      <c r="B204" s="280"/>
      <c r="E204" s="219"/>
    </row>
    <row r="205" spans="2:5">
      <c r="B205" s="280"/>
      <c r="E205" s="219"/>
    </row>
    <row r="206" spans="2:5">
      <c r="B206" s="280"/>
      <c r="E206" s="219"/>
    </row>
    <row r="207" spans="2:5">
      <c r="B207" s="280"/>
      <c r="E207" s="219"/>
    </row>
    <row r="208" spans="2:5">
      <c r="B208" s="280"/>
      <c r="E208" s="219"/>
    </row>
    <row r="209" spans="2:5">
      <c r="B209" s="280"/>
      <c r="E209" s="219"/>
    </row>
    <row r="210" spans="2:5">
      <c r="B210" s="280"/>
      <c r="E210" s="219"/>
    </row>
    <row r="211" spans="2:5">
      <c r="B211" s="280"/>
      <c r="E211" s="219"/>
    </row>
    <row r="212" spans="2:5">
      <c r="B212" s="280"/>
      <c r="E212" s="219"/>
    </row>
    <row r="213" spans="2:5">
      <c r="B213" s="280"/>
      <c r="E213" s="219"/>
    </row>
    <row r="214" spans="2:5">
      <c r="B214" s="280"/>
      <c r="E214" s="219"/>
    </row>
    <row r="215" spans="2:5">
      <c r="B215" s="280"/>
      <c r="E215" s="219"/>
    </row>
    <row r="216" spans="2:5">
      <c r="B216" s="280"/>
      <c r="E216" s="219"/>
    </row>
    <row r="217" spans="2:5">
      <c r="B217" s="280"/>
      <c r="E217" s="219"/>
    </row>
    <row r="218" spans="2:5">
      <c r="B218" s="280"/>
      <c r="E218" s="219"/>
    </row>
    <row r="219" spans="2:5">
      <c r="B219" s="280"/>
      <c r="E219" s="219"/>
    </row>
    <row r="220" spans="2:5">
      <c r="B220" s="280"/>
      <c r="E220" s="219"/>
    </row>
    <row r="221" spans="2:5">
      <c r="B221" s="280"/>
      <c r="E221" s="219"/>
    </row>
    <row r="222" spans="2:5">
      <c r="B222" s="280"/>
      <c r="E222" s="219"/>
    </row>
    <row r="223" spans="2:5">
      <c r="B223" s="280"/>
      <c r="E223" s="219"/>
    </row>
    <row r="224" spans="2:5">
      <c r="B224" s="280"/>
      <c r="E224" s="219"/>
    </row>
    <row r="225" spans="2:5">
      <c r="B225" s="280"/>
      <c r="E225" s="219"/>
    </row>
    <row r="226" spans="2:5">
      <c r="B226" s="280"/>
      <c r="E226" s="219"/>
    </row>
    <row r="227" spans="2:5">
      <c r="B227" s="280"/>
      <c r="E227" s="219"/>
    </row>
    <row r="228" spans="2:5">
      <c r="B228" s="280"/>
      <c r="E228" s="219"/>
    </row>
    <row r="229" spans="2:5">
      <c r="B229" s="280"/>
      <c r="E229" s="219"/>
    </row>
    <row r="230" spans="2:5">
      <c r="B230" s="280"/>
      <c r="E230" s="219"/>
    </row>
    <row r="231" spans="2:5">
      <c r="B231" s="280"/>
      <c r="E231" s="219"/>
    </row>
    <row r="232" spans="2:5">
      <c r="B232" s="280"/>
      <c r="E232" s="219"/>
    </row>
    <row r="233" spans="2:5">
      <c r="B233" s="280"/>
      <c r="E233" s="219"/>
    </row>
    <row r="234" spans="2:5">
      <c r="B234" s="280"/>
      <c r="E234" s="219"/>
    </row>
    <row r="235" spans="2:5">
      <c r="B235" s="280"/>
      <c r="E235" s="219"/>
    </row>
    <row r="236" spans="2:5">
      <c r="B236" s="280"/>
      <c r="E236" s="219"/>
    </row>
    <row r="237" spans="2:5">
      <c r="B237" s="280"/>
      <c r="E237" s="219"/>
    </row>
    <row r="238" spans="2:5">
      <c r="B238" s="280"/>
      <c r="E238" s="219"/>
    </row>
    <row r="239" spans="2:5">
      <c r="B239" s="280"/>
      <c r="E239" s="219"/>
    </row>
    <row r="240" spans="2:5">
      <c r="B240" s="280"/>
      <c r="E240" s="219"/>
    </row>
    <row r="241" spans="2:5">
      <c r="B241" s="280"/>
      <c r="E241" s="219"/>
    </row>
    <row r="242" spans="2:5">
      <c r="B242" s="280"/>
      <c r="E242" s="219"/>
    </row>
    <row r="243" spans="2:5">
      <c r="B243" s="280"/>
      <c r="E243" s="219"/>
    </row>
    <row r="244" spans="2:5">
      <c r="B244" s="280"/>
      <c r="E244" s="219"/>
    </row>
    <row r="245" spans="2:5">
      <c r="B245" s="280"/>
      <c r="E245" s="219"/>
    </row>
    <row r="246" spans="2:5">
      <c r="B246" s="280"/>
      <c r="E246" s="219"/>
    </row>
    <row r="247" spans="2:5">
      <c r="B247" s="280"/>
      <c r="E247" s="219"/>
    </row>
    <row r="248" spans="2:5">
      <c r="B248" s="280"/>
      <c r="E248" s="219"/>
    </row>
    <row r="249" spans="2:5">
      <c r="B249" s="280"/>
      <c r="E249" s="219"/>
    </row>
    <row r="250" spans="2:5">
      <c r="B250" s="280"/>
      <c r="E250" s="219"/>
    </row>
    <row r="251" spans="2:5">
      <c r="B251" s="280"/>
      <c r="E251" s="219"/>
    </row>
    <row r="252" spans="2:5">
      <c r="B252" s="280"/>
      <c r="E252" s="219"/>
    </row>
    <row r="253" spans="2:5">
      <c r="B253" s="280"/>
      <c r="E253" s="219"/>
    </row>
    <row r="254" spans="2:5">
      <c r="B254" s="280"/>
      <c r="E254" s="219"/>
    </row>
    <row r="255" spans="2:5">
      <c r="B255" s="280"/>
      <c r="E255" s="219"/>
    </row>
    <row r="256" spans="2:5">
      <c r="B256" s="280"/>
      <c r="E256" s="219"/>
    </row>
    <row r="257" spans="2:5">
      <c r="B257" s="280"/>
      <c r="E257" s="219"/>
    </row>
    <row r="258" spans="2:5">
      <c r="B258" s="280"/>
      <c r="E258" s="219"/>
    </row>
    <row r="259" spans="2:5">
      <c r="B259" s="280"/>
      <c r="E259" s="219"/>
    </row>
    <row r="260" spans="2:5">
      <c r="B260" s="280"/>
      <c r="E260" s="219"/>
    </row>
    <row r="261" spans="2:5">
      <c r="B261" s="280"/>
      <c r="E261" s="219"/>
    </row>
    <row r="262" spans="2:5">
      <c r="B262" s="280"/>
      <c r="E262" s="219"/>
    </row>
    <row r="263" spans="2:5">
      <c r="B263" s="280"/>
      <c r="E263" s="219"/>
    </row>
    <row r="264" spans="2:5">
      <c r="B264" s="280"/>
      <c r="E264" s="219"/>
    </row>
    <row r="265" spans="2:5">
      <c r="B265" s="280"/>
      <c r="E265" s="219"/>
    </row>
    <row r="266" spans="2:5">
      <c r="B266" s="280"/>
      <c r="E266" s="219"/>
    </row>
    <row r="267" spans="2:5">
      <c r="B267" s="280"/>
      <c r="E267" s="219"/>
    </row>
    <row r="268" spans="2:5">
      <c r="B268" s="280"/>
      <c r="E268" s="219"/>
    </row>
    <row r="269" spans="2:5">
      <c r="B269" s="280"/>
      <c r="E269" s="219"/>
    </row>
    <row r="270" spans="2:5">
      <c r="B270" s="280"/>
      <c r="E270" s="219"/>
    </row>
    <row r="271" spans="2:5">
      <c r="B271" s="280"/>
      <c r="E271" s="219"/>
    </row>
    <row r="272" spans="2:5">
      <c r="B272" s="280"/>
      <c r="E272" s="219"/>
    </row>
    <row r="273" spans="2:5">
      <c r="B273" s="280"/>
      <c r="E273" s="219"/>
    </row>
    <row r="274" spans="2:5">
      <c r="B274" s="280"/>
      <c r="E274" s="219"/>
    </row>
    <row r="275" spans="2:5">
      <c r="B275" s="280"/>
      <c r="E275" s="219"/>
    </row>
    <row r="276" spans="2:5">
      <c r="B276" s="280"/>
      <c r="E276" s="219"/>
    </row>
    <row r="277" spans="2:5">
      <c r="B277" s="280"/>
      <c r="E277" s="219"/>
    </row>
    <row r="278" spans="2:5">
      <c r="B278" s="280"/>
      <c r="E278" s="219"/>
    </row>
    <row r="279" spans="2:5">
      <c r="B279" s="280"/>
      <c r="E279" s="219"/>
    </row>
    <row r="280" spans="2:5">
      <c r="B280" s="280"/>
      <c r="E280" s="219"/>
    </row>
    <row r="281" spans="2:5">
      <c r="B281" s="280"/>
      <c r="E281" s="219"/>
    </row>
    <row r="282" spans="2:5">
      <c r="B282" s="280"/>
      <c r="E282" s="219"/>
    </row>
    <row r="283" spans="2:5">
      <c r="B283" s="280"/>
      <c r="E283" s="219"/>
    </row>
    <row r="284" spans="2:5">
      <c r="B284" s="280"/>
      <c r="E284" s="219"/>
    </row>
    <row r="285" spans="2:5">
      <c r="B285" s="280"/>
      <c r="E285" s="219"/>
    </row>
    <row r="286" spans="2:5">
      <c r="B286" s="280"/>
      <c r="E286" s="219"/>
    </row>
    <row r="287" spans="2:5">
      <c r="B287" s="280"/>
      <c r="E287" s="219"/>
    </row>
    <row r="288" spans="2:5">
      <c r="B288" s="280"/>
      <c r="E288" s="219"/>
    </row>
    <row r="289" spans="2:5">
      <c r="B289" s="280"/>
      <c r="E289" s="219"/>
    </row>
    <row r="290" spans="2:5">
      <c r="B290" s="280"/>
      <c r="E290" s="219"/>
    </row>
    <row r="291" spans="2:5">
      <c r="B291" s="280"/>
      <c r="E291" s="219"/>
    </row>
    <row r="292" spans="2:5">
      <c r="B292" s="280"/>
      <c r="E292" s="219"/>
    </row>
    <row r="293" spans="2:5">
      <c r="B293" s="280"/>
      <c r="E293" s="219"/>
    </row>
    <row r="294" spans="2:5">
      <c r="B294" s="280"/>
      <c r="E294" s="219"/>
    </row>
    <row r="295" spans="2:5">
      <c r="B295" s="280"/>
      <c r="E295" s="219"/>
    </row>
    <row r="296" spans="2:5">
      <c r="B296" s="280"/>
      <c r="E296" s="219"/>
    </row>
    <row r="297" spans="2:5">
      <c r="B297" s="280"/>
      <c r="E297" s="219"/>
    </row>
    <row r="298" spans="2:5">
      <c r="B298" s="280"/>
      <c r="E298" s="219"/>
    </row>
    <row r="299" spans="2:5">
      <c r="B299" s="280"/>
      <c r="E299" s="219"/>
    </row>
    <row r="300" spans="2:5">
      <c r="B300" s="280"/>
      <c r="E300" s="219"/>
    </row>
    <row r="301" spans="2:5">
      <c r="B301" s="280"/>
      <c r="E301" s="219"/>
    </row>
    <row r="302" spans="2:5">
      <c r="B302" s="280"/>
      <c r="E302" s="219"/>
    </row>
    <row r="303" spans="2:5">
      <c r="B303" s="280"/>
      <c r="E303" s="219"/>
    </row>
    <row r="304" spans="2:5">
      <c r="B304" s="280"/>
      <c r="E304" s="219"/>
    </row>
    <row r="305" spans="2:5">
      <c r="B305" s="280"/>
      <c r="E305" s="219"/>
    </row>
    <row r="306" spans="2:5">
      <c r="B306" s="280"/>
      <c r="E306" s="219"/>
    </row>
    <row r="307" spans="2:5">
      <c r="B307" s="280"/>
      <c r="E307" s="219"/>
    </row>
    <row r="308" spans="2:5">
      <c r="B308" s="280"/>
      <c r="E308" s="219"/>
    </row>
    <row r="309" spans="2:5">
      <c r="B309" s="280"/>
      <c r="E309" s="219"/>
    </row>
    <row r="310" spans="2:5">
      <c r="B310" s="280"/>
      <c r="E310" s="219"/>
    </row>
    <row r="311" spans="2:5">
      <c r="B311" s="280"/>
      <c r="E311" s="219"/>
    </row>
    <row r="312" spans="2:5">
      <c r="B312" s="280"/>
      <c r="E312" s="219"/>
    </row>
    <row r="313" spans="2:5">
      <c r="B313" s="280"/>
      <c r="E313" s="219"/>
    </row>
    <row r="314" spans="2:5">
      <c r="B314" s="280"/>
      <c r="E314" s="219"/>
    </row>
    <row r="315" spans="2:5">
      <c r="B315" s="280"/>
      <c r="E315" s="219"/>
    </row>
    <row r="316" spans="2:5">
      <c r="B316" s="280"/>
      <c r="E316" s="219"/>
    </row>
    <row r="317" spans="2:5">
      <c r="B317" s="280"/>
      <c r="E317" s="219"/>
    </row>
    <row r="318" spans="2:5">
      <c r="B318" s="280"/>
      <c r="E318" s="219"/>
    </row>
    <row r="319" spans="2:5">
      <c r="B319" s="280"/>
      <c r="E319" s="219"/>
    </row>
    <row r="320" spans="2:5">
      <c r="B320" s="280"/>
      <c r="E320" s="219"/>
    </row>
    <row r="321" spans="2:5">
      <c r="B321" s="280"/>
      <c r="E321" s="219"/>
    </row>
    <row r="322" spans="2:5">
      <c r="B322" s="280"/>
      <c r="E322" s="219"/>
    </row>
    <row r="323" spans="2:5">
      <c r="B323" s="280"/>
      <c r="E323" s="219"/>
    </row>
    <row r="324" spans="2:5">
      <c r="B324" s="280"/>
      <c r="E324" s="219"/>
    </row>
    <row r="325" spans="2:5">
      <c r="B325" s="280"/>
      <c r="E325" s="219"/>
    </row>
    <row r="326" spans="2:5">
      <c r="B326" s="280"/>
      <c r="E326" s="219"/>
    </row>
    <row r="327" spans="2:5">
      <c r="B327" s="280"/>
      <c r="E327" s="219"/>
    </row>
    <row r="328" spans="2:5">
      <c r="B328" s="280"/>
      <c r="E328" s="219"/>
    </row>
    <row r="329" spans="2:5">
      <c r="B329" s="280"/>
      <c r="E329" s="219"/>
    </row>
    <row r="330" spans="2:5">
      <c r="B330" s="280"/>
      <c r="E330" s="219"/>
    </row>
    <row r="331" spans="2:5">
      <c r="B331" s="280"/>
      <c r="E331" s="219"/>
    </row>
    <row r="332" spans="2:5">
      <c r="B332" s="280"/>
      <c r="E332" s="219"/>
    </row>
    <row r="333" spans="2:5">
      <c r="B333" s="280"/>
      <c r="E333" s="219"/>
    </row>
    <row r="334" spans="2:5">
      <c r="B334" s="280"/>
      <c r="E334" s="219"/>
    </row>
    <row r="335" spans="2:5">
      <c r="B335" s="280"/>
      <c r="E335" s="219"/>
    </row>
    <row r="336" spans="2:5">
      <c r="B336" s="280"/>
      <c r="E336" s="219"/>
    </row>
    <row r="337" spans="2:5">
      <c r="B337" s="280"/>
      <c r="E337" s="219"/>
    </row>
    <row r="338" spans="2:5">
      <c r="B338" s="280"/>
      <c r="E338" s="219"/>
    </row>
    <row r="339" spans="2:5">
      <c r="B339" s="280"/>
      <c r="E339" s="219"/>
    </row>
    <row r="340" spans="2:5">
      <c r="B340" s="280"/>
      <c r="E340" s="219"/>
    </row>
    <row r="341" spans="2:5">
      <c r="B341" s="280"/>
      <c r="E341" s="219"/>
    </row>
    <row r="342" spans="2:5">
      <c r="B342" s="280"/>
      <c r="E342" s="219"/>
    </row>
    <row r="343" spans="2:5">
      <c r="B343" s="280"/>
      <c r="E343" s="219"/>
    </row>
    <row r="344" spans="2:5">
      <c r="B344" s="280"/>
      <c r="E344" s="219"/>
    </row>
    <row r="345" spans="2:5">
      <c r="B345" s="280"/>
      <c r="E345" s="219"/>
    </row>
    <row r="346" spans="2:5">
      <c r="B346" s="280"/>
      <c r="E346" s="219"/>
    </row>
    <row r="347" spans="2:5">
      <c r="B347" s="280"/>
      <c r="E347" s="219"/>
    </row>
    <row r="348" spans="2:5">
      <c r="B348" s="280"/>
      <c r="E348" s="219"/>
    </row>
    <row r="349" spans="2:5">
      <c r="B349" s="280"/>
      <c r="E349" s="219"/>
    </row>
    <row r="350" spans="2:5">
      <c r="B350" s="280"/>
      <c r="E350" s="219"/>
    </row>
    <row r="351" spans="2:5">
      <c r="B351" s="280"/>
      <c r="E351" s="219"/>
    </row>
    <row r="352" spans="2:5">
      <c r="B352" s="280"/>
      <c r="E352" s="219"/>
    </row>
    <row r="353" spans="2:5">
      <c r="B353" s="280"/>
      <c r="E353" s="219"/>
    </row>
    <row r="354" spans="2:5">
      <c r="B354" s="280"/>
      <c r="E354" s="219"/>
    </row>
    <row r="355" spans="2:5">
      <c r="B355" s="280"/>
      <c r="E355" s="219"/>
    </row>
    <row r="356" spans="2:5">
      <c r="B356" s="280"/>
      <c r="E356" s="219"/>
    </row>
    <row r="357" spans="2:5">
      <c r="B357" s="280"/>
      <c r="E357" s="219"/>
    </row>
    <row r="358" spans="2:5">
      <c r="B358" s="280"/>
      <c r="E358" s="219"/>
    </row>
    <row r="359" spans="2:5">
      <c r="B359" s="280"/>
      <c r="E359" s="219"/>
    </row>
    <row r="360" spans="2:5">
      <c r="B360" s="280"/>
      <c r="E360" s="219"/>
    </row>
    <row r="361" spans="2:5">
      <c r="B361" s="280"/>
      <c r="E361" s="219"/>
    </row>
    <row r="362" spans="2:5">
      <c r="B362" s="280"/>
      <c r="E362" s="219"/>
    </row>
    <row r="363" spans="2:5">
      <c r="B363" s="280"/>
      <c r="E363" s="219"/>
    </row>
    <row r="364" spans="2:5">
      <c r="B364" s="280"/>
      <c r="E364" s="219"/>
    </row>
    <row r="365" spans="2:5">
      <c r="B365" s="280"/>
      <c r="E365" s="219"/>
    </row>
    <row r="366" spans="2:5">
      <c r="B366" s="280"/>
      <c r="E366" s="219"/>
    </row>
    <row r="367" spans="2:5">
      <c r="B367" s="280"/>
      <c r="E367" s="219"/>
    </row>
    <row r="368" spans="2:5">
      <c r="B368" s="280"/>
      <c r="E368" s="219"/>
    </row>
    <row r="369" spans="2:5">
      <c r="B369" s="280"/>
      <c r="E369" s="219"/>
    </row>
    <row r="370" spans="2:5">
      <c r="B370" s="280"/>
      <c r="E370" s="219"/>
    </row>
    <row r="371" spans="2:5">
      <c r="B371" s="280"/>
      <c r="E371" s="219"/>
    </row>
    <row r="372" spans="2:5">
      <c r="B372" s="280"/>
      <c r="E372" s="219"/>
    </row>
    <row r="373" spans="2:5">
      <c r="B373" s="280"/>
      <c r="E373" s="219"/>
    </row>
    <row r="374" spans="2:5">
      <c r="B374" s="280"/>
      <c r="E374" s="219"/>
    </row>
    <row r="375" spans="2:5">
      <c r="B375" s="280"/>
      <c r="E375" s="219"/>
    </row>
    <row r="376" spans="2:5">
      <c r="B376" s="280"/>
      <c r="E376" s="219"/>
    </row>
    <row r="377" spans="2:5">
      <c r="B377" s="280"/>
      <c r="E377" s="219"/>
    </row>
    <row r="378" spans="2:5">
      <c r="B378" s="280"/>
      <c r="E378" s="219"/>
    </row>
    <row r="379" spans="2:5">
      <c r="B379" s="280"/>
      <c r="E379" s="219"/>
    </row>
    <row r="380" spans="2:5">
      <c r="B380" s="280"/>
      <c r="E380" s="219"/>
    </row>
    <row r="381" spans="2:5">
      <c r="B381" s="280"/>
      <c r="E381" s="219"/>
    </row>
    <row r="382" spans="2:5">
      <c r="B382" s="280"/>
      <c r="E382" s="219"/>
    </row>
    <row r="383" spans="2:5">
      <c r="B383" s="280"/>
      <c r="E383" s="219"/>
    </row>
    <row r="384" spans="2:5">
      <c r="B384" s="280"/>
      <c r="E384" s="219"/>
    </row>
    <row r="385" spans="2:5">
      <c r="B385" s="280"/>
      <c r="E385" s="219"/>
    </row>
    <row r="386" spans="2:5">
      <c r="B386" s="280"/>
      <c r="E386" s="219"/>
    </row>
    <row r="387" spans="2:5">
      <c r="B387" s="280"/>
      <c r="E387" s="219"/>
    </row>
    <row r="388" spans="2:5">
      <c r="B388" s="280"/>
      <c r="E388" s="219"/>
    </row>
    <row r="389" spans="2:5">
      <c r="B389" s="280"/>
      <c r="E389" s="219"/>
    </row>
    <row r="390" spans="2:5">
      <c r="B390" s="280"/>
      <c r="E390" s="219"/>
    </row>
    <row r="391" spans="2:5">
      <c r="B391" s="280"/>
      <c r="E391" s="219"/>
    </row>
    <row r="392" spans="2:5">
      <c r="B392" s="280"/>
      <c r="E392" s="219"/>
    </row>
    <row r="393" spans="2:5">
      <c r="B393" s="280"/>
      <c r="E393" s="219"/>
    </row>
    <row r="394" spans="2:5">
      <c r="B394" s="280"/>
      <c r="E394" s="219"/>
    </row>
    <row r="395" spans="2:5">
      <c r="B395" s="280"/>
      <c r="E395" s="219"/>
    </row>
    <row r="396" spans="2:5">
      <c r="B396" s="280"/>
      <c r="E396" s="219"/>
    </row>
    <row r="397" spans="2:5">
      <c r="B397" s="280"/>
      <c r="E397" s="219"/>
    </row>
    <row r="398" spans="2:5">
      <c r="B398" s="280"/>
      <c r="E398" s="219"/>
    </row>
    <row r="399" spans="2:5">
      <c r="B399" s="280"/>
      <c r="E399" s="219"/>
    </row>
    <row r="400" spans="2:5">
      <c r="B400" s="280"/>
      <c r="E400" s="219"/>
    </row>
    <row r="401" spans="2:5">
      <c r="B401" s="280"/>
      <c r="E401" s="219"/>
    </row>
    <row r="402" spans="2:5">
      <c r="B402" s="280"/>
      <c r="E402" s="219"/>
    </row>
    <row r="403" spans="2:5">
      <c r="B403" s="280"/>
      <c r="E403" s="219"/>
    </row>
    <row r="404" spans="2:5">
      <c r="B404" s="280"/>
      <c r="E404" s="219"/>
    </row>
    <row r="405" spans="2:5">
      <c r="B405" s="280"/>
      <c r="E405" s="219"/>
    </row>
    <row r="406" spans="2:5">
      <c r="B406" s="280"/>
      <c r="E406" s="219"/>
    </row>
    <row r="407" spans="2:5">
      <c r="B407" s="280"/>
      <c r="E407" s="219"/>
    </row>
    <row r="408" spans="2:5">
      <c r="B408" s="280"/>
      <c r="E408" s="219"/>
    </row>
    <row r="409" spans="2:5">
      <c r="B409" s="280"/>
      <c r="E409" s="219"/>
    </row>
    <row r="410" spans="2:5">
      <c r="B410" s="280"/>
      <c r="E410" s="219"/>
    </row>
    <row r="411" spans="2:5">
      <c r="B411" s="280"/>
      <c r="E411" s="219"/>
    </row>
    <row r="412" spans="2:5">
      <c r="B412" s="280"/>
      <c r="E412" s="219"/>
    </row>
    <row r="413" spans="2:5">
      <c r="B413" s="280"/>
      <c r="E413" s="219"/>
    </row>
    <row r="414" spans="2:5">
      <c r="B414" s="280"/>
      <c r="E414" s="219"/>
    </row>
    <row r="415" spans="2:5">
      <c r="B415" s="280"/>
      <c r="E415" s="219"/>
    </row>
    <row r="416" spans="2:5">
      <c r="B416" s="280"/>
      <c r="E416" s="219"/>
    </row>
    <row r="417" spans="2:5">
      <c r="B417" s="280"/>
      <c r="E417" s="219"/>
    </row>
    <row r="418" spans="2:5">
      <c r="B418" s="280"/>
      <c r="E418" s="219"/>
    </row>
    <row r="419" spans="2:5">
      <c r="B419" s="280"/>
      <c r="E419" s="219"/>
    </row>
    <row r="420" spans="2:5">
      <c r="B420" s="280"/>
      <c r="E420" s="219"/>
    </row>
    <row r="421" spans="2:5">
      <c r="B421" s="280"/>
      <c r="E421" s="219"/>
    </row>
    <row r="422" spans="2:5">
      <c r="B422" s="280"/>
      <c r="E422" s="219"/>
    </row>
    <row r="423" spans="2:5">
      <c r="B423" s="280"/>
      <c r="E423" s="219"/>
    </row>
    <row r="424" spans="2:5">
      <c r="B424" s="280"/>
      <c r="E424" s="219"/>
    </row>
    <row r="425" spans="2:5">
      <c r="B425" s="280"/>
      <c r="E425" s="219"/>
    </row>
    <row r="426" spans="2:5">
      <c r="B426" s="280"/>
      <c r="E426" s="219"/>
    </row>
    <row r="427" spans="2:5">
      <c r="B427" s="280"/>
      <c r="E427" s="219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56" orientation="portrait" r:id="rId1"/>
  <headerFooter scaleWithDoc="0">
    <oddFooter>&amp;C&amp;"Times New Roman,Regular"&amp;10&amp;A</oddFooter>
  </headerFooter>
  <ignoredErrors>
    <ignoredError sqref="B5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2:U87"/>
  <sheetViews>
    <sheetView topLeftCell="A24" zoomScale="80" zoomScaleNormal="80" zoomScalePageLayoutView="80" workbookViewId="0"/>
  </sheetViews>
  <sheetFormatPr defaultColWidth="9.140625" defaultRowHeight="15.75"/>
  <cols>
    <col min="1" max="1" width="5.140625" style="297" customWidth="1"/>
    <col min="2" max="2" width="6.5703125" style="289" customWidth="1"/>
    <col min="3" max="3" width="68.7109375" style="289" customWidth="1"/>
    <col min="4" max="5" width="16.7109375" style="289" customWidth="1"/>
    <col min="6" max="6" width="17.42578125" style="289" bestFit="1" customWidth="1"/>
    <col min="7" max="7" width="34.5703125" style="289" customWidth="1"/>
    <col min="8" max="8" width="5.140625" style="297" customWidth="1"/>
    <col min="9" max="9" width="4" style="289" customWidth="1"/>
    <col min="10" max="10" width="13.140625" style="289" bestFit="1" customWidth="1"/>
    <col min="11" max="11" width="9.140625" style="289"/>
    <col min="12" max="12" width="9.7109375" style="289" customWidth="1"/>
    <col min="13" max="13" width="10" style="289" customWidth="1"/>
    <col min="14" max="16384" width="9.140625" style="289"/>
  </cols>
  <sheetData>
    <row r="2" spans="1:13">
      <c r="B2" s="1316" t="s">
        <v>0</v>
      </c>
      <c r="C2" s="1316"/>
      <c r="D2" s="1316"/>
      <c r="E2" s="1316"/>
      <c r="F2" s="1316"/>
      <c r="G2" s="1316"/>
      <c r="H2" s="291"/>
    </row>
    <row r="3" spans="1:13">
      <c r="B3" s="1316" t="s">
        <v>532</v>
      </c>
      <c r="C3" s="1316"/>
      <c r="D3" s="1316"/>
      <c r="E3" s="1316"/>
      <c r="F3" s="1316"/>
      <c r="G3" s="1316"/>
      <c r="H3" s="291"/>
    </row>
    <row r="4" spans="1:13">
      <c r="B4" s="1316" t="str">
        <f>" 12 Months Ending December 31, "&amp;Automation!$B$3</f>
        <v xml:space="preserve"> 12 Months Ending December 31, 2022</v>
      </c>
      <c r="C4" s="1316"/>
      <c r="D4" s="1316"/>
      <c r="E4" s="1316"/>
      <c r="F4" s="1316"/>
      <c r="G4" s="1316"/>
      <c r="H4" s="291"/>
    </row>
    <row r="5" spans="1:13">
      <c r="B5" s="1317" t="s">
        <v>3</v>
      </c>
      <c r="C5" s="1317"/>
      <c r="D5" s="1317"/>
      <c r="E5" s="1317"/>
      <c r="F5" s="1317"/>
      <c r="G5" s="1317"/>
      <c r="H5" s="291"/>
      <c r="K5"/>
      <c r="L5"/>
      <c r="M5"/>
    </row>
    <row r="6" spans="1:13" ht="16.5" thickBot="1">
      <c r="D6" s="290"/>
      <c r="E6" s="290"/>
      <c r="F6" s="290"/>
      <c r="G6" s="290"/>
      <c r="J6" s="219"/>
    </row>
    <row r="7" spans="1:13">
      <c r="A7" s="291"/>
      <c r="B7" s="292"/>
      <c r="C7" s="293"/>
      <c r="D7" s="294" t="s">
        <v>77</v>
      </c>
      <c r="E7" s="295" t="s">
        <v>78</v>
      </c>
      <c r="F7" s="247" t="s">
        <v>895</v>
      </c>
      <c r="G7" s="296"/>
      <c r="H7" s="291"/>
    </row>
    <row r="8" spans="1:13">
      <c r="A8" s="297" t="s">
        <v>4</v>
      </c>
      <c r="B8" s="298" t="s">
        <v>376</v>
      </c>
      <c r="C8" s="299"/>
      <c r="D8" s="300" t="s">
        <v>80</v>
      </c>
      <c r="E8" s="291" t="s">
        <v>479</v>
      </c>
      <c r="F8" s="300" t="s">
        <v>80</v>
      </c>
      <c r="G8" s="301"/>
      <c r="H8" s="297" t="s">
        <v>4</v>
      </c>
    </row>
    <row r="9" spans="1:13" ht="16.5" thickBot="1">
      <c r="A9" s="297" t="s">
        <v>5</v>
      </c>
      <c r="B9" s="302" t="s">
        <v>480</v>
      </c>
      <c r="C9" s="303" t="s">
        <v>262</v>
      </c>
      <c r="D9" s="304" t="s">
        <v>481</v>
      </c>
      <c r="E9" s="303" t="s">
        <v>482</v>
      </c>
      <c r="F9" s="304" t="s">
        <v>483</v>
      </c>
      <c r="G9" s="305" t="s">
        <v>8</v>
      </c>
      <c r="H9" s="297" t="s">
        <v>5</v>
      </c>
      <c r="I9" s="297"/>
    </row>
    <row r="10" spans="1:13">
      <c r="B10" s="306"/>
      <c r="C10" s="307" t="s">
        <v>533</v>
      </c>
      <c r="D10" s="767"/>
      <c r="E10" s="1208"/>
      <c r="F10" s="308"/>
      <c r="G10" s="309"/>
    </row>
    <row r="11" spans="1:13">
      <c r="A11" s="297">
        <v>1</v>
      </c>
      <c r="B11" s="306">
        <v>920</v>
      </c>
      <c r="C11" s="310" t="s">
        <v>534</v>
      </c>
      <c r="D11" s="176">
        <v>36490.397559999998</v>
      </c>
      <c r="E11" s="176"/>
      <c r="F11" s="176">
        <f>D11-E11</f>
        <v>36490.397559999998</v>
      </c>
      <c r="G11" s="253" t="s">
        <v>961</v>
      </c>
      <c r="H11" s="297">
        <f>A11</f>
        <v>1</v>
      </c>
      <c r="I11" s="289" t="s">
        <v>186</v>
      </c>
      <c r="J11" s="163"/>
    </row>
    <row r="12" spans="1:13">
      <c r="A12" s="297">
        <f t="shared" ref="A12:A67" si="0">A11+1</f>
        <v>2</v>
      </c>
      <c r="B12" s="306">
        <v>921</v>
      </c>
      <c r="C12" s="310" t="s">
        <v>535</v>
      </c>
      <c r="D12" s="178">
        <v>31909.733110000005</v>
      </c>
      <c r="E12" s="178">
        <f>E35</f>
        <v>845.20270999999991</v>
      </c>
      <c r="F12" s="178">
        <f>D12-E12</f>
        <v>31064.530400000003</v>
      </c>
      <c r="G12" s="253" t="s">
        <v>962</v>
      </c>
      <c r="H12" s="297">
        <f t="shared" ref="H12:H67" si="1">H11+1</f>
        <v>2</v>
      </c>
      <c r="J12" s="163"/>
      <c r="K12" s="311"/>
    </row>
    <row r="13" spans="1:13">
      <c r="A13" s="297">
        <f t="shared" si="0"/>
        <v>3</v>
      </c>
      <c r="B13" s="306">
        <v>922</v>
      </c>
      <c r="C13" s="310" t="s">
        <v>536</v>
      </c>
      <c r="D13" s="178">
        <v>-117.06113000000106</v>
      </c>
      <c r="E13" s="178">
        <f>E36</f>
        <v>14790</v>
      </c>
      <c r="F13" s="178">
        <f t="shared" ref="F13:F23" si="2">D13-E13</f>
        <v>-14907.061130000002</v>
      </c>
      <c r="G13" s="253" t="s">
        <v>963</v>
      </c>
      <c r="H13" s="297">
        <f t="shared" si="1"/>
        <v>3</v>
      </c>
      <c r="J13" s="163"/>
    </row>
    <row r="14" spans="1:13">
      <c r="A14" s="297">
        <f t="shared" si="0"/>
        <v>4</v>
      </c>
      <c r="B14" s="306">
        <v>923</v>
      </c>
      <c r="C14" s="310" t="s">
        <v>537</v>
      </c>
      <c r="D14" s="178">
        <v>93392.102069999994</v>
      </c>
      <c r="E14" s="178">
        <f>E38</f>
        <v>-15527.43785</v>
      </c>
      <c r="F14" s="178">
        <f t="shared" si="2"/>
        <v>108919.53992</v>
      </c>
      <c r="G14" s="253" t="s">
        <v>964</v>
      </c>
      <c r="H14" s="297">
        <f t="shared" si="1"/>
        <v>4</v>
      </c>
      <c r="J14" s="163"/>
    </row>
    <row r="15" spans="1:13">
      <c r="A15" s="297">
        <f t="shared" si="0"/>
        <v>5</v>
      </c>
      <c r="B15" s="306">
        <v>924</v>
      </c>
      <c r="C15" s="310" t="s">
        <v>538</v>
      </c>
      <c r="D15" s="178">
        <v>8930.0596700000024</v>
      </c>
      <c r="E15" s="178"/>
      <c r="F15" s="178">
        <f t="shared" si="2"/>
        <v>8930.0596700000024</v>
      </c>
      <c r="G15" s="253" t="s">
        <v>965</v>
      </c>
      <c r="H15" s="297">
        <f t="shared" si="1"/>
        <v>5</v>
      </c>
      <c r="J15" s="163"/>
    </row>
    <row r="16" spans="1:13">
      <c r="A16" s="297">
        <f t="shared" si="0"/>
        <v>6</v>
      </c>
      <c r="B16" s="306">
        <v>925</v>
      </c>
      <c r="C16" s="310" t="s">
        <v>539</v>
      </c>
      <c r="D16" s="178">
        <v>232737.36132</v>
      </c>
      <c r="E16" s="178">
        <f>E40</f>
        <v>316.085377876</v>
      </c>
      <c r="F16" s="178">
        <f t="shared" si="2"/>
        <v>232421.27594212399</v>
      </c>
      <c r="G16" s="253" t="s">
        <v>966</v>
      </c>
      <c r="H16" s="297">
        <f t="shared" si="1"/>
        <v>6</v>
      </c>
      <c r="J16" s="163"/>
    </row>
    <row r="17" spans="1:10">
      <c r="A17" s="297">
        <f t="shared" si="0"/>
        <v>7</v>
      </c>
      <c r="B17" s="306">
        <v>926</v>
      </c>
      <c r="C17" s="310" t="s">
        <v>540</v>
      </c>
      <c r="D17" s="178">
        <v>55888.241969999988</v>
      </c>
      <c r="E17" s="178">
        <f>E41</f>
        <v>-213.36890760999992</v>
      </c>
      <c r="F17" s="178">
        <f t="shared" si="2"/>
        <v>56101.610877609986</v>
      </c>
      <c r="G17" s="253" t="s">
        <v>967</v>
      </c>
      <c r="H17" s="297">
        <f t="shared" si="1"/>
        <v>7</v>
      </c>
      <c r="J17" s="312"/>
    </row>
    <row r="18" spans="1:10">
      <c r="A18" s="297">
        <f t="shared" si="0"/>
        <v>8</v>
      </c>
      <c r="B18" s="306">
        <v>927</v>
      </c>
      <c r="C18" s="310" t="s">
        <v>541</v>
      </c>
      <c r="D18" s="178">
        <v>136000.65109999999</v>
      </c>
      <c r="E18" s="178">
        <f>E42</f>
        <v>136000.65109999999</v>
      </c>
      <c r="F18" s="178">
        <f t="shared" si="2"/>
        <v>0</v>
      </c>
      <c r="G18" s="253" t="s">
        <v>968</v>
      </c>
      <c r="H18" s="297">
        <f t="shared" si="1"/>
        <v>8</v>
      </c>
      <c r="J18" s="312"/>
    </row>
    <row r="19" spans="1:10">
      <c r="A19" s="297">
        <f t="shared" si="0"/>
        <v>9</v>
      </c>
      <c r="B19" s="306">
        <v>928</v>
      </c>
      <c r="C19" s="310" t="s">
        <v>542</v>
      </c>
      <c r="D19" s="178">
        <v>36826.288789999999</v>
      </c>
      <c r="E19" s="178">
        <f>E47</f>
        <v>25397.196220000002</v>
      </c>
      <c r="F19" s="178">
        <f t="shared" si="2"/>
        <v>11429.092569999997</v>
      </c>
      <c r="G19" s="253" t="s">
        <v>969</v>
      </c>
      <c r="H19" s="297">
        <f t="shared" si="1"/>
        <v>9</v>
      </c>
      <c r="J19" s="312"/>
    </row>
    <row r="20" spans="1:10">
      <c r="A20" s="297">
        <f t="shared" si="0"/>
        <v>10</v>
      </c>
      <c r="B20" s="306">
        <v>929</v>
      </c>
      <c r="C20" s="310" t="s">
        <v>543</v>
      </c>
      <c r="D20" s="178">
        <v>-22074.292129999998</v>
      </c>
      <c r="E20" s="178"/>
      <c r="F20" s="178">
        <f t="shared" si="2"/>
        <v>-22074.292129999998</v>
      </c>
      <c r="G20" s="253" t="s">
        <v>970</v>
      </c>
      <c r="H20" s="297">
        <f t="shared" si="1"/>
        <v>10</v>
      </c>
      <c r="J20" s="163"/>
    </row>
    <row r="21" spans="1:10">
      <c r="A21" s="297">
        <f t="shared" si="0"/>
        <v>11</v>
      </c>
      <c r="B21" s="313">
        <v>930.1</v>
      </c>
      <c r="C21" s="310" t="s">
        <v>544</v>
      </c>
      <c r="D21" s="178">
        <v>7.6341200000000002</v>
      </c>
      <c r="E21" s="178">
        <f>E48</f>
        <v>7.6341200000000002</v>
      </c>
      <c r="F21" s="178">
        <f t="shared" si="2"/>
        <v>0</v>
      </c>
      <c r="G21" s="253" t="s">
        <v>971</v>
      </c>
      <c r="H21" s="297">
        <f t="shared" si="1"/>
        <v>11</v>
      </c>
      <c r="J21" s="163"/>
    </row>
    <row r="22" spans="1:10">
      <c r="A22" s="297">
        <f t="shared" si="0"/>
        <v>12</v>
      </c>
      <c r="B22" s="313">
        <v>930.2</v>
      </c>
      <c r="C22" s="310" t="s">
        <v>545</v>
      </c>
      <c r="D22" s="178">
        <v>6624.7593599999982</v>
      </c>
      <c r="E22" s="178">
        <f>E50</f>
        <v>507.31919000000005</v>
      </c>
      <c r="F22" s="178">
        <f t="shared" si="2"/>
        <v>6117.440169999998</v>
      </c>
      <c r="G22" s="253" t="s">
        <v>972</v>
      </c>
      <c r="H22" s="297">
        <f t="shared" si="1"/>
        <v>12</v>
      </c>
      <c r="J22" s="314"/>
    </row>
    <row r="23" spans="1:10">
      <c r="A23" s="297">
        <f t="shared" si="0"/>
        <v>13</v>
      </c>
      <c r="B23" s="306">
        <v>931</v>
      </c>
      <c r="C23" s="310" t="s">
        <v>498</v>
      </c>
      <c r="D23" s="178">
        <v>14136.924589999999</v>
      </c>
      <c r="E23" s="178"/>
      <c r="F23" s="178">
        <f t="shared" si="2"/>
        <v>14136.924589999999</v>
      </c>
      <c r="G23" s="253" t="s">
        <v>973</v>
      </c>
      <c r="H23" s="297">
        <f t="shared" si="1"/>
        <v>13</v>
      </c>
      <c r="J23" s="163"/>
    </row>
    <row r="24" spans="1:10">
      <c r="A24" s="297">
        <f t="shared" si="0"/>
        <v>14</v>
      </c>
      <c r="B24" s="306">
        <v>935</v>
      </c>
      <c r="C24" s="310" t="s">
        <v>546</v>
      </c>
      <c r="D24" s="997">
        <v>24457.53455</v>
      </c>
      <c r="E24" s="997">
        <f>E51</f>
        <v>0</v>
      </c>
      <c r="F24" s="997">
        <f>D24-E24</f>
        <v>24457.53455</v>
      </c>
      <c r="G24" s="1249" t="s">
        <v>974</v>
      </c>
      <c r="H24" s="297">
        <f t="shared" si="1"/>
        <v>14</v>
      </c>
      <c r="I24" s="289" t="s">
        <v>186</v>
      </c>
      <c r="J24" s="163"/>
    </row>
    <row r="25" spans="1:10">
      <c r="A25" s="297">
        <f t="shared" si="0"/>
        <v>15</v>
      </c>
      <c r="B25" s="306"/>
      <c r="D25" s="315"/>
      <c r="E25" s="315"/>
      <c r="F25" s="315"/>
      <c r="G25" s="316"/>
      <c r="H25" s="297">
        <f t="shared" si="1"/>
        <v>15</v>
      </c>
    </row>
    <row r="26" spans="1:10" ht="16.5" thickBot="1">
      <c r="A26" s="297">
        <f t="shared" si="0"/>
        <v>16</v>
      </c>
      <c r="B26" s="306"/>
      <c r="C26" s="299" t="s">
        <v>547</v>
      </c>
      <c r="D26" s="317">
        <f>SUM(D11:D24)</f>
        <v>655210.33494999993</v>
      </c>
      <c r="E26" s="269">
        <f>SUM(E11:E24)</f>
        <v>162123.281960266</v>
      </c>
      <c r="F26" s="269">
        <f>SUM(F11:F24)</f>
        <v>493087.05298973399</v>
      </c>
      <c r="G26" s="318" t="str">
        <f>"Sum Lines "&amp;A11&amp;" thru "&amp;A24</f>
        <v>Sum Lines 1 thru 14</v>
      </c>
      <c r="H26" s="297">
        <f t="shared" si="1"/>
        <v>16</v>
      </c>
    </row>
    <row r="27" spans="1:10" ht="16.5" thickTop="1">
      <c r="A27" s="297">
        <f t="shared" si="0"/>
        <v>17</v>
      </c>
      <c r="B27" s="306"/>
      <c r="C27" s="299"/>
      <c r="D27" s="237"/>
      <c r="E27" s="151"/>
      <c r="F27" s="281"/>
      <c r="G27" s="318"/>
      <c r="H27" s="297">
        <f t="shared" si="1"/>
        <v>17</v>
      </c>
    </row>
    <row r="28" spans="1:10" ht="18.75">
      <c r="A28" s="297">
        <f t="shared" si="0"/>
        <v>18</v>
      </c>
      <c r="B28" s="306">
        <v>413</v>
      </c>
      <c r="C28" s="289" t="s">
        <v>548</v>
      </c>
      <c r="D28" s="997">
        <v>231.60275999999999</v>
      </c>
      <c r="E28" s="1002">
        <v>0</v>
      </c>
      <c r="F28" s="997">
        <f>D28-E28</f>
        <v>231.60275999999999</v>
      </c>
      <c r="G28" s="318"/>
      <c r="H28" s="297">
        <f t="shared" si="1"/>
        <v>18</v>
      </c>
    </row>
    <row r="29" spans="1:10">
      <c r="A29" s="297">
        <f t="shared" si="0"/>
        <v>19</v>
      </c>
      <c r="B29" s="306"/>
      <c r="C29" s="299"/>
      <c r="D29" s="237"/>
      <c r="E29" s="151"/>
      <c r="F29" s="281"/>
      <c r="G29" s="318"/>
      <c r="H29" s="297">
        <f t="shared" si="1"/>
        <v>19</v>
      </c>
    </row>
    <row r="30" spans="1:10" ht="16.5" thickBot="1">
      <c r="A30" s="297">
        <f t="shared" si="0"/>
        <v>20</v>
      </c>
      <c r="B30" s="306"/>
      <c r="C30" s="299" t="s">
        <v>549</v>
      </c>
      <c r="D30" s="317">
        <f>D26+D28</f>
        <v>655441.93770999997</v>
      </c>
      <c r="E30" s="151">
        <f>E26+E28</f>
        <v>162123.281960266</v>
      </c>
      <c r="F30" s="281">
        <f>F26+F28</f>
        <v>493318.65574973397</v>
      </c>
      <c r="G30" s="318" t="str">
        <f>"Line "&amp;A26&amp;" + Line "&amp;A28</f>
        <v>Line 16 + Line 18</v>
      </c>
      <c r="H30" s="297">
        <f t="shared" si="1"/>
        <v>20</v>
      </c>
    </row>
    <row r="31" spans="1:10" ht="17.25" thickTop="1" thickBot="1">
      <c r="A31" s="297">
        <f t="shared" si="0"/>
        <v>21</v>
      </c>
      <c r="B31" s="319"/>
      <c r="C31" s="290"/>
      <c r="D31" s="320"/>
      <c r="E31" s="321"/>
      <c r="F31" s="321"/>
      <c r="G31" s="322"/>
      <c r="H31" s="297">
        <f t="shared" si="1"/>
        <v>21</v>
      </c>
    </row>
    <row r="32" spans="1:10">
      <c r="A32" s="297">
        <f t="shared" si="0"/>
        <v>22</v>
      </c>
      <c r="B32" s="323"/>
      <c r="D32" s="324"/>
      <c r="E32" s="325"/>
      <c r="F32" s="324"/>
      <c r="G32" s="316"/>
      <c r="H32" s="297">
        <f t="shared" si="1"/>
        <v>22</v>
      </c>
    </row>
    <row r="33" spans="1:21">
      <c r="A33" s="297">
        <f t="shared" si="0"/>
        <v>23</v>
      </c>
      <c r="B33" s="326" t="s">
        <v>550</v>
      </c>
      <c r="C33" s="297"/>
      <c r="D33" s="297"/>
      <c r="E33" s="297"/>
      <c r="F33" s="297"/>
      <c r="G33" s="316"/>
      <c r="H33" s="297">
        <f t="shared" si="1"/>
        <v>23</v>
      </c>
    </row>
    <row r="34" spans="1:21" ht="18.75">
      <c r="A34" s="297">
        <f t="shared" si="0"/>
        <v>24</v>
      </c>
      <c r="B34" s="1235">
        <v>921</v>
      </c>
      <c r="C34" s="310" t="s">
        <v>1029</v>
      </c>
      <c r="D34" s="1236">
        <v>840.71799999999996</v>
      </c>
      <c r="E34" s="1236"/>
      <c r="F34" s="297"/>
      <c r="G34" s="316"/>
      <c r="H34" s="297">
        <f t="shared" si="1"/>
        <v>24</v>
      </c>
    </row>
    <row r="35" spans="1:21">
      <c r="A35" s="297">
        <f t="shared" si="0"/>
        <v>25</v>
      </c>
      <c r="B35" s="1235"/>
      <c r="C35" s="310" t="s">
        <v>919</v>
      </c>
      <c r="D35" s="1258">
        <v>4.4847099999999998</v>
      </c>
      <c r="E35" s="1236">
        <f>SUM(D34:D35)</f>
        <v>845.20270999999991</v>
      </c>
      <c r="F35" s="297"/>
      <c r="G35" s="316"/>
      <c r="H35" s="297">
        <f t="shared" si="1"/>
        <v>25</v>
      </c>
    </row>
    <row r="36" spans="1:21" ht="18.75">
      <c r="A36" s="297">
        <f t="shared" si="0"/>
        <v>26</v>
      </c>
      <c r="B36" s="1235">
        <v>922</v>
      </c>
      <c r="C36" s="310" t="s">
        <v>1030</v>
      </c>
      <c r="D36"/>
      <c r="E36" s="1259">
        <v>14790</v>
      </c>
      <c r="F36" s="297"/>
      <c r="G36" s="316"/>
      <c r="H36" s="297">
        <f t="shared" si="1"/>
        <v>26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ht="18.75">
      <c r="A37" s="297">
        <f t="shared" si="0"/>
        <v>27</v>
      </c>
      <c r="B37" s="1235">
        <v>923</v>
      </c>
      <c r="C37" s="310" t="s">
        <v>1031</v>
      </c>
      <c r="D37" s="1259">
        <v>-15532</v>
      </c>
      <c r="E37" s="1259"/>
      <c r="F37" s="297"/>
      <c r="G37" s="316"/>
      <c r="H37" s="297">
        <f t="shared" si="1"/>
        <v>27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 s="297">
        <f t="shared" si="0"/>
        <v>28</v>
      </c>
      <c r="B38" s="1235"/>
      <c r="C38" s="310" t="s">
        <v>919</v>
      </c>
      <c r="D38" s="1258">
        <v>4.5621499999999999</v>
      </c>
      <c r="E38" s="1259">
        <f>SUM(D37:D38)</f>
        <v>-15527.43785</v>
      </c>
      <c r="F38" s="297"/>
      <c r="G38" s="316"/>
      <c r="H38" s="297">
        <f t="shared" si="1"/>
        <v>28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 s="297">
        <f t="shared" si="0"/>
        <v>29</v>
      </c>
      <c r="B39" s="1235">
        <v>925</v>
      </c>
      <c r="C39" s="310" t="s">
        <v>924</v>
      </c>
      <c r="D39" s="1236">
        <v>290.51205787599997</v>
      </c>
      <c r="E39" s="297"/>
      <c r="F39" s="297"/>
      <c r="G39" s="316"/>
      <c r="H39" s="297">
        <f t="shared" si="1"/>
        <v>29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>
      <c r="A40" s="297">
        <f t="shared" si="0"/>
        <v>30</v>
      </c>
      <c r="B40" s="1235"/>
      <c r="C40" s="310" t="s">
        <v>919</v>
      </c>
      <c r="D40" s="1258">
        <v>25.573319999999999</v>
      </c>
      <c r="E40" s="1236">
        <f>SUM(D39:D40)</f>
        <v>316.085377876</v>
      </c>
      <c r="F40" s="297"/>
      <c r="G40" s="316"/>
      <c r="H40" s="297">
        <f t="shared" si="1"/>
        <v>30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>
      <c r="A41" s="297">
        <f t="shared" si="0"/>
        <v>31</v>
      </c>
      <c r="B41" s="1235">
        <v>926</v>
      </c>
      <c r="C41" s="917" t="s">
        <v>924</v>
      </c>
      <c r="D41"/>
      <c r="E41" s="1259">
        <v>-213.36890760999992</v>
      </c>
      <c r="F41" s="297"/>
      <c r="G41" s="316"/>
      <c r="H41" s="297">
        <f t="shared" si="1"/>
        <v>31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>
      <c r="A42" s="297">
        <f t="shared" si="0"/>
        <v>32</v>
      </c>
      <c r="B42" s="1238">
        <v>927</v>
      </c>
      <c r="C42" s="917" t="s">
        <v>541</v>
      </c>
      <c r="D42" s="1236"/>
      <c r="E42" s="1259">
        <v>136000.65109999999</v>
      </c>
      <c r="F42" s="297"/>
      <c r="G42" s="316"/>
      <c r="H42" s="297">
        <f t="shared" si="1"/>
        <v>32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>
      <c r="A43" s="297">
        <f t="shared" si="0"/>
        <v>33</v>
      </c>
      <c r="B43" s="1235">
        <v>928</v>
      </c>
      <c r="C43" s="310" t="s">
        <v>925</v>
      </c>
      <c r="D43" s="1236">
        <v>22865.18</v>
      </c>
      <c r="E43" s="297"/>
      <c r="F43" s="297"/>
      <c r="G43" s="316"/>
      <c r="H43" s="297">
        <f t="shared" si="1"/>
        <v>33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>
      <c r="A44" s="297">
        <f t="shared" si="0"/>
        <v>34</v>
      </c>
      <c r="B44" s="1235"/>
      <c r="C44" s="310" t="s">
        <v>916</v>
      </c>
      <c r="D44" s="1236">
        <v>0.96526000000000001</v>
      </c>
      <c r="E44" s="297"/>
      <c r="F44" s="297"/>
      <c r="G44" s="316"/>
      <c r="H44" s="297">
        <f t="shared" si="1"/>
        <v>34</v>
      </c>
      <c r="J44"/>
      <c r="K44"/>
      <c r="L44"/>
      <c r="M44"/>
      <c r="N44"/>
      <c r="O44"/>
      <c r="P44"/>
      <c r="Q44"/>
      <c r="R44"/>
      <c r="S44"/>
      <c r="T44"/>
      <c r="U44"/>
    </row>
    <row r="45" spans="1:21">
      <c r="A45" s="297">
        <f t="shared" si="0"/>
        <v>35</v>
      </c>
      <c r="B45" s="1235"/>
      <c r="C45" s="310" t="s">
        <v>924</v>
      </c>
      <c r="D45" s="1236">
        <v>725.9323099999998</v>
      </c>
      <c r="E45" s="297"/>
      <c r="F45" s="297"/>
      <c r="G45" s="316"/>
      <c r="H45" s="297">
        <f t="shared" si="1"/>
        <v>35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>
      <c r="A46" s="297">
        <f t="shared" si="0"/>
        <v>36</v>
      </c>
      <c r="B46" s="1235"/>
      <c r="C46" s="916" t="s">
        <v>551</v>
      </c>
      <c r="D46" s="1261">
        <v>0</v>
      </c>
      <c r="E46" s="297"/>
      <c r="F46" s="297"/>
      <c r="G46" s="316"/>
      <c r="H46" s="297">
        <f t="shared" si="1"/>
        <v>36</v>
      </c>
      <c r="J46"/>
      <c r="K46"/>
      <c r="L46"/>
      <c r="M46"/>
      <c r="N46"/>
      <c r="O46"/>
      <c r="P46"/>
      <c r="Q46"/>
      <c r="R46"/>
      <c r="S46"/>
      <c r="T46"/>
      <c r="U46"/>
    </row>
    <row r="47" spans="1:21">
      <c r="A47" s="297">
        <f t="shared" si="0"/>
        <v>37</v>
      </c>
      <c r="B47" s="1235"/>
      <c r="C47" s="916" t="s">
        <v>552</v>
      </c>
      <c r="D47" s="1258">
        <v>1805.1186499999999</v>
      </c>
      <c r="E47" s="1236">
        <f>SUM(D43:D47)</f>
        <v>25397.196220000002</v>
      </c>
      <c r="F47" s="297"/>
      <c r="G47" s="316"/>
      <c r="H47" s="297">
        <f t="shared" si="1"/>
        <v>37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>
      <c r="A48" s="297">
        <f t="shared" si="0"/>
        <v>38</v>
      </c>
      <c r="B48" s="1239">
        <v>930.1</v>
      </c>
      <c r="C48" s="916" t="s">
        <v>544</v>
      </c>
      <c r="D48" s="1236"/>
      <c r="E48" s="1259">
        <v>7.6341200000000002</v>
      </c>
      <c r="F48" s="297"/>
      <c r="G48" s="316"/>
      <c r="H48" s="297">
        <f t="shared" si="1"/>
        <v>38</v>
      </c>
      <c r="J48"/>
      <c r="K48"/>
      <c r="L48"/>
      <c r="M48"/>
      <c r="N48"/>
      <c r="O48"/>
      <c r="P48"/>
      <c r="Q48"/>
      <c r="R48"/>
      <c r="S48"/>
      <c r="T48"/>
      <c r="U48"/>
    </row>
    <row r="49" spans="1:21">
      <c r="A49" s="297">
        <f t="shared" si="0"/>
        <v>39</v>
      </c>
      <c r="B49" s="918">
        <v>930.2</v>
      </c>
      <c r="C49" s="917" t="s">
        <v>553</v>
      </c>
      <c r="D49" s="1259">
        <v>401.94600000000003</v>
      </c>
      <c r="F49" s="297"/>
      <c r="G49" s="316"/>
      <c r="H49" s="297">
        <f t="shared" si="1"/>
        <v>39</v>
      </c>
      <c r="J49"/>
      <c r="K49"/>
      <c r="L49"/>
      <c r="M49"/>
      <c r="N49"/>
      <c r="O49"/>
      <c r="P49"/>
      <c r="Q49"/>
      <c r="R49"/>
      <c r="S49"/>
      <c r="T49"/>
      <c r="U49"/>
    </row>
    <row r="50" spans="1:21">
      <c r="A50" s="297">
        <f t="shared" si="0"/>
        <v>40</v>
      </c>
      <c r="B50" s="918"/>
      <c r="C50" s="310" t="s">
        <v>919</v>
      </c>
      <c r="D50" s="1260">
        <v>105.37318999999999</v>
      </c>
      <c r="E50" s="1237">
        <f>SUM(D49:D50)</f>
        <v>507.31919000000005</v>
      </c>
      <c r="F50" s="297"/>
      <c r="G50" s="316"/>
      <c r="H50" s="297">
        <f t="shared" si="1"/>
        <v>40</v>
      </c>
      <c r="J50"/>
      <c r="K50"/>
      <c r="L50"/>
      <c r="M50"/>
      <c r="N50"/>
      <c r="O50"/>
      <c r="P50"/>
      <c r="Q50"/>
      <c r="R50"/>
      <c r="S50"/>
      <c r="T50"/>
      <c r="U50"/>
    </row>
    <row r="51" spans="1:21">
      <c r="A51" s="297">
        <f t="shared" si="0"/>
        <v>41</v>
      </c>
      <c r="B51" s="1235">
        <v>935</v>
      </c>
      <c r="C51" s="310" t="s">
        <v>554</v>
      </c>
      <c r="D51" s="1236"/>
      <c r="E51" s="1260">
        <v>0</v>
      </c>
      <c r="F51" s="297"/>
      <c r="G51" s="316"/>
      <c r="H51" s="297">
        <f t="shared" si="1"/>
        <v>41</v>
      </c>
    </row>
    <row r="52" spans="1:21">
      <c r="A52" s="297">
        <f t="shared" si="0"/>
        <v>42</v>
      </c>
      <c r="B52" s="1235"/>
      <c r="C52" s="919"/>
      <c r="D52" s="1240"/>
      <c r="E52" s="469"/>
      <c r="F52" s="297"/>
      <c r="G52" s="316"/>
      <c r="H52" s="297">
        <f t="shared" si="1"/>
        <v>42</v>
      </c>
    </row>
    <row r="53" spans="1:21" ht="16.5" thickBot="1">
      <c r="A53" s="297">
        <f t="shared" si="0"/>
        <v>43</v>
      </c>
      <c r="B53" s="323"/>
      <c r="C53" s="920" t="s">
        <v>527</v>
      </c>
      <c r="D53" s="921"/>
      <c r="E53" s="1241">
        <f>SUM(E34:E51)</f>
        <v>162123.281960266</v>
      </c>
      <c r="F53" s="297"/>
      <c r="G53" s="316"/>
      <c r="H53" s="297">
        <f t="shared" si="1"/>
        <v>43</v>
      </c>
    </row>
    <row r="54" spans="1:21" ht="16.5" thickTop="1">
      <c r="A54" s="297">
        <f t="shared" si="0"/>
        <v>44</v>
      </c>
      <c r="B54" s="915"/>
      <c r="C54" s="917"/>
      <c r="D54" s="8"/>
      <c r="E54" s="8"/>
      <c r="G54" s="316"/>
      <c r="H54" s="297">
        <f t="shared" si="1"/>
        <v>44</v>
      </c>
    </row>
    <row r="55" spans="1:21">
      <c r="A55" s="297">
        <f t="shared" si="0"/>
        <v>45</v>
      </c>
      <c r="B55" s="323"/>
      <c r="C55" s="920"/>
      <c r="D55" s="921"/>
      <c r="E55" s="328"/>
      <c r="F55" s="240"/>
      <c r="G55" s="316"/>
      <c r="H55" s="297">
        <f t="shared" si="1"/>
        <v>45</v>
      </c>
    </row>
    <row r="56" spans="1:21" ht="18.75">
      <c r="A56" s="297">
        <f t="shared" si="0"/>
        <v>46</v>
      </c>
      <c r="B56" s="287">
        <v>1</v>
      </c>
      <c r="C56" s="61" t="str">
        <f>"This amount represents the Non-Direct A&amp;G expenses billed to Citizens in "&amp;Automation!B3&amp;", which is added back to derive Total Adjusted A&amp;G Expenses in SAP"</f>
        <v>This amount represents the Non-Direct A&amp;G expenses billed to Citizens in 2022, which is added back to derive Total Adjusted A&amp;G Expenses in SAP</v>
      </c>
      <c r="E56" s="328"/>
      <c r="F56" s="240"/>
      <c r="G56" s="316"/>
      <c r="H56" s="297">
        <f t="shared" si="1"/>
        <v>46</v>
      </c>
    </row>
    <row r="57" spans="1:21" ht="18.75">
      <c r="A57" s="297">
        <f t="shared" si="0"/>
        <v>47</v>
      </c>
      <c r="B57" s="813"/>
      <c r="C57" s="3" t="s">
        <v>555</v>
      </c>
      <c r="E57" s="328"/>
      <c r="F57" s="240"/>
      <c r="G57" s="316"/>
      <c r="H57" s="297">
        <f t="shared" si="1"/>
        <v>47</v>
      </c>
    </row>
    <row r="58" spans="1:21" ht="18.75">
      <c r="A58" s="297">
        <f t="shared" si="0"/>
        <v>48</v>
      </c>
      <c r="B58" s="1243">
        <v>2</v>
      </c>
      <c r="C58" s="219" t="s">
        <v>1032</v>
      </c>
      <c r="E58" s="418"/>
      <c r="F58" s="240"/>
      <c r="G58" s="316"/>
      <c r="H58" s="297">
        <f t="shared" si="1"/>
        <v>48</v>
      </c>
    </row>
    <row r="59" spans="1:21" ht="18.75">
      <c r="A59" s="297">
        <f t="shared" si="0"/>
        <v>49</v>
      </c>
      <c r="B59" s="1243"/>
      <c r="C59" s="219" t="s">
        <v>1033</v>
      </c>
      <c r="E59" s="418"/>
      <c r="F59" s="240"/>
      <c r="G59" s="316"/>
      <c r="H59" s="297">
        <f t="shared" si="1"/>
        <v>49</v>
      </c>
    </row>
    <row r="60" spans="1:21" ht="18.75">
      <c r="A60" s="297">
        <f t="shared" si="0"/>
        <v>50</v>
      </c>
      <c r="B60" s="1243"/>
      <c r="C60" s="219" t="s">
        <v>1034</v>
      </c>
      <c r="E60" s="418"/>
      <c r="F60" s="240"/>
      <c r="G60" s="316"/>
      <c r="H60" s="297">
        <f t="shared" si="1"/>
        <v>50</v>
      </c>
    </row>
    <row r="61" spans="1:21" ht="18.75">
      <c r="A61" s="297">
        <f t="shared" si="0"/>
        <v>51</v>
      </c>
      <c r="B61" s="1243">
        <v>3</v>
      </c>
      <c r="C61" s="219" t="s">
        <v>1035</v>
      </c>
      <c r="E61" s="418"/>
      <c r="F61" s="240"/>
      <c r="G61" s="316"/>
      <c r="H61" s="297">
        <f t="shared" si="1"/>
        <v>51</v>
      </c>
    </row>
    <row r="62" spans="1:21" ht="18.75">
      <c r="A62" s="297">
        <f t="shared" si="0"/>
        <v>52</v>
      </c>
      <c r="B62" s="1243"/>
      <c r="C62" s="219" t="s">
        <v>1036</v>
      </c>
      <c r="E62" s="418"/>
      <c r="F62" s="240"/>
      <c r="G62" s="316"/>
      <c r="H62" s="297">
        <f t="shared" si="1"/>
        <v>52</v>
      </c>
    </row>
    <row r="63" spans="1:21" ht="18.75">
      <c r="A63" s="297">
        <f t="shared" si="0"/>
        <v>53</v>
      </c>
      <c r="B63" s="1243"/>
      <c r="C63" s="219" t="s">
        <v>1037</v>
      </c>
      <c r="E63" s="418"/>
      <c r="F63" s="240"/>
      <c r="G63" s="316"/>
      <c r="H63" s="297">
        <f t="shared" si="1"/>
        <v>53</v>
      </c>
    </row>
    <row r="64" spans="1:21" ht="18.75">
      <c r="A64" s="297">
        <f t="shared" si="0"/>
        <v>54</v>
      </c>
      <c r="B64" s="1243">
        <v>4</v>
      </c>
      <c r="C64" s="219" t="s">
        <v>1038</v>
      </c>
      <c r="E64" s="418"/>
      <c r="F64" s="240"/>
      <c r="G64" s="316"/>
      <c r="H64" s="297">
        <f t="shared" si="1"/>
        <v>54</v>
      </c>
    </row>
    <row r="65" spans="1:8" ht="18.75">
      <c r="A65" s="297">
        <f t="shared" si="0"/>
        <v>55</v>
      </c>
      <c r="B65" s="1243"/>
      <c r="C65" s="219" t="s">
        <v>1039</v>
      </c>
      <c r="E65" s="418"/>
      <c r="F65" s="240"/>
      <c r="G65" s="316"/>
      <c r="H65" s="297">
        <f t="shared" si="1"/>
        <v>55</v>
      </c>
    </row>
    <row r="66" spans="1:8" ht="18.75">
      <c r="A66" s="297">
        <f t="shared" si="0"/>
        <v>56</v>
      </c>
      <c r="B66" s="1243"/>
      <c r="C66" s="219" t="s">
        <v>1040</v>
      </c>
      <c r="E66" s="418"/>
      <c r="F66" s="240"/>
      <c r="G66" s="316"/>
      <c r="H66" s="297">
        <f t="shared" si="1"/>
        <v>56</v>
      </c>
    </row>
    <row r="67" spans="1:8" ht="16.5" thickBot="1">
      <c r="A67" s="297">
        <f t="shared" si="0"/>
        <v>57</v>
      </c>
      <c r="B67" s="329"/>
      <c r="C67" s="330"/>
      <c r="D67" s="290"/>
      <c r="E67" s="290"/>
      <c r="F67" s="290"/>
      <c r="G67" s="322"/>
      <c r="H67" s="297">
        <f t="shared" si="1"/>
        <v>57</v>
      </c>
    </row>
    <row r="68" spans="1:8">
      <c r="C68" s="310"/>
    </row>
    <row r="69" spans="1:8">
      <c r="A69" s="291"/>
      <c r="C69" s="310"/>
      <c r="D69" s="331"/>
      <c r="E69" s="331"/>
    </row>
    <row r="70" spans="1:8" ht="18.75">
      <c r="A70" s="332"/>
      <c r="B70" s="135"/>
      <c r="C70" s="3"/>
      <c r="D70" s="63"/>
      <c r="E70" s="63"/>
      <c r="F70" s="63"/>
    </row>
    <row r="71" spans="1:8" ht="18.75">
      <c r="A71" s="332"/>
      <c r="B71" s="135"/>
      <c r="C71" s="16"/>
      <c r="D71" s="63"/>
      <c r="E71" s="63"/>
      <c r="F71" s="63"/>
    </row>
    <row r="72" spans="1:8" ht="18.75">
      <c r="A72" s="332"/>
      <c r="B72" s="250"/>
      <c r="C72" s="3"/>
      <c r="D72" s="3"/>
      <c r="E72" s="3"/>
      <c r="F72" s="3"/>
    </row>
    <row r="73" spans="1:8" ht="18.75">
      <c r="A73" s="332"/>
      <c r="C73" s="310"/>
    </row>
    <row r="74" spans="1:8" ht="18.75">
      <c r="A74" s="332"/>
      <c r="C74" s="310"/>
    </row>
    <row r="75" spans="1:8" ht="18.75">
      <c r="A75" s="332"/>
      <c r="C75" s="310"/>
    </row>
    <row r="76" spans="1:8">
      <c r="A76" s="291"/>
      <c r="C76" s="310"/>
    </row>
    <row r="77" spans="1:8" ht="18.75">
      <c r="A77" s="332"/>
      <c r="C77" s="310"/>
    </row>
    <row r="78" spans="1:8">
      <c r="A78" s="291"/>
      <c r="C78" s="310"/>
    </row>
    <row r="79" spans="1:8" ht="18.75">
      <c r="A79" s="332"/>
      <c r="C79" s="310"/>
    </row>
    <row r="80" spans="1:8">
      <c r="A80" s="291"/>
      <c r="C80" s="310"/>
    </row>
    <row r="81" spans="1:3" ht="18.75">
      <c r="A81" s="332"/>
      <c r="C81" s="310"/>
    </row>
    <row r="82" spans="1:3" ht="18.75">
      <c r="A82" s="332"/>
      <c r="B82" s="310"/>
    </row>
    <row r="83" spans="1:3" ht="18.75">
      <c r="A83" s="332"/>
      <c r="B83" s="310"/>
    </row>
    <row r="84" spans="1:3">
      <c r="B84" s="310"/>
    </row>
    <row r="85" spans="1:3" ht="18.75">
      <c r="A85" s="332"/>
      <c r="B85" s="310"/>
    </row>
    <row r="86" spans="1:3">
      <c r="A86" s="333"/>
      <c r="B86" s="334"/>
    </row>
    <row r="87" spans="1:3">
      <c r="B87" s="310"/>
    </row>
  </sheetData>
  <mergeCells count="4">
    <mergeCell ref="B2:G2"/>
    <mergeCell ref="B3:G3"/>
    <mergeCell ref="B4:G4"/>
    <mergeCell ref="B5:G5"/>
  </mergeCells>
  <printOptions horizontalCentered="1"/>
  <pageMargins left="0" right="0" top="0.25" bottom="0.5" header="0" footer="0.25"/>
  <pageSetup scale="62" orientation="portrait" r:id="rId1"/>
  <headerFooter scaleWithDoc="0">
    <oddFooter>&amp;C&amp;"Times New Roman,Regular"&amp;10&amp;A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M37"/>
  <sheetViews>
    <sheetView zoomScale="80" zoomScaleNormal="80" zoomScalePageLayoutView="80" workbookViewId="0"/>
  </sheetViews>
  <sheetFormatPr defaultColWidth="8.7109375" defaultRowHeight="15.75"/>
  <cols>
    <col min="1" max="1" width="5.140625" style="250" customWidth="1"/>
    <col min="2" max="2" width="64.7109375" style="219" customWidth="1"/>
    <col min="3" max="3" width="21.14062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34.5703125" style="219" customWidth="1"/>
    <col min="8" max="8" width="5.140625" style="219" customWidth="1"/>
    <col min="9" max="9" width="8.7109375" style="219"/>
    <col min="10" max="10" width="20.28515625" style="219" bestFit="1" customWidth="1"/>
    <col min="11" max="16384" width="8.7109375" style="219"/>
  </cols>
  <sheetData>
    <row r="1" spans="1:13">
      <c r="A1" s="556"/>
      <c r="E1" s="401"/>
      <c r="F1" s="400"/>
      <c r="G1" s="250"/>
      <c r="H1" s="250"/>
    </row>
    <row r="2" spans="1:13">
      <c r="B2" s="1299" t="s">
        <v>0</v>
      </c>
      <c r="C2" s="1299"/>
      <c r="D2" s="1299"/>
      <c r="E2" s="1299"/>
      <c r="F2" s="1299"/>
      <c r="G2" s="1299"/>
      <c r="H2" s="250"/>
    </row>
    <row r="3" spans="1:13">
      <c r="B3" s="1299" t="s">
        <v>556</v>
      </c>
      <c r="C3" s="1299"/>
      <c r="D3" s="1299"/>
      <c r="E3" s="1299"/>
      <c r="F3" s="1299"/>
      <c r="G3" s="1299"/>
      <c r="H3" s="250"/>
    </row>
    <row r="4" spans="1:13">
      <c r="B4" s="1299" t="s">
        <v>557</v>
      </c>
      <c r="C4" s="1299"/>
      <c r="D4" s="1299"/>
      <c r="E4" s="1299"/>
      <c r="F4" s="1299"/>
      <c r="G4" s="1299"/>
      <c r="H4" s="250"/>
    </row>
    <row r="5" spans="1:13">
      <c r="B5" s="1301" t="str">
        <f>'A. Sec.1 - Direct Maintenance'!B5</f>
        <v>Base Period &amp; True-Up Period 12 - Months Ending December 31, 2022</v>
      </c>
      <c r="C5" s="1301"/>
      <c r="D5" s="1301"/>
      <c r="E5" s="1301"/>
      <c r="F5" s="1301"/>
      <c r="G5" s="1301"/>
      <c r="H5" s="250"/>
    </row>
    <row r="6" spans="1:13">
      <c r="B6" s="1309" t="s">
        <v>3</v>
      </c>
      <c r="C6" s="1306"/>
      <c r="D6" s="1306"/>
      <c r="E6" s="1306"/>
      <c r="F6" s="1306"/>
      <c r="G6" s="1306"/>
      <c r="H6" s="250"/>
    </row>
    <row r="7" spans="1:13">
      <c r="B7" s="250"/>
      <c r="C7" s="250"/>
      <c r="D7" s="250"/>
      <c r="E7" s="250"/>
      <c r="F7" s="556"/>
      <c r="G7" s="250"/>
      <c r="H7" s="250"/>
      <c r="J7"/>
      <c r="K7"/>
      <c r="L7"/>
      <c r="M7"/>
    </row>
    <row r="8" spans="1:13">
      <c r="A8" s="250" t="s">
        <v>4</v>
      </c>
      <c r="B8" s="556"/>
      <c r="C8" s="250" t="s">
        <v>189</v>
      </c>
      <c r="D8" s="556"/>
      <c r="E8" s="556"/>
      <c r="F8" s="556"/>
      <c r="G8" s="250"/>
      <c r="H8" s="250" t="s">
        <v>4</v>
      </c>
      <c r="J8"/>
      <c r="K8"/>
      <c r="L8"/>
      <c r="M8"/>
    </row>
    <row r="9" spans="1:13">
      <c r="A9" s="250" t="s">
        <v>5</v>
      </c>
      <c r="C9" s="1003" t="s">
        <v>191</v>
      </c>
      <c r="E9" s="1004" t="s">
        <v>7</v>
      </c>
      <c r="F9" s="250"/>
      <c r="G9" s="1003" t="s">
        <v>8</v>
      </c>
      <c r="H9" s="250" t="s">
        <v>5</v>
      </c>
      <c r="J9"/>
      <c r="K9"/>
      <c r="L9"/>
      <c r="M9"/>
    </row>
    <row r="10" spans="1:13">
      <c r="F10" s="250"/>
      <c r="G10" s="1005"/>
      <c r="H10" s="250"/>
      <c r="J10"/>
      <c r="K10"/>
      <c r="L10"/>
      <c r="M10"/>
    </row>
    <row r="11" spans="1:13">
      <c r="A11" s="250">
        <v>1</v>
      </c>
      <c r="B11" s="3" t="s">
        <v>558</v>
      </c>
      <c r="C11" s="5" t="s">
        <v>975</v>
      </c>
      <c r="E11" s="399">
        <v>13409.227999999999</v>
      </c>
      <c r="F11" s="400"/>
      <c r="G11" s="5"/>
      <c r="H11" s="250">
        <f>A11</f>
        <v>1</v>
      </c>
      <c r="J11"/>
      <c r="K11"/>
      <c r="L11"/>
      <c r="M11"/>
    </row>
    <row r="12" spans="1:13">
      <c r="A12" s="250">
        <f>+A11+1</f>
        <v>2</v>
      </c>
      <c r="B12" s="3"/>
      <c r="C12" s="398"/>
      <c r="E12" s="401"/>
      <c r="F12" s="400"/>
      <c r="G12" s="5"/>
      <c r="H12" s="250">
        <f>+H11+1</f>
        <v>2</v>
      </c>
      <c r="J12"/>
      <c r="K12"/>
      <c r="L12"/>
      <c r="M12"/>
    </row>
    <row r="13" spans="1:13" ht="18.75">
      <c r="A13" s="250">
        <f t="shared" ref="A13:A27" si="0">+A12+1</f>
        <v>3</v>
      </c>
      <c r="B13" s="3" t="s">
        <v>559</v>
      </c>
      <c r="C13" s="398"/>
      <c r="E13" s="402">
        <f>'AI-1'!E59</f>
        <v>15729.42374</v>
      </c>
      <c r="F13" s="400"/>
      <c r="G13" s="5" t="str">
        <f>"AI-1; Line "&amp;'AI-1'!A59</f>
        <v>AI-1; Line 50</v>
      </c>
      <c r="H13" s="250">
        <f t="shared" ref="H13:H27" si="1">+H12+1</f>
        <v>3</v>
      </c>
      <c r="J13"/>
      <c r="K13"/>
      <c r="L13"/>
      <c r="M13"/>
    </row>
    <row r="14" spans="1:13">
      <c r="A14" s="250">
        <f t="shared" si="0"/>
        <v>4</v>
      </c>
      <c r="B14" s="3"/>
      <c r="C14" s="398"/>
      <c r="E14" s="403"/>
      <c r="F14" s="400"/>
      <c r="G14" s="5"/>
      <c r="H14" s="250">
        <f t="shared" si="1"/>
        <v>4</v>
      </c>
      <c r="J14"/>
      <c r="K14"/>
      <c r="L14"/>
      <c r="M14"/>
    </row>
    <row r="15" spans="1:13" ht="18.75">
      <c r="A15" s="250">
        <f t="shared" si="0"/>
        <v>5</v>
      </c>
      <c r="B15" s="3" t="s">
        <v>560</v>
      </c>
      <c r="C15" s="398"/>
      <c r="E15" s="402">
        <f>'AI-1'!E57</f>
        <v>14774.588539999999</v>
      </c>
      <c r="F15" s="400"/>
      <c r="G15" s="5" t="str">
        <f>"AI-1; Line "&amp;'AI-1'!A57</f>
        <v>AI-1; Line 48</v>
      </c>
      <c r="H15" s="250">
        <f t="shared" si="1"/>
        <v>5</v>
      </c>
      <c r="J15"/>
      <c r="K15"/>
      <c r="L15"/>
      <c r="M15"/>
    </row>
    <row r="16" spans="1:13">
      <c r="A16" s="250">
        <f t="shared" si="0"/>
        <v>6</v>
      </c>
      <c r="B16" s="3"/>
      <c r="C16" s="398"/>
      <c r="E16" s="403"/>
      <c r="F16" s="400"/>
      <c r="G16" s="5"/>
      <c r="H16" s="250">
        <f t="shared" si="1"/>
        <v>6</v>
      </c>
      <c r="K16" s="398"/>
    </row>
    <row r="17" spans="1:11">
      <c r="A17" s="250">
        <f t="shared" si="0"/>
        <v>7</v>
      </c>
      <c r="B17" s="3" t="s">
        <v>561</v>
      </c>
      <c r="C17" s="5" t="s">
        <v>976</v>
      </c>
      <c r="E17" s="402">
        <v>74338.203999999998</v>
      </c>
      <c r="F17" s="400"/>
      <c r="G17" s="5"/>
      <c r="H17" s="250">
        <f t="shared" si="1"/>
        <v>7</v>
      </c>
      <c r="K17" s="398"/>
    </row>
    <row r="18" spans="1:11">
      <c r="A18" s="250">
        <f t="shared" si="0"/>
        <v>8</v>
      </c>
      <c r="B18" s="3"/>
      <c r="C18" s="5"/>
      <c r="E18" s="403"/>
      <c r="F18" s="400"/>
      <c r="G18" s="5"/>
      <c r="H18" s="250">
        <f t="shared" si="1"/>
        <v>8</v>
      </c>
      <c r="K18" s="398"/>
    </row>
    <row r="19" spans="1:11">
      <c r="A19" s="250">
        <f t="shared" si="0"/>
        <v>9</v>
      </c>
      <c r="B19" s="3" t="s">
        <v>562</v>
      </c>
      <c r="C19" s="5" t="s">
        <v>977</v>
      </c>
      <c r="E19" s="402">
        <v>18524.105</v>
      </c>
      <c r="F19" s="400"/>
      <c r="G19" s="5"/>
      <c r="H19" s="250">
        <f t="shared" si="1"/>
        <v>9</v>
      </c>
      <c r="K19" s="398"/>
    </row>
    <row r="20" spans="1:11">
      <c r="A20" s="250">
        <f t="shared" si="0"/>
        <v>10</v>
      </c>
      <c r="B20" s="3"/>
      <c r="C20" s="5"/>
      <c r="E20" s="404"/>
      <c r="F20" s="400"/>
      <c r="G20" s="5"/>
      <c r="H20" s="250">
        <f t="shared" si="1"/>
        <v>10</v>
      </c>
      <c r="K20" s="398"/>
    </row>
    <row r="21" spans="1:11">
      <c r="A21" s="250">
        <f t="shared" si="0"/>
        <v>11</v>
      </c>
      <c r="B21" s="3" t="s">
        <v>563</v>
      </c>
      <c r="C21" s="5" t="s">
        <v>978</v>
      </c>
      <c r="E21" s="350">
        <v>17194.041000000001</v>
      </c>
      <c r="F21" s="400"/>
      <c r="G21" s="5"/>
      <c r="H21" s="250">
        <f t="shared" si="1"/>
        <v>11</v>
      </c>
      <c r="K21" s="398"/>
    </row>
    <row r="22" spans="1:11">
      <c r="A22" s="250">
        <f t="shared" si="0"/>
        <v>12</v>
      </c>
      <c r="B22" s="3"/>
      <c r="C22" s="5"/>
      <c r="E22" s="401"/>
      <c r="F22" s="400"/>
      <c r="G22" s="5"/>
      <c r="H22" s="250">
        <f t="shared" si="1"/>
        <v>12</v>
      </c>
    </row>
    <row r="23" spans="1:11">
      <c r="A23" s="250">
        <f t="shared" si="0"/>
        <v>13</v>
      </c>
      <c r="B23" s="3" t="s">
        <v>564</v>
      </c>
      <c r="C23" s="5" t="s">
        <v>979</v>
      </c>
      <c r="E23" s="1006">
        <v>0</v>
      </c>
      <c r="F23" s="400"/>
      <c r="G23" s="5"/>
      <c r="H23" s="250">
        <f t="shared" si="1"/>
        <v>13</v>
      </c>
    </row>
    <row r="24" spans="1:11">
      <c r="A24" s="250">
        <f t="shared" si="0"/>
        <v>14</v>
      </c>
      <c r="B24" s="3"/>
      <c r="E24" s="405"/>
      <c r="F24" s="400"/>
      <c r="G24" s="5"/>
      <c r="H24" s="250">
        <f t="shared" si="1"/>
        <v>14</v>
      </c>
    </row>
    <row r="25" spans="1:11" ht="16.5" thickBot="1">
      <c r="A25" s="250">
        <f t="shared" si="0"/>
        <v>15</v>
      </c>
      <c r="B25" s="3" t="s">
        <v>565</v>
      </c>
      <c r="E25" s="1171">
        <f>SUM(E11:E23)</f>
        <v>153969.59028</v>
      </c>
      <c r="F25" s="400"/>
      <c r="G25" s="66" t="str">
        <f>"Sum Lines "&amp;A11&amp;" thru "&amp;A23</f>
        <v>Sum Lines 1 thru 13</v>
      </c>
      <c r="H25" s="250">
        <f t="shared" si="1"/>
        <v>15</v>
      </c>
      <c r="J25" s="913"/>
    </row>
    <row r="26" spans="1:11" ht="16.5" thickTop="1">
      <c r="A26" s="250">
        <f t="shared" si="0"/>
        <v>16</v>
      </c>
      <c r="B26" s="3"/>
      <c r="E26" s="405"/>
      <c r="F26" s="400"/>
      <c r="G26" s="66"/>
      <c r="H26" s="250">
        <f t="shared" si="1"/>
        <v>16</v>
      </c>
    </row>
    <row r="27" spans="1:11" ht="16.5" thickBot="1">
      <c r="A27" s="250">
        <f t="shared" si="0"/>
        <v>17</v>
      </c>
      <c r="B27" s="219" t="s">
        <v>198</v>
      </c>
      <c r="E27" s="1172">
        <f>E13/E25</f>
        <v>0.10215928815161097</v>
      </c>
      <c r="F27" s="407"/>
      <c r="G27" s="4" t="str">
        <f>"Line "&amp;A13&amp;" / Line "&amp;A25</f>
        <v>Line 3 / Line 15</v>
      </c>
      <c r="H27" s="250">
        <f t="shared" si="1"/>
        <v>17</v>
      </c>
    </row>
    <row r="28" spans="1:11" ht="16.5" thickTop="1">
      <c r="E28" s="408"/>
      <c r="F28" s="407"/>
      <c r="G28" s="250"/>
      <c r="H28" s="250"/>
    </row>
    <row r="29" spans="1:11">
      <c r="E29" s="408"/>
      <c r="F29" s="407"/>
      <c r="G29" s="406"/>
      <c r="H29" s="250"/>
    </row>
    <row r="30" spans="1:11" ht="18.75">
      <c r="A30" s="409">
        <v>1</v>
      </c>
      <c r="B30" s="3" t="s">
        <v>566</v>
      </c>
      <c r="E30" s="408"/>
      <c r="F30" s="407"/>
      <c r="G30" s="250"/>
      <c r="H30" s="250"/>
    </row>
    <row r="31" spans="1:11" ht="18.75">
      <c r="A31" s="409">
        <v>2</v>
      </c>
      <c r="B31" s="3" t="s">
        <v>567</v>
      </c>
    </row>
    <row r="32" spans="1:11" ht="18.75">
      <c r="A32" s="67"/>
      <c r="B32" s="3"/>
    </row>
    <row r="33" spans="1:2">
      <c r="A33" s="4"/>
      <c r="B33" s="3"/>
    </row>
    <row r="34" spans="1:2">
      <c r="B34" s="3"/>
    </row>
    <row r="35" spans="1:2">
      <c r="B35" s="3"/>
    </row>
    <row r="36" spans="1:2">
      <c r="B36" s="3"/>
    </row>
    <row r="37" spans="1:2">
      <c r="B37" s="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M66"/>
  <sheetViews>
    <sheetView topLeftCell="A30" zoomScale="80" zoomScaleNormal="80" workbookViewId="0"/>
  </sheetViews>
  <sheetFormatPr defaultColWidth="8.7109375" defaultRowHeight="15.75"/>
  <cols>
    <col min="1" max="1" width="5.140625" style="104" bestFit="1" customWidth="1"/>
    <col min="2" max="2" width="11.140625" style="13" customWidth="1"/>
    <col min="3" max="3" width="69.28515625" style="13" customWidth="1"/>
    <col min="4" max="5" width="18.5703125" style="13" customWidth="1"/>
    <col min="6" max="6" width="5.140625" style="104" bestFit="1" customWidth="1"/>
    <col min="7" max="16384" width="8.7109375" style="13"/>
  </cols>
  <sheetData>
    <row r="2" spans="1:13">
      <c r="B2" s="1305" t="s">
        <v>0</v>
      </c>
      <c r="C2" s="1305"/>
      <c r="D2" s="1305"/>
      <c r="E2" s="1305"/>
      <c r="F2" s="110"/>
    </row>
    <row r="3" spans="1:13">
      <c r="B3" s="1299" t="s">
        <v>568</v>
      </c>
      <c r="C3" s="1299"/>
      <c r="D3" s="1299"/>
      <c r="E3" s="1299"/>
      <c r="F3" s="240"/>
      <c r="G3" s="240"/>
      <c r="I3"/>
      <c r="J3"/>
      <c r="K3"/>
      <c r="L3"/>
      <c r="M3"/>
    </row>
    <row r="4" spans="1:13">
      <c r="B4" s="1286" t="s">
        <v>569</v>
      </c>
      <c r="C4" s="1286"/>
      <c r="D4" s="1286"/>
      <c r="E4" s="1286"/>
      <c r="I4" s="814"/>
    </row>
    <row r="5" spans="1:13">
      <c r="B5" s="1286" t="str">
        <f>" 12 Months Ending December 31, "&amp;Automation!$B$3</f>
        <v xml:space="preserve"> 12 Months Ending December 31, 2022</v>
      </c>
      <c r="C5" s="1286"/>
      <c r="D5" s="1286"/>
      <c r="E5" s="1286"/>
    </row>
    <row r="6" spans="1:13">
      <c r="B6" s="1309" t="s">
        <v>3</v>
      </c>
      <c r="C6" s="1309"/>
      <c r="D6" s="1309"/>
      <c r="E6" s="1309"/>
      <c r="F6" s="110"/>
      <c r="G6" s="110"/>
    </row>
    <row r="7" spans="1:13" ht="16.5" thickBot="1">
      <c r="B7" s="77"/>
      <c r="C7" s="77"/>
      <c r="D7" s="77"/>
    </row>
    <row r="8" spans="1:13">
      <c r="A8" s="587" t="s">
        <v>4</v>
      </c>
      <c r="B8" s="590" t="s">
        <v>570</v>
      </c>
      <c r="C8" s="591"/>
      <c r="D8" s="592"/>
      <c r="E8" s="410"/>
      <c r="F8" s="588" t="s">
        <v>4</v>
      </c>
    </row>
    <row r="9" spans="1:13" ht="18.75">
      <c r="A9" s="587" t="s">
        <v>5</v>
      </c>
      <c r="B9" s="1202" t="s">
        <v>261</v>
      </c>
      <c r="C9" s="1007" t="s">
        <v>262</v>
      </c>
      <c r="D9" s="1008" t="s">
        <v>571</v>
      </c>
      <c r="E9" s="1009" t="s">
        <v>572</v>
      </c>
      <c r="F9" s="588" t="s">
        <v>5</v>
      </c>
    </row>
    <row r="10" spans="1:13">
      <c r="A10" s="587">
        <v>1</v>
      </c>
      <c r="B10" s="1205" t="s">
        <v>890</v>
      </c>
      <c r="C10" s="1206" t="s">
        <v>891</v>
      </c>
      <c r="D10" s="1207">
        <v>99.001009999999994</v>
      </c>
      <c r="E10" s="1204"/>
      <c r="F10" s="588">
        <f>A10</f>
        <v>1</v>
      </c>
    </row>
    <row r="11" spans="1:13">
      <c r="A11" s="587">
        <f>A10+1</f>
        <v>2</v>
      </c>
      <c r="B11" s="411" t="s">
        <v>573</v>
      </c>
      <c r="C11" s="83" t="s">
        <v>574</v>
      </c>
      <c r="D11" s="260">
        <v>3915.8731200000002</v>
      </c>
      <c r="E11" s="923"/>
      <c r="F11" s="588">
        <f>A11</f>
        <v>2</v>
      </c>
      <c r="H11" s="907"/>
      <c r="I11" s="907"/>
      <c r="J11" s="925"/>
    </row>
    <row r="12" spans="1:13">
      <c r="A12" s="587">
        <f t="shared" ref="A12:A60" si="0">A11+1</f>
        <v>3</v>
      </c>
      <c r="B12" s="411" t="s">
        <v>575</v>
      </c>
      <c r="C12" s="83" t="s">
        <v>576</v>
      </c>
      <c r="D12" s="260">
        <v>286.28666999999996</v>
      </c>
      <c r="E12" s="923"/>
      <c r="F12" s="588">
        <f t="shared" ref="F12:F60" si="1">A12</f>
        <v>3</v>
      </c>
      <c r="H12" s="907"/>
      <c r="I12" s="907"/>
      <c r="J12" s="925"/>
    </row>
    <row r="13" spans="1:13">
      <c r="A13" s="587">
        <f t="shared" si="0"/>
        <v>4</v>
      </c>
      <c r="B13" s="411" t="s">
        <v>577</v>
      </c>
      <c r="C13" s="83" t="s">
        <v>578</v>
      </c>
      <c r="D13" s="644">
        <v>1064.03676</v>
      </c>
      <c r="E13" s="923"/>
      <c r="F13" s="588">
        <f t="shared" si="1"/>
        <v>4</v>
      </c>
      <c r="H13" s="907"/>
      <c r="I13" s="907"/>
      <c r="J13" s="925"/>
    </row>
    <row r="14" spans="1:13">
      <c r="A14" s="587">
        <f t="shared" si="0"/>
        <v>5</v>
      </c>
      <c r="B14" s="411" t="s">
        <v>579</v>
      </c>
      <c r="C14" s="83" t="s">
        <v>580</v>
      </c>
      <c r="D14" s="644">
        <v>544.43416999999999</v>
      </c>
      <c r="E14" s="923"/>
      <c r="F14" s="588">
        <f t="shared" si="1"/>
        <v>5</v>
      </c>
      <c r="H14" s="907"/>
      <c r="I14" s="907"/>
      <c r="J14" s="925"/>
    </row>
    <row r="15" spans="1:13">
      <c r="A15" s="587">
        <f t="shared" si="0"/>
        <v>6</v>
      </c>
      <c r="B15" s="411" t="s">
        <v>581</v>
      </c>
      <c r="C15" s="83" t="s">
        <v>582</v>
      </c>
      <c r="D15" s="644">
        <v>1319.88482</v>
      </c>
      <c r="E15" s="923"/>
      <c r="F15" s="588">
        <f t="shared" si="1"/>
        <v>6</v>
      </c>
      <c r="H15" s="907"/>
      <c r="I15" s="907"/>
      <c r="J15" s="925"/>
    </row>
    <row r="16" spans="1:13">
      <c r="A16" s="587">
        <f t="shared" si="0"/>
        <v>7</v>
      </c>
      <c r="B16" s="412" t="s">
        <v>583</v>
      </c>
      <c r="C16" s="83" t="s">
        <v>584</v>
      </c>
      <c r="D16" s="644">
        <v>114.83199</v>
      </c>
      <c r="E16" s="923"/>
      <c r="F16" s="588">
        <f t="shared" si="1"/>
        <v>7</v>
      </c>
      <c r="H16" s="908"/>
      <c r="I16" s="908"/>
      <c r="J16" s="925"/>
    </row>
    <row r="17" spans="1:10">
      <c r="A17" s="587">
        <f t="shared" si="0"/>
        <v>8</v>
      </c>
      <c r="B17" s="412" t="s">
        <v>585</v>
      </c>
      <c r="C17" s="83" t="s">
        <v>586</v>
      </c>
      <c r="D17" s="644">
        <v>0</v>
      </c>
      <c r="E17" s="923"/>
      <c r="F17" s="588">
        <f t="shared" si="1"/>
        <v>8</v>
      </c>
      <c r="H17" s="908"/>
      <c r="I17" s="908"/>
      <c r="J17" s="925"/>
    </row>
    <row r="18" spans="1:10">
      <c r="A18" s="587">
        <f t="shared" si="0"/>
        <v>9</v>
      </c>
      <c r="B18" s="412" t="s">
        <v>587</v>
      </c>
      <c r="C18" s="83" t="s">
        <v>588</v>
      </c>
      <c r="D18" s="644">
        <v>64.183540000000008</v>
      </c>
      <c r="E18" s="923"/>
      <c r="F18" s="588">
        <f t="shared" si="1"/>
        <v>9</v>
      </c>
      <c r="H18" s="908"/>
      <c r="I18" s="908"/>
      <c r="J18" s="925"/>
    </row>
    <row r="19" spans="1:10">
      <c r="A19" s="587">
        <f t="shared" si="0"/>
        <v>10</v>
      </c>
      <c r="B19" s="411" t="s">
        <v>589</v>
      </c>
      <c r="C19" s="83" t="s">
        <v>590</v>
      </c>
      <c r="D19" s="644">
        <v>0</v>
      </c>
      <c r="E19" s="924"/>
      <c r="F19" s="588">
        <f t="shared" si="1"/>
        <v>10</v>
      </c>
      <c r="H19" s="907"/>
      <c r="I19" s="907"/>
      <c r="J19" s="925"/>
    </row>
    <row r="20" spans="1:10">
      <c r="A20" s="587">
        <f t="shared" si="0"/>
        <v>11</v>
      </c>
      <c r="B20" s="412" t="s">
        <v>591</v>
      </c>
      <c r="C20" s="83" t="s">
        <v>592</v>
      </c>
      <c r="D20" s="644">
        <v>0</v>
      </c>
      <c r="E20" s="924"/>
      <c r="F20" s="588">
        <f t="shared" si="1"/>
        <v>11</v>
      </c>
      <c r="H20" s="908"/>
      <c r="I20" s="908"/>
      <c r="J20" s="925"/>
    </row>
    <row r="21" spans="1:10">
      <c r="A21" s="587">
        <f t="shared" si="0"/>
        <v>12</v>
      </c>
      <c r="B21" s="412" t="s">
        <v>593</v>
      </c>
      <c r="C21" s="83" t="s">
        <v>594</v>
      </c>
      <c r="D21" s="644">
        <v>700.49815000000001</v>
      </c>
      <c r="E21" s="924"/>
      <c r="F21" s="588">
        <f t="shared" si="1"/>
        <v>12</v>
      </c>
      <c r="H21" s="908"/>
      <c r="I21" s="908"/>
      <c r="J21" s="925"/>
    </row>
    <row r="22" spans="1:10">
      <c r="A22" s="587">
        <f t="shared" si="0"/>
        <v>13</v>
      </c>
      <c r="B22" s="411" t="s">
        <v>595</v>
      </c>
      <c r="C22" s="83" t="s">
        <v>596</v>
      </c>
      <c r="D22" s="644">
        <v>93.417690000000007</v>
      </c>
      <c r="E22" s="1010">
        <f>D22</f>
        <v>93.417690000000007</v>
      </c>
      <c r="F22" s="588">
        <f t="shared" si="1"/>
        <v>13</v>
      </c>
      <c r="H22" s="907"/>
      <c r="I22" s="907"/>
      <c r="J22" s="925"/>
    </row>
    <row r="23" spans="1:10">
      <c r="A23" s="587">
        <f t="shared" si="0"/>
        <v>14</v>
      </c>
      <c r="B23" s="411" t="s">
        <v>597</v>
      </c>
      <c r="C23" s="83" t="s">
        <v>598</v>
      </c>
      <c r="D23" s="644">
        <v>2346.8487</v>
      </c>
      <c r="E23" s="1011">
        <f>D23</f>
        <v>2346.8487</v>
      </c>
      <c r="F23" s="588">
        <f t="shared" si="1"/>
        <v>14</v>
      </c>
      <c r="H23" s="907"/>
      <c r="I23" s="907"/>
      <c r="J23" s="925"/>
    </row>
    <row r="24" spans="1:10">
      <c r="A24" s="587">
        <f t="shared" si="0"/>
        <v>15</v>
      </c>
      <c r="B24" s="411" t="s">
        <v>599</v>
      </c>
      <c r="C24" s="83" t="s">
        <v>600</v>
      </c>
      <c r="D24" s="644">
        <v>1.00369</v>
      </c>
      <c r="E24" s="1011">
        <f>D24</f>
        <v>1.00369</v>
      </c>
      <c r="F24" s="588">
        <f t="shared" si="1"/>
        <v>15</v>
      </c>
      <c r="H24" s="907"/>
      <c r="I24" s="907"/>
      <c r="J24" s="925"/>
    </row>
    <row r="25" spans="1:10">
      <c r="A25" s="587">
        <f t="shared" si="0"/>
        <v>16</v>
      </c>
      <c r="B25" s="411" t="s">
        <v>601</v>
      </c>
      <c r="C25" s="83" t="s">
        <v>602</v>
      </c>
      <c r="D25" s="644">
        <v>785.12725999999998</v>
      </c>
      <c r="E25" s="1011">
        <f>D25</f>
        <v>785.12725999999998</v>
      </c>
      <c r="F25" s="588">
        <f t="shared" si="1"/>
        <v>16</v>
      </c>
      <c r="H25" s="907"/>
      <c r="I25" s="907"/>
      <c r="J25" s="925"/>
    </row>
    <row r="26" spans="1:10">
      <c r="A26" s="587">
        <f t="shared" si="0"/>
        <v>17</v>
      </c>
      <c r="B26" s="411" t="s">
        <v>603</v>
      </c>
      <c r="C26" s="83" t="s">
        <v>604</v>
      </c>
      <c r="D26" s="644">
        <v>0</v>
      </c>
      <c r="E26" s="1011">
        <f>D26</f>
        <v>0</v>
      </c>
      <c r="F26" s="588">
        <f t="shared" si="1"/>
        <v>17</v>
      </c>
      <c r="H26" s="907"/>
      <c r="I26" s="907"/>
      <c r="J26" s="925"/>
    </row>
    <row r="27" spans="1:10">
      <c r="A27" s="587">
        <f t="shared" si="0"/>
        <v>18</v>
      </c>
      <c r="B27" s="412" t="s">
        <v>605</v>
      </c>
      <c r="C27" s="83" t="s">
        <v>606</v>
      </c>
      <c r="D27" s="644">
        <v>-0.38124999999999998</v>
      </c>
      <c r="E27" s="1011"/>
      <c r="F27" s="588">
        <f t="shared" si="1"/>
        <v>18</v>
      </c>
      <c r="H27" s="908"/>
      <c r="I27" s="908"/>
      <c r="J27" s="925"/>
    </row>
    <row r="28" spans="1:10">
      <c r="A28" s="587">
        <f t="shared" si="0"/>
        <v>19</v>
      </c>
      <c r="B28" s="411" t="s">
        <v>607</v>
      </c>
      <c r="C28" s="83" t="s">
        <v>608</v>
      </c>
      <c r="D28" s="644">
        <v>4742.9416799999999</v>
      </c>
      <c r="E28" s="923"/>
      <c r="F28" s="588">
        <f t="shared" si="1"/>
        <v>19</v>
      </c>
      <c r="H28" s="907"/>
      <c r="I28" s="907"/>
      <c r="J28" s="925"/>
    </row>
    <row r="29" spans="1:10">
      <c r="A29" s="587">
        <f t="shared" si="0"/>
        <v>20</v>
      </c>
      <c r="B29" s="411" t="s">
        <v>609</v>
      </c>
      <c r="C29" s="83" t="s">
        <v>610</v>
      </c>
      <c r="D29" s="644">
        <v>0</v>
      </c>
      <c r="E29" s="923"/>
      <c r="F29" s="588">
        <f t="shared" si="1"/>
        <v>20</v>
      </c>
      <c r="H29" s="907"/>
      <c r="I29" s="907"/>
      <c r="J29" s="925"/>
    </row>
    <row r="30" spans="1:10">
      <c r="A30" s="587">
        <f t="shared" si="0"/>
        <v>21</v>
      </c>
      <c r="B30" s="411" t="s">
        <v>611</v>
      </c>
      <c r="C30" s="83" t="s">
        <v>612</v>
      </c>
      <c r="D30" s="644">
        <v>0</v>
      </c>
      <c r="E30" s="923"/>
      <c r="F30" s="588">
        <f t="shared" si="1"/>
        <v>21</v>
      </c>
      <c r="H30" s="907"/>
      <c r="I30" s="907"/>
      <c r="J30" s="925"/>
    </row>
    <row r="31" spans="1:10">
      <c r="A31" s="587">
        <f t="shared" si="0"/>
        <v>22</v>
      </c>
      <c r="B31" s="411" t="s">
        <v>613</v>
      </c>
      <c r="C31" s="83" t="s">
        <v>614</v>
      </c>
      <c r="D31" s="644">
        <v>1008.90643</v>
      </c>
      <c r="E31" s="923"/>
      <c r="F31" s="588">
        <f t="shared" si="1"/>
        <v>22</v>
      </c>
      <c r="H31" s="907"/>
      <c r="I31" s="907"/>
      <c r="J31" s="925"/>
    </row>
    <row r="32" spans="1:10">
      <c r="A32" s="587">
        <f t="shared" si="0"/>
        <v>23</v>
      </c>
      <c r="B32" s="411" t="s">
        <v>615</v>
      </c>
      <c r="C32" s="83" t="s">
        <v>616</v>
      </c>
      <c r="D32" s="644">
        <v>25.195589999999999</v>
      </c>
      <c r="E32" s="923"/>
      <c r="F32" s="588">
        <f t="shared" si="1"/>
        <v>23</v>
      </c>
      <c r="H32" s="907"/>
      <c r="I32" s="907"/>
      <c r="J32" s="925"/>
    </row>
    <row r="33" spans="1:10">
      <c r="A33" s="587">
        <f t="shared" si="0"/>
        <v>24</v>
      </c>
      <c r="B33" s="412" t="s">
        <v>617</v>
      </c>
      <c r="C33" s="83" t="s">
        <v>618</v>
      </c>
      <c r="D33" s="178">
        <v>57.94952</v>
      </c>
      <c r="E33" s="923"/>
      <c r="F33" s="588">
        <f t="shared" si="1"/>
        <v>24</v>
      </c>
      <c r="H33" s="908"/>
      <c r="I33" s="908"/>
      <c r="J33" s="925"/>
    </row>
    <row r="34" spans="1:10">
      <c r="A34" s="587">
        <f t="shared" si="0"/>
        <v>25</v>
      </c>
      <c r="B34" s="411" t="s">
        <v>619</v>
      </c>
      <c r="C34" s="83" t="s">
        <v>620</v>
      </c>
      <c r="D34" s="644">
        <v>689.34527000000003</v>
      </c>
      <c r="E34" s="923"/>
      <c r="F34" s="588">
        <f t="shared" si="1"/>
        <v>25</v>
      </c>
      <c r="H34" s="907"/>
      <c r="I34" s="907"/>
      <c r="J34" s="925"/>
    </row>
    <row r="35" spans="1:10">
      <c r="A35" s="587">
        <f t="shared" si="0"/>
        <v>26</v>
      </c>
      <c r="B35" s="411" t="s">
        <v>621</v>
      </c>
      <c r="C35" s="83" t="s">
        <v>622</v>
      </c>
      <c r="D35" s="644">
        <v>744.23860000000002</v>
      </c>
      <c r="E35" s="924"/>
      <c r="F35" s="588">
        <f t="shared" si="1"/>
        <v>26</v>
      </c>
      <c r="H35" s="907"/>
      <c r="I35" s="907"/>
      <c r="J35" s="925"/>
    </row>
    <row r="36" spans="1:10">
      <c r="A36" s="587">
        <f t="shared" si="0"/>
        <v>27</v>
      </c>
      <c r="B36" s="411" t="s">
        <v>623</v>
      </c>
      <c r="C36" s="83" t="s">
        <v>624</v>
      </c>
      <c r="D36" s="644">
        <v>0</v>
      </c>
      <c r="E36" s="924"/>
      <c r="F36" s="588">
        <f t="shared" si="1"/>
        <v>27</v>
      </c>
      <c r="H36" s="907"/>
      <c r="I36" s="907"/>
      <c r="J36" s="925"/>
    </row>
    <row r="37" spans="1:10">
      <c r="A37" s="587">
        <f t="shared" si="0"/>
        <v>28</v>
      </c>
      <c r="B37" s="411" t="s">
        <v>625</v>
      </c>
      <c r="C37" s="83" t="s">
        <v>626</v>
      </c>
      <c r="D37" s="644">
        <v>0</v>
      </c>
      <c r="E37" s="924"/>
      <c r="F37" s="588">
        <f t="shared" si="1"/>
        <v>28</v>
      </c>
      <c r="H37" s="907"/>
      <c r="I37" s="907"/>
      <c r="J37" s="925"/>
    </row>
    <row r="38" spans="1:10">
      <c r="A38" s="587">
        <f t="shared" si="0"/>
        <v>29</v>
      </c>
      <c r="B38" s="411" t="s">
        <v>627</v>
      </c>
      <c r="C38" s="83" t="s">
        <v>628</v>
      </c>
      <c r="D38" s="644">
        <v>1149.7247500000001</v>
      </c>
      <c r="E38" s="1011">
        <f>D38</f>
        <v>1149.7247500000001</v>
      </c>
      <c r="F38" s="588">
        <f t="shared" si="1"/>
        <v>29</v>
      </c>
      <c r="H38" s="907"/>
      <c r="I38" s="907"/>
      <c r="J38" s="925"/>
    </row>
    <row r="39" spans="1:10">
      <c r="A39" s="587">
        <f t="shared" si="0"/>
        <v>30</v>
      </c>
      <c r="B39" s="411" t="s">
        <v>629</v>
      </c>
      <c r="C39" s="83" t="s">
        <v>630</v>
      </c>
      <c r="D39" s="644">
        <v>7157.5956299999998</v>
      </c>
      <c r="E39" s="1011">
        <f>D39</f>
        <v>7157.5956299999998</v>
      </c>
      <c r="F39" s="588">
        <f t="shared" si="1"/>
        <v>30</v>
      </c>
      <c r="H39" s="907"/>
      <c r="I39" s="907"/>
      <c r="J39" s="925"/>
    </row>
    <row r="40" spans="1:10">
      <c r="A40" s="587">
        <f t="shared" si="0"/>
        <v>31</v>
      </c>
      <c r="B40" s="411" t="s">
        <v>631</v>
      </c>
      <c r="C40" s="83" t="s">
        <v>632</v>
      </c>
      <c r="D40" s="644">
        <v>224.96903</v>
      </c>
      <c r="E40" s="1011"/>
      <c r="F40" s="588">
        <f t="shared" si="1"/>
        <v>31</v>
      </c>
      <c r="H40" s="907"/>
      <c r="I40" s="907"/>
      <c r="J40" s="925"/>
    </row>
    <row r="41" spans="1:10">
      <c r="A41" s="587">
        <f t="shared" si="0"/>
        <v>32</v>
      </c>
      <c r="B41" s="411" t="s">
        <v>633</v>
      </c>
      <c r="C41" s="83" t="s">
        <v>634</v>
      </c>
      <c r="D41" s="644">
        <v>127.22864</v>
      </c>
      <c r="E41" s="1011"/>
      <c r="F41" s="588">
        <f t="shared" si="1"/>
        <v>32</v>
      </c>
      <c r="H41" s="907"/>
      <c r="I41" s="907"/>
      <c r="J41" s="925"/>
    </row>
    <row r="42" spans="1:10">
      <c r="A42" s="587">
        <f t="shared" si="0"/>
        <v>33</v>
      </c>
      <c r="B42" s="411" t="s">
        <v>635</v>
      </c>
      <c r="C42" s="83" t="s">
        <v>636</v>
      </c>
      <c r="D42" s="644">
        <v>430.28030000000001</v>
      </c>
      <c r="E42" s="1011">
        <f t="shared" ref="E42:E54" si="2">D42</f>
        <v>430.28030000000001</v>
      </c>
      <c r="F42" s="588">
        <f t="shared" si="1"/>
        <v>33</v>
      </c>
      <c r="H42" s="907"/>
      <c r="I42" s="907"/>
      <c r="J42" s="925"/>
    </row>
    <row r="43" spans="1:10">
      <c r="A43" s="587">
        <f t="shared" si="0"/>
        <v>34</v>
      </c>
      <c r="B43" s="411" t="s">
        <v>637</v>
      </c>
      <c r="C43" s="83" t="s">
        <v>638</v>
      </c>
      <c r="D43" s="644">
        <v>354.72558000000004</v>
      </c>
      <c r="E43" s="1011">
        <f t="shared" si="2"/>
        <v>354.72558000000004</v>
      </c>
      <c r="F43" s="588">
        <f t="shared" si="1"/>
        <v>34</v>
      </c>
      <c r="H43" s="907"/>
      <c r="I43" s="907"/>
      <c r="J43" s="925"/>
    </row>
    <row r="44" spans="1:10">
      <c r="A44" s="587">
        <f t="shared" si="0"/>
        <v>35</v>
      </c>
      <c r="B44" s="411" t="s">
        <v>639</v>
      </c>
      <c r="C44" s="83" t="s">
        <v>640</v>
      </c>
      <c r="D44" s="644">
        <v>49.108080000000001</v>
      </c>
      <c r="E44" s="1011">
        <f t="shared" si="2"/>
        <v>49.108080000000001</v>
      </c>
      <c r="F44" s="588">
        <f t="shared" si="1"/>
        <v>35</v>
      </c>
      <c r="H44" s="907"/>
      <c r="I44" s="907"/>
      <c r="J44" s="925"/>
    </row>
    <row r="45" spans="1:10">
      <c r="A45" s="587">
        <f t="shared" si="0"/>
        <v>36</v>
      </c>
      <c r="B45" s="411" t="s">
        <v>641</v>
      </c>
      <c r="C45" s="83" t="s">
        <v>642</v>
      </c>
      <c r="D45" s="644">
        <v>874.37903000000006</v>
      </c>
      <c r="E45" s="1011">
        <f t="shared" si="2"/>
        <v>874.37903000000006</v>
      </c>
      <c r="F45" s="588">
        <f t="shared" si="1"/>
        <v>36</v>
      </c>
      <c r="H45" s="907"/>
      <c r="I45" s="907"/>
      <c r="J45" s="925"/>
    </row>
    <row r="46" spans="1:10">
      <c r="A46" s="587">
        <f t="shared" si="0"/>
        <v>37</v>
      </c>
      <c r="B46" s="411" t="s">
        <v>643</v>
      </c>
      <c r="C46" s="83" t="s">
        <v>644</v>
      </c>
      <c r="D46" s="644">
        <v>496.68753000000004</v>
      </c>
      <c r="E46" s="1011">
        <f t="shared" si="2"/>
        <v>496.68753000000004</v>
      </c>
      <c r="F46" s="588">
        <f t="shared" si="1"/>
        <v>37</v>
      </c>
      <c r="H46" s="907"/>
      <c r="I46" s="907"/>
      <c r="J46" s="925"/>
    </row>
    <row r="47" spans="1:10">
      <c r="A47" s="587">
        <f t="shared" si="0"/>
        <v>38</v>
      </c>
      <c r="B47" s="411" t="s">
        <v>645</v>
      </c>
      <c r="C47" s="83" t="s">
        <v>646</v>
      </c>
      <c r="D47" s="644">
        <v>8.7907700000000002</v>
      </c>
      <c r="E47" s="1011">
        <f t="shared" si="2"/>
        <v>8.7907700000000002</v>
      </c>
      <c r="F47" s="588">
        <f t="shared" si="1"/>
        <v>38</v>
      </c>
      <c r="H47" s="907"/>
      <c r="I47" s="907"/>
      <c r="J47" s="925"/>
    </row>
    <row r="48" spans="1:10">
      <c r="A48" s="587">
        <f t="shared" si="0"/>
        <v>39</v>
      </c>
      <c r="B48" s="411" t="s">
        <v>647</v>
      </c>
      <c r="C48" s="83" t="s">
        <v>648</v>
      </c>
      <c r="D48" s="644">
        <v>104.52025</v>
      </c>
      <c r="E48" s="1011">
        <f t="shared" si="2"/>
        <v>104.52025</v>
      </c>
      <c r="F48" s="588">
        <f t="shared" si="1"/>
        <v>39</v>
      </c>
      <c r="H48" s="907"/>
      <c r="I48" s="907"/>
      <c r="J48" s="925"/>
    </row>
    <row r="49" spans="1:10">
      <c r="A49" s="587">
        <f t="shared" si="0"/>
        <v>40</v>
      </c>
      <c r="B49" s="411" t="s">
        <v>649</v>
      </c>
      <c r="C49" s="83" t="s">
        <v>650</v>
      </c>
      <c r="D49" s="644">
        <v>372.91293000000002</v>
      </c>
      <c r="E49" s="1011">
        <f t="shared" si="2"/>
        <v>372.91293000000002</v>
      </c>
      <c r="F49" s="588">
        <f t="shared" si="1"/>
        <v>40</v>
      </c>
      <c r="H49" s="907"/>
      <c r="I49" s="907"/>
      <c r="J49" s="925"/>
    </row>
    <row r="50" spans="1:10">
      <c r="A50" s="587">
        <f t="shared" si="0"/>
        <v>41</v>
      </c>
      <c r="B50" s="411" t="s">
        <v>651</v>
      </c>
      <c r="C50" s="83" t="s">
        <v>652</v>
      </c>
      <c r="D50" s="644">
        <v>190.82685999999998</v>
      </c>
      <c r="E50" s="1011">
        <f t="shared" si="2"/>
        <v>190.82685999999998</v>
      </c>
      <c r="F50" s="588">
        <f t="shared" si="1"/>
        <v>41</v>
      </c>
      <c r="H50" s="907"/>
      <c r="I50" s="907"/>
      <c r="J50" s="925"/>
    </row>
    <row r="51" spans="1:10">
      <c r="A51" s="587">
        <f t="shared" si="0"/>
        <v>42</v>
      </c>
      <c r="B51" s="412" t="s">
        <v>653</v>
      </c>
      <c r="C51" s="83" t="s">
        <v>654</v>
      </c>
      <c r="D51" s="644">
        <v>0</v>
      </c>
      <c r="E51" s="1011">
        <f t="shared" si="2"/>
        <v>0</v>
      </c>
      <c r="F51" s="588">
        <f t="shared" si="1"/>
        <v>42</v>
      </c>
      <c r="H51" s="908"/>
      <c r="I51" s="908"/>
      <c r="J51" s="925"/>
    </row>
    <row r="52" spans="1:10">
      <c r="A52" s="587">
        <f t="shared" si="0"/>
        <v>43</v>
      </c>
      <c r="B52" s="412" t="s">
        <v>655</v>
      </c>
      <c r="C52" s="83" t="s">
        <v>656</v>
      </c>
      <c r="D52" s="644">
        <v>8.0375899999999998</v>
      </c>
      <c r="E52" s="1011">
        <f t="shared" si="2"/>
        <v>8.0375899999999998</v>
      </c>
      <c r="F52" s="588">
        <f t="shared" si="1"/>
        <v>43</v>
      </c>
      <c r="H52" s="908"/>
      <c r="I52" s="908"/>
      <c r="J52" s="925"/>
    </row>
    <row r="53" spans="1:10">
      <c r="A53" s="587">
        <f t="shared" si="0"/>
        <v>44</v>
      </c>
      <c r="B53" s="411" t="s">
        <v>657</v>
      </c>
      <c r="C53" s="83" t="s">
        <v>658</v>
      </c>
      <c r="D53" s="644">
        <v>23.910959999999999</v>
      </c>
      <c r="E53" s="1011">
        <f t="shared" si="2"/>
        <v>23.910959999999999</v>
      </c>
      <c r="F53" s="588">
        <f t="shared" si="1"/>
        <v>44</v>
      </c>
      <c r="H53" s="907"/>
      <c r="I53" s="907"/>
      <c r="J53" s="925"/>
    </row>
    <row r="54" spans="1:10">
      <c r="A54" s="587">
        <f t="shared" si="0"/>
        <v>45</v>
      </c>
      <c r="B54" s="411" t="s">
        <v>659</v>
      </c>
      <c r="C54" s="83" t="s">
        <v>660</v>
      </c>
      <c r="D54" s="644">
        <v>326.69094000000001</v>
      </c>
      <c r="E54" s="1011">
        <f t="shared" si="2"/>
        <v>326.69094000000001</v>
      </c>
      <c r="F54" s="588">
        <f t="shared" si="1"/>
        <v>45</v>
      </c>
      <c r="H54" s="907"/>
      <c r="I54" s="907"/>
      <c r="J54" s="925"/>
    </row>
    <row r="55" spans="1:10">
      <c r="A55" s="587">
        <f t="shared" si="0"/>
        <v>46</v>
      </c>
      <c r="B55" s="1203" t="s">
        <v>661</v>
      </c>
      <c r="C55" s="1012" t="s">
        <v>662</v>
      </c>
      <c r="D55" s="1013">
        <v>0</v>
      </c>
      <c r="E55" s="1014"/>
      <c r="F55" s="588">
        <f t="shared" si="1"/>
        <v>46</v>
      </c>
      <c r="H55" s="907"/>
      <c r="I55" s="907"/>
      <c r="J55" s="925"/>
    </row>
    <row r="56" spans="1:10">
      <c r="A56" s="587">
        <f t="shared" si="0"/>
        <v>47</v>
      </c>
      <c r="B56" s="413"/>
      <c r="C56" s="415"/>
      <c r="D56" s="645"/>
      <c r="E56" s="1015"/>
      <c r="F56" s="588">
        <f t="shared" si="1"/>
        <v>47</v>
      </c>
    </row>
    <row r="57" spans="1:10" ht="16.5" thickBot="1">
      <c r="A57" s="587">
        <f t="shared" si="0"/>
        <v>48</v>
      </c>
      <c r="B57" s="413" t="s">
        <v>663</v>
      </c>
      <c r="C57" s="84"/>
      <c r="D57" s="1173">
        <f>SUM(D10:D55)</f>
        <v>30504.012279999999</v>
      </c>
      <c r="E57" s="646">
        <f>SUM(E10:E55)</f>
        <v>14774.588539999999</v>
      </c>
      <c r="F57" s="588">
        <f t="shared" si="1"/>
        <v>48</v>
      </c>
    </row>
    <row r="58" spans="1:10" ht="16.5" thickTop="1">
      <c r="A58" s="587">
        <f t="shared" si="0"/>
        <v>49</v>
      </c>
      <c r="B58" s="413"/>
      <c r="C58" s="415"/>
      <c r="D58" s="645"/>
      <c r="E58" s="1015"/>
      <c r="F58" s="588">
        <f t="shared" si="1"/>
        <v>49</v>
      </c>
    </row>
    <row r="59" spans="1:10" ht="16.5" thickBot="1">
      <c r="A59" s="587">
        <f t="shared" si="0"/>
        <v>50</v>
      </c>
      <c r="B59" s="413" t="s">
        <v>664</v>
      </c>
      <c r="C59" s="84"/>
      <c r="D59" s="647"/>
      <c r="E59" s="648">
        <f>D57-E57</f>
        <v>15729.42374</v>
      </c>
      <c r="F59" s="588">
        <f t="shared" si="1"/>
        <v>50</v>
      </c>
    </row>
    <row r="60" spans="1:10" ht="17.25" thickTop="1" thickBot="1">
      <c r="A60" s="587">
        <f t="shared" si="0"/>
        <v>51</v>
      </c>
      <c r="B60" s="414"/>
      <c r="C60" s="416"/>
      <c r="D60" s="1016"/>
      <c r="E60" s="649"/>
      <c r="F60" s="588">
        <f t="shared" si="1"/>
        <v>51</v>
      </c>
    </row>
    <row r="61" spans="1:10">
      <c r="A61" s="587"/>
      <c r="B61" s="80"/>
      <c r="C61" s="80"/>
      <c r="D61" s="81"/>
      <c r="E61" s="82"/>
      <c r="F61" s="587"/>
    </row>
    <row r="62" spans="1:10">
      <c r="A62" s="769"/>
      <c r="B62" s="770"/>
      <c r="C62" s="770"/>
      <c r="D62" s="81"/>
      <c r="E62" s="82"/>
      <c r="F62" s="587"/>
    </row>
    <row r="63" spans="1:10" ht="18.75">
      <c r="A63" s="771">
        <v>1</v>
      </c>
      <c r="B63" s="772" t="s">
        <v>665</v>
      </c>
      <c r="C63" s="770"/>
      <c r="D63" s="80"/>
      <c r="E63" s="80"/>
      <c r="F63" s="587"/>
    </row>
    <row r="64" spans="1:10" ht="18.75">
      <c r="A64" s="771">
        <v>2</v>
      </c>
      <c r="B64" s="772" t="s">
        <v>666</v>
      </c>
      <c r="C64" s="770"/>
      <c r="D64" s="80"/>
      <c r="E64" s="80"/>
      <c r="F64" s="587"/>
    </row>
    <row r="65" spans="1:3" ht="18.75">
      <c r="A65" s="773"/>
      <c r="B65" s="3"/>
      <c r="C65" s="3"/>
    </row>
    <row r="66" spans="1:3">
      <c r="A66" s="250"/>
      <c r="B66" s="3"/>
      <c r="C66" s="3"/>
    </row>
  </sheetData>
  <mergeCells count="5">
    <mergeCell ref="B4:E4"/>
    <mergeCell ref="B5:E5"/>
    <mergeCell ref="B2:E2"/>
    <mergeCell ref="B3:E3"/>
    <mergeCell ref="B6:E6"/>
  </mergeCells>
  <conditionalFormatting sqref="H11:I55">
    <cfRule type="duplicateValues" dxfId="0" priority="1"/>
  </conditionalFormatting>
  <printOptions horizontalCentered="1"/>
  <pageMargins left="0.5" right="0.5" top="0.5" bottom="0.5" header="0.25" footer="0.25"/>
  <pageSetup scale="73" orientation="portrait" r:id="rId1"/>
  <headerFooter scaleWithDoc="0">
    <oddFooter>&amp;C&amp;"Times New Roman,Regular"&amp;10&amp;A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I41"/>
  <sheetViews>
    <sheetView zoomScale="80" zoomScaleNormal="80" zoomScalePageLayoutView="80" workbookViewId="0"/>
  </sheetViews>
  <sheetFormatPr defaultColWidth="8.7109375" defaultRowHeight="15.75"/>
  <cols>
    <col min="1" max="1" width="5.140625" style="250" customWidth="1"/>
    <col min="2" max="2" width="69.140625" style="136" bestFit="1" customWidth="1"/>
    <col min="3" max="3" width="21.140625" style="355" customWidth="1"/>
    <col min="4" max="4" width="1.5703125" style="136" customWidth="1"/>
    <col min="5" max="5" width="16.7109375" style="136" customWidth="1"/>
    <col min="6" max="6" width="1.5703125" style="136" customWidth="1"/>
    <col min="7" max="7" width="34.5703125" style="136" customWidth="1"/>
    <col min="8" max="8" width="5.140625" style="119" customWidth="1"/>
    <col min="9" max="9" width="20.28515625" style="136" bestFit="1" customWidth="1"/>
    <col min="10" max="16384" width="8.7109375" style="136"/>
  </cols>
  <sheetData>
    <row r="1" spans="1:8">
      <c r="B1" s="18"/>
      <c r="E1" s="347"/>
      <c r="F1" s="360"/>
      <c r="G1" s="119"/>
    </row>
    <row r="2" spans="1:8">
      <c r="B2" s="1305" t="s">
        <v>0</v>
      </c>
      <c r="C2" s="1305"/>
      <c r="D2" s="1305"/>
      <c r="E2" s="1305"/>
      <c r="F2" s="1305"/>
      <c r="G2" s="1305"/>
    </row>
    <row r="3" spans="1:8">
      <c r="B3" s="1305" t="s">
        <v>667</v>
      </c>
      <c r="C3" s="1305"/>
      <c r="D3" s="1305"/>
      <c r="E3" s="1305"/>
      <c r="F3" s="1305"/>
      <c r="G3" s="1305"/>
    </row>
    <row r="4" spans="1:8">
      <c r="B4" s="1305" t="s">
        <v>668</v>
      </c>
      <c r="C4" s="1305"/>
      <c r="D4" s="1305"/>
      <c r="E4" s="1305"/>
      <c r="F4" s="1305"/>
      <c r="G4" s="1305"/>
    </row>
    <row r="5" spans="1:8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</row>
    <row r="6" spans="1:8" ht="15.75" customHeight="1">
      <c r="B6" s="1318">
        <v>-1000</v>
      </c>
      <c r="C6" s="1318"/>
      <c r="D6" s="1318"/>
      <c r="E6" s="1318"/>
      <c r="F6" s="1318"/>
      <c r="G6" s="1318"/>
    </row>
    <row r="7" spans="1:8">
      <c r="B7" s="119"/>
      <c r="D7" s="119"/>
      <c r="E7" s="119"/>
      <c r="F7" s="109"/>
      <c r="G7" s="119"/>
    </row>
    <row r="8" spans="1:8">
      <c r="A8" s="119" t="s">
        <v>4</v>
      </c>
      <c r="B8" s="109"/>
      <c r="C8" s="250" t="s">
        <v>189</v>
      </c>
      <c r="D8" s="109"/>
      <c r="E8" s="346"/>
      <c r="F8" s="109"/>
      <c r="G8" s="119"/>
      <c r="H8" s="119" t="s">
        <v>4</v>
      </c>
    </row>
    <row r="9" spans="1:8">
      <c r="A9" s="119" t="s">
        <v>5</v>
      </c>
      <c r="B9" s="109"/>
      <c r="C9" s="1003" t="s">
        <v>191</v>
      </c>
      <c r="D9" s="109"/>
      <c r="E9" s="1017" t="s">
        <v>7</v>
      </c>
      <c r="F9" s="109"/>
      <c r="G9" s="1018" t="s">
        <v>8</v>
      </c>
      <c r="H9" s="119" t="s">
        <v>5</v>
      </c>
    </row>
    <row r="10" spans="1:8">
      <c r="A10" s="119"/>
      <c r="B10" s="109"/>
      <c r="C10" s="383"/>
      <c r="D10" s="109"/>
      <c r="E10" s="119"/>
      <c r="F10" s="109"/>
      <c r="G10" s="119"/>
    </row>
    <row r="11" spans="1:8">
      <c r="A11" s="250">
        <v>1</v>
      </c>
      <c r="B11" s="16" t="s">
        <v>669</v>
      </c>
      <c r="C11" s="119"/>
      <c r="D11" s="119"/>
      <c r="E11" s="892">
        <v>0</v>
      </c>
      <c r="F11" s="119"/>
      <c r="G11" s="359" t="s">
        <v>307</v>
      </c>
      <c r="H11" s="250">
        <f>A11</f>
        <v>1</v>
      </c>
    </row>
    <row r="12" spans="1:8">
      <c r="A12" s="250">
        <v>2</v>
      </c>
      <c r="B12" s="16"/>
      <c r="E12" s="393"/>
      <c r="F12" s="357"/>
      <c r="G12" s="359"/>
      <c r="H12" s="250">
        <f>H11+1</f>
        <v>2</v>
      </c>
    </row>
    <row r="13" spans="1:8">
      <c r="A13" s="250">
        <v>3</v>
      </c>
      <c r="B13" s="16" t="s">
        <v>670</v>
      </c>
      <c r="C13" s="119" t="s">
        <v>980</v>
      </c>
      <c r="E13" s="893">
        <v>0</v>
      </c>
      <c r="F13" s="357"/>
      <c r="G13" s="359" t="s">
        <v>307</v>
      </c>
      <c r="H13" s="250">
        <f t="shared" ref="H13:H33" si="0">H12+1</f>
        <v>3</v>
      </c>
    </row>
    <row r="14" spans="1:8">
      <c r="A14" s="250">
        <v>4</v>
      </c>
      <c r="C14" s="119"/>
      <c r="E14" s="393"/>
      <c r="F14" s="357"/>
      <c r="G14" s="359"/>
      <c r="H14" s="250">
        <f t="shared" si="0"/>
        <v>4</v>
      </c>
    </row>
    <row r="15" spans="1:8">
      <c r="A15" s="119">
        <v>5</v>
      </c>
      <c r="B15" s="16" t="s">
        <v>921</v>
      </c>
      <c r="C15" s="119" t="s">
        <v>981</v>
      </c>
      <c r="E15" s="889">
        <f>'AJ-1'!C15</f>
        <v>24419.688020000001</v>
      </c>
      <c r="F15" s="360"/>
      <c r="G15" s="359" t="str">
        <f>"AJ-1; Line "&amp;'AJ-1'!A15</f>
        <v>AJ-1; Line 1</v>
      </c>
      <c r="H15" s="250">
        <f t="shared" si="0"/>
        <v>5</v>
      </c>
    </row>
    <row r="16" spans="1:8">
      <c r="A16" s="119">
        <v>6</v>
      </c>
      <c r="B16" s="193"/>
      <c r="E16" s="366"/>
      <c r="F16" s="360"/>
      <c r="G16" s="359"/>
      <c r="H16" s="250">
        <f t="shared" si="0"/>
        <v>6</v>
      </c>
    </row>
    <row r="17" spans="1:8">
      <c r="A17" s="119">
        <v>7</v>
      </c>
      <c r="B17" s="136" t="s">
        <v>671</v>
      </c>
      <c r="C17" s="119" t="s">
        <v>982</v>
      </c>
      <c r="E17" s="395">
        <f>'AJ-2'!D15</f>
        <v>142464.35851290001</v>
      </c>
      <c r="F17" s="119"/>
      <c r="G17" s="359" t="str">
        <f>"AJ-2; Line "&amp;'AJ-2'!A15</f>
        <v>AJ-2; Line 3</v>
      </c>
      <c r="H17" s="250">
        <f t="shared" si="0"/>
        <v>7</v>
      </c>
    </row>
    <row r="18" spans="1:8">
      <c r="A18" s="250">
        <v>8</v>
      </c>
      <c r="B18" s="815"/>
      <c r="E18" s="361"/>
      <c r="H18" s="250">
        <f t="shared" si="0"/>
        <v>8</v>
      </c>
    </row>
    <row r="19" spans="1:8">
      <c r="A19" s="250">
        <v>9</v>
      </c>
      <c r="B19" s="136" t="s">
        <v>198</v>
      </c>
      <c r="C19" s="119"/>
      <c r="E19" s="1019">
        <f>'Stmt AI'!E27</f>
        <v>0.10215928815161097</v>
      </c>
      <c r="G19" s="250" t="str">
        <f>"Statement AI; Line "&amp;'Stmt AI'!A27</f>
        <v>Statement AI; Line 17</v>
      </c>
      <c r="H19" s="250">
        <f t="shared" si="0"/>
        <v>9</v>
      </c>
    </row>
    <row r="20" spans="1:8">
      <c r="A20" s="250">
        <v>10</v>
      </c>
      <c r="E20" s="890"/>
      <c r="H20" s="250">
        <f t="shared" si="0"/>
        <v>10</v>
      </c>
    </row>
    <row r="21" spans="1:8">
      <c r="A21" s="250">
        <v>11</v>
      </c>
      <c r="B21" s="136" t="s">
        <v>672</v>
      </c>
      <c r="E21" s="891">
        <f>E13*$E$19</f>
        <v>0</v>
      </c>
      <c r="G21" s="451" t="str">
        <f>"Line "&amp;A13&amp;" x Line "&amp;A19</f>
        <v>Line 3 x Line 9</v>
      </c>
      <c r="H21" s="250">
        <f t="shared" si="0"/>
        <v>11</v>
      </c>
    </row>
    <row r="22" spans="1:8">
      <c r="A22" s="250">
        <v>12</v>
      </c>
      <c r="E22" s="890"/>
      <c r="G22" s="442"/>
      <c r="H22" s="250">
        <f t="shared" si="0"/>
        <v>12</v>
      </c>
    </row>
    <row r="23" spans="1:8">
      <c r="A23" s="250">
        <v>13</v>
      </c>
      <c r="B23" s="136" t="s">
        <v>673</v>
      </c>
      <c r="E23" s="371">
        <f>E15*$E$19</f>
        <v>2494.6979450076228</v>
      </c>
      <c r="G23" s="451" t="str">
        <f>"Line "&amp;A15&amp;" x Line "&amp;A19</f>
        <v>Line 5 x Line 9</v>
      </c>
      <c r="H23" s="250">
        <f t="shared" si="0"/>
        <v>13</v>
      </c>
    </row>
    <row r="24" spans="1:8">
      <c r="A24" s="250">
        <v>14</v>
      </c>
      <c r="B24" s="136" t="s">
        <v>186</v>
      </c>
      <c r="E24" s="396"/>
      <c r="G24" s="442"/>
      <c r="H24" s="250">
        <f t="shared" si="0"/>
        <v>14</v>
      </c>
    </row>
    <row r="25" spans="1:8">
      <c r="A25" s="250">
        <v>15</v>
      </c>
      <c r="B25" s="136" t="s">
        <v>674</v>
      </c>
      <c r="E25" s="1020">
        <f>E17*$E$19</f>
        <v>14554.057452653764</v>
      </c>
      <c r="G25" s="451" t="str">
        <f>"Line "&amp;A17&amp;" x Line "&amp;A19</f>
        <v>Line 7 x Line 9</v>
      </c>
      <c r="H25" s="250">
        <f t="shared" si="0"/>
        <v>15</v>
      </c>
    </row>
    <row r="26" spans="1:8">
      <c r="A26" s="250">
        <v>16</v>
      </c>
      <c r="E26" s="396"/>
      <c r="H26" s="250">
        <f t="shared" si="0"/>
        <v>16</v>
      </c>
    </row>
    <row r="27" spans="1:8" ht="16.5" thickBot="1">
      <c r="A27" s="250">
        <v>17</v>
      </c>
      <c r="B27" s="136" t="s">
        <v>675</v>
      </c>
      <c r="E27" s="1174">
        <f>E11+E21+E23+E25</f>
        <v>17048.755397661385</v>
      </c>
      <c r="G27" s="359" t="str">
        <f>"Line "&amp;A11&amp;" + (Sum Lines "&amp;A21&amp;" thru "&amp;A25&amp;")"</f>
        <v>Line 1 + (Sum Lines 11 thru 15)</v>
      </c>
      <c r="H27" s="250">
        <f t="shared" si="0"/>
        <v>17</v>
      </c>
    </row>
    <row r="28" spans="1:8" ht="16.5" thickTop="1">
      <c r="A28" s="250">
        <v>18</v>
      </c>
      <c r="E28" s="356"/>
      <c r="H28" s="250">
        <f t="shared" si="0"/>
        <v>18</v>
      </c>
    </row>
    <row r="29" spans="1:8" ht="16.5" thickBot="1">
      <c r="A29" s="250">
        <v>19</v>
      </c>
      <c r="B29" s="136" t="s">
        <v>676</v>
      </c>
      <c r="E29" s="887">
        <v>0</v>
      </c>
      <c r="G29" s="119" t="s">
        <v>307</v>
      </c>
      <c r="H29" s="250">
        <f t="shared" si="0"/>
        <v>19</v>
      </c>
    </row>
    <row r="30" spans="1:8" ht="16.5" thickTop="1">
      <c r="A30" s="250">
        <v>20</v>
      </c>
      <c r="H30" s="250">
        <f t="shared" si="0"/>
        <v>20</v>
      </c>
    </row>
    <row r="31" spans="1:8" ht="19.5" thickBot="1">
      <c r="A31" s="250">
        <v>21</v>
      </c>
      <c r="B31" s="136" t="s">
        <v>922</v>
      </c>
      <c r="E31" s="1175">
        <v>0</v>
      </c>
      <c r="G31" s="119" t="str">
        <f>"Not Applicable to "&amp;Automation!B3&amp;" Base Period"</f>
        <v>Not Applicable to 2022 Base Period</v>
      </c>
      <c r="H31" s="250">
        <f t="shared" si="0"/>
        <v>21</v>
      </c>
    </row>
    <row r="32" spans="1:8" ht="16.5" thickTop="1">
      <c r="A32" s="250">
        <v>22</v>
      </c>
      <c r="E32" s="366"/>
      <c r="H32" s="250">
        <f t="shared" si="0"/>
        <v>22</v>
      </c>
    </row>
    <row r="33" spans="1:9" ht="16.5" thickBot="1">
      <c r="A33" s="250">
        <v>23</v>
      </c>
      <c r="B33" s="136" t="s">
        <v>677</v>
      </c>
      <c r="E33" s="887">
        <v>0</v>
      </c>
      <c r="G33" s="119" t="s">
        <v>307</v>
      </c>
      <c r="H33" s="250">
        <f t="shared" si="0"/>
        <v>23</v>
      </c>
    </row>
    <row r="34" spans="1:9" ht="16.5" thickTop="1"/>
    <row r="36" spans="1:9" ht="18.75">
      <c r="A36" s="482">
        <v>1</v>
      </c>
      <c r="B36" s="136" t="s">
        <v>678</v>
      </c>
    </row>
    <row r="38" spans="1:9">
      <c r="I38" s="193"/>
    </row>
    <row r="39" spans="1:9">
      <c r="I39" s="193"/>
    </row>
    <row r="41" spans="1:9" ht="18.75">
      <c r="A41" s="482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1" orientation="portrait" r:id="rId1"/>
  <headerFooter scaleWithDoc="0">
    <oddFooter>&amp;C&amp;"Times New Roman,Regular"&amp;10AJ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2:G37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41.5703125" style="110" customWidth="1"/>
    <col min="3" max="3" width="22.7109375" style="110" customWidth="1"/>
    <col min="4" max="4" width="50.5703125" style="110" customWidth="1"/>
    <col min="5" max="5" width="5.140625" style="109" customWidth="1"/>
    <col min="6" max="6" width="11" style="110" customWidth="1"/>
    <col min="7" max="7" width="9.140625" style="110" bestFit="1" customWidth="1"/>
    <col min="8" max="8" width="9.140625" style="110" customWidth="1"/>
    <col min="9" max="9" width="14" style="110" customWidth="1"/>
    <col min="10" max="10" width="13.28515625" style="110" customWidth="1"/>
    <col min="11" max="16384" width="9.140625" style="110"/>
  </cols>
  <sheetData>
    <row r="2" spans="1:7">
      <c r="B2" s="1305" t="s">
        <v>0</v>
      </c>
      <c r="C2" s="1305"/>
      <c r="D2" s="1305"/>
    </row>
    <row r="3" spans="1:7">
      <c r="B3" s="1305" t="s">
        <v>679</v>
      </c>
      <c r="C3" s="1305"/>
      <c r="D3" s="1305"/>
    </row>
    <row r="4" spans="1:7">
      <c r="B4" s="1305" t="s">
        <v>680</v>
      </c>
      <c r="C4" s="1305"/>
      <c r="D4" s="1305"/>
    </row>
    <row r="5" spans="1:7">
      <c r="B5" s="1305" t="str">
        <f>"BASE PERIOD / TRUE UP PERIOD - 12/31/"&amp;Automation!$B$3&amp;" PER BOOK"</f>
        <v>BASE PERIOD / TRUE UP PERIOD - 12/31/2022 PER BOOK</v>
      </c>
      <c r="C5" s="1305"/>
      <c r="D5" s="1305"/>
    </row>
    <row r="6" spans="1:7">
      <c r="B6" s="1309" t="s">
        <v>3</v>
      </c>
      <c r="C6" s="1309"/>
      <c r="D6" s="1309"/>
    </row>
    <row r="7" spans="1:7">
      <c r="B7" s="111"/>
      <c r="C7" s="111"/>
      <c r="D7" s="111"/>
    </row>
    <row r="8" spans="1:7">
      <c r="B8" s="1305" t="s">
        <v>292</v>
      </c>
      <c r="C8" s="1305"/>
      <c r="D8" s="1305"/>
    </row>
    <row r="10" spans="1:7">
      <c r="B10" s="862"/>
      <c r="C10" s="976" t="s">
        <v>376</v>
      </c>
      <c r="D10" s="972"/>
      <c r="E10" s="119"/>
    </row>
    <row r="11" spans="1:7">
      <c r="A11" s="119"/>
      <c r="B11" s="116"/>
      <c r="C11" s="116" t="s">
        <v>681</v>
      </c>
      <c r="D11" s="118"/>
      <c r="E11" s="119"/>
    </row>
    <row r="12" spans="1:7">
      <c r="A12" s="119" t="s">
        <v>4</v>
      </c>
      <c r="B12" s="116"/>
      <c r="C12" s="116" t="s">
        <v>238</v>
      </c>
      <c r="D12" s="118"/>
      <c r="E12" s="119" t="s">
        <v>4</v>
      </c>
    </row>
    <row r="13" spans="1:7">
      <c r="A13" s="119" t="s">
        <v>5</v>
      </c>
      <c r="B13" s="1021" t="s">
        <v>124</v>
      </c>
      <c r="C13" s="1021" t="s">
        <v>682</v>
      </c>
      <c r="D13" s="1021" t="s">
        <v>8</v>
      </c>
      <c r="E13" s="119" t="s">
        <v>5</v>
      </c>
    </row>
    <row r="14" spans="1:7">
      <c r="A14" s="119"/>
      <c r="B14" s="120"/>
      <c r="C14" s="196"/>
      <c r="D14" s="205"/>
      <c r="E14" s="119"/>
    </row>
    <row r="15" spans="1:7">
      <c r="A15" s="119">
        <v>1</v>
      </c>
      <c r="B15" s="336" t="str">
        <f>"Dec-"&amp;RIGHT(Automation!$B$3,2)</f>
        <v>Dec-22</v>
      </c>
      <c r="C15" s="199">
        <v>24419.688020000001</v>
      </c>
      <c r="D15" s="1250" t="s">
        <v>983</v>
      </c>
      <c r="E15" s="119">
        <f>A15</f>
        <v>1</v>
      </c>
      <c r="F15" s="423"/>
      <c r="G15" s="1212"/>
    </row>
    <row r="16" spans="1:7">
      <c r="A16" s="119">
        <f>A15+1</f>
        <v>2</v>
      </c>
      <c r="B16" s="1022"/>
      <c r="C16" s="1023"/>
      <c r="D16" s="1023"/>
      <c r="E16" s="119">
        <f>E15+1</f>
        <v>2</v>
      </c>
    </row>
    <row r="17" spans="1:6">
      <c r="A17" s="119"/>
      <c r="B17" s="136"/>
      <c r="C17" s="204"/>
      <c r="D17" s="136"/>
      <c r="E17" s="119"/>
    </row>
    <row r="18" spans="1:6">
      <c r="B18" s="136"/>
      <c r="C18" s="136"/>
      <c r="D18" s="136"/>
    </row>
    <row r="19" spans="1:6" ht="18.75">
      <c r="A19" s="135"/>
      <c r="B19" s="136"/>
      <c r="C19" s="136"/>
      <c r="D19" s="136"/>
    </row>
    <row r="20" spans="1:6">
      <c r="B20" s="136"/>
      <c r="C20" s="136"/>
      <c r="D20" s="136"/>
    </row>
    <row r="21" spans="1:6">
      <c r="B21" s="136"/>
      <c r="C21" s="136"/>
      <c r="D21" s="136"/>
    </row>
    <row r="22" spans="1:6">
      <c r="B22" s="136"/>
      <c r="C22" s="136"/>
      <c r="D22" s="136"/>
      <c r="F22" s="193"/>
    </row>
    <row r="23" spans="1:6">
      <c r="B23" s="136"/>
      <c r="C23" s="136"/>
      <c r="D23" s="136"/>
      <c r="F23" s="193"/>
    </row>
    <row r="24" spans="1:6">
      <c r="B24" s="136"/>
      <c r="C24" s="136"/>
      <c r="D24" s="136"/>
    </row>
    <row r="25" spans="1:6">
      <c r="B25" s="136"/>
      <c r="C25" s="136"/>
      <c r="D25" s="136"/>
    </row>
    <row r="26" spans="1:6">
      <c r="B26" s="136"/>
      <c r="C26" s="136"/>
      <c r="D26" s="136"/>
    </row>
    <row r="27" spans="1:6">
      <c r="B27" s="136"/>
      <c r="C27" s="136"/>
      <c r="D27" s="136"/>
    </row>
    <row r="28" spans="1:6">
      <c r="B28" s="136"/>
      <c r="C28" s="136"/>
      <c r="D28" s="136"/>
    </row>
    <row r="29" spans="1:6">
      <c r="B29" s="136"/>
      <c r="C29" s="136"/>
      <c r="D29" s="136"/>
    </row>
    <row r="30" spans="1:6">
      <c r="B30" s="136"/>
      <c r="C30" s="136"/>
      <c r="D30" s="136"/>
    </row>
    <row r="31" spans="1:6" s="136" customFormat="1">
      <c r="A31" s="119"/>
      <c r="E31" s="119"/>
    </row>
    <row r="32" spans="1:6" s="136" customFormat="1">
      <c r="A32" s="119"/>
      <c r="E32" s="119"/>
    </row>
    <row r="33" spans="1:5" s="136" customFormat="1">
      <c r="A33" s="119"/>
      <c r="E33" s="119"/>
    </row>
    <row r="34" spans="1:5" s="136" customFormat="1">
      <c r="A34" s="119"/>
      <c r="E34" s="119"/>
    </row>
    <row r="35" spans="1:5" s="136" customFormat="1">
      <c r="A35" s="119"/>
      <c r="E35" s="119"/>
    </row>
    <row r="36" spans="1:5" s="136" customFormat="1">
      <c r="A36" s="119"/>
      <c r="E36" s="119"/>
    </row>
    <row r="37" spans="1:5" s="136" customFormat="1">
      <c r="A37" s="119"/>
      <c r="E37" s="119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2:G22"/>
  <sheetViews>
    <sheetView zoomScale="80" zoomScaleNormal="80" workbookViewId="0"/>
  </sheetViews>
  <sheetFormatPr defaultColWidth="9.140625" defaultRowHeight="15.75"/>
  <cols>
    <col min="1" max="1" width="5.140625" style="109" customWidth="1"/>
    <col min="2" max="2" width="8.5703125" style="110" customWidth="1"/>
    <col min="3" max="3" width="41.140625" style="110" customWidth="1"/>
    <col min="4" max="4" width="18.5703125" style="110" customWidth="1"/>
    <col min="5" max="5" width="62.5703125" style="110" customWidth="1"/>
    <col min="6" max="6" width="5.140625" style="109" customWidth="1"/>
    <col min="7" max="7" width="24" style="110" customWidth="1"/>
    <col min="8" max="8" width="11" style="110" customWidth="1"/>
    <col min="9" max="9" width="7.140625" style="110" customWidth="1"/>
    <col min="10" max="10" width="9.140625" style="110" customWidth="1"/>
    <col min="11" max="11" width="14" style="110" customWidth="1"/>
    <col min="12" max="12" width="13.28515625" style="110" customWidth="1"/>
    <col min="13" max="16384" width="9.140625" style="110"/>
  </cols>
  <sheetData>
    <row r="2" spans="1:7">
      <c r="B2" s="1305" t="s">
        <v>0</v>
      </c>
      <c r="C2" s="1305"/>
      <c r="D2" s="1305"/>
      <c r="E2" s="1305"/>
    </row>
    <row r="3" spans="1:7">
      <c r="B3" s="1305" t="s">
        <v>679</v>
      </c>
      <c r="C3" s="1305"/>
      <c r="D3" s="1305"/>
      <c r="E3" s="1305"/>
    </row>
    <row r="4" spans="1:7">
      <c r="B4" s="1305" t="s">
        <v>680</v>
      </c>
      <c r="C4" s="1305"/>
      <c r="D4" s="1305"/>
      <c r="E4" s="1305"/>
    </row>
    <row r="5" spans="1:7">
      <c r="B5" s="1319" t="str">
        <f>"BASE PERIOD / TRUE UP PERIOD - 12/31/"&amp;Automation!$B$3&amp;" PER BOOK"</f>
        <v>BASE PERIOD / TRUE UP PERIOD - 12/31/2022 PER BOOK</v>
      </c>
      <c r="C5" s="1319"/>
      <c r="D5" s="1319"/>
      <c r="E5" s="1319"/>
      <c r="F5" s="1096"/>
    </row>
    <row r="6" spans="1:7">
      <c r="B6" s="1320" t="s">
        <v>3</v>
      </c>
      <c r="C6" s="1320"/>
      <c r="D6" s="1320"/>
      <c r="E6" s="1320"/>
      <c r="F6" s="1096"/>
      <c r="G6"/>
    </row>
    <row r="7" spans="1:7">
      <c r="B7" s="536"/>
      <c r="C7" s="536"/>
      <c r="D7" s="536"/>
      <c r="E7" s="536"/>
      <c r="F7" s="1096"/>
    </row>
    <row r="8" spans="1:7">
      <c r="B8" s="1319" t="s">
        <v>294</v>
      </c>
      <c r="C8" s="1319"/>
      <c r="D8" s="1319"/>
      <c r="E8" s="1319"/>
      <c r="F8" s="1096"/>
    </row>
    <row r="9" spans="1:7">
      <c r="B9" s="535"/>
      <c r="C9" s="535"/>
      <c r="D9" s="535"/>
      <c r="E9" s="535"/>
      <c r="F9" s="1096"/>
    </row>
    <row r="10" spans="1:7">
      <c r="A10" s="119" t="s">
        <v>4</v>
      </c>
      <c r="B10" s="529"/>
      <c r="C10" s="529"/>
      <c r="D10" s="530"/>
      <c r="E10" s="970"/>
      <c r="F10" s="119" t="s">
        <v>4</v>
      </c>
    </row>
    <row r="11" spans="1:7">
      <c r="A11" s="119" t="s">
        <v>5</v>
      </c>
      <c r="B11" s="1024" t="s">
        <v>124</v>
      </c>
      <c r="C11" s="1024" t="s">
        <v>262</v>
      </c>
      <c r="D11" s="1024" t="s">
        <v>7</v>
      </c>
      <c r="E11" s="1021" t="s">
        <v>8</v>
      </c>
      <c r="F11" s="119" t="s">
        <v>5</v>
      </c>
    </row>
    <row r="12" spans="1:7">
      <c r="A12" s="119"/>
      <c r="B12" s="973"/>
      <c r="C12" s="973"/>
      <c r="D12" s="973"/>
      <c r="E12" s="532"/>
      <c r="F12" s="589"/>
      <c r="G12" s="423"/>
    </row>
    <row r="13" spans="1:7">
      <c r="A13" s="119">
        <v>1</v>
      </c>
      <c r="B13" s="198" t="str">
        <f>"Dec-"&amp;RIGHT(Automation!$B$3,2)</f>
        <v>Dec-22</v>
      </c>
      <c r="C13" s="198" t="s">
        <v>295</v>
      </c>
      <c r="D13" s="1256">
        <v>194703.23699999999</v>
      </c>
      <c r="E13" s="1251" t="s">
        <v>1007</v>
      </c>
      <c r="F13" s="119">
        <f>A13</f>
        <v>1</v>
      </c>
      <c r="G13" s="423"/>
    </row>
    <row r="14" spans="1:7">
      <c r="A14" s="119">
        <f>A13+1</f>
        <v>2</v>
      </c>
      <c r="B14" s="198"/>
      <c r="C14" s="198" t="s">
        <v>296</v>
      </c>
      <c r="D14" s="1025">
        <v>0.73170000000000002</v>
      </c>
      <c r="E14" s="1252" t="s">
        <v>1008</v>
      </c>
      <c r="F14" s="119">
        <f>F13+1</f>
        <v>2</v>
      </c>
      <c r="G14" s="423"/>
    </row>
    <row r="15" spans="1:7">
      <c r="A15" s="119">
        <f t="shared" ref="A15:A16" si="0">A14+1</f>
        <v>3</v>
      </c>
      <c r="B15" s="198"/>
      <c r="C15" s="198" t="s">
        <v>683</v>
      </c>
      <c r="D15" s="537">
        <f>D13*D14</f>
        <v>142464.35851290001</v>
      </c>
      <c r="E15" s="1250" t="s">
        <v>984</v>
      </c>
      <c r="F15" s="119">
        <f t="shared" ref="F15:F16" si="1">F14+1</f>
        <v>3</v>
      </c>
      <c r="G15" s="423"/>
    </row>
    <row r="16" spans="1:7">
      <c r="A16" s="119">
        <f t="shared" si="0"/>
        <v>4</v>
      </c>
      <c r="B16" s="1026"/>
      <c r="C16" s="1024"/>
      <c r="D16" s="1026"/>
      <c r="E16" s="1027"/>
      <c r="F16" s="119">
        <f t="shared" si="1"/>
        <v>4</v>
      </c>
      <c r="G16" s="423"/>
    </row>
    <row r="17" spans="1:7">
      <c r="A17" s="119"/>
      <c r="B17" s="136"/>
      <c r="C17" s="136"/>
      <c r="D17" s="159"/>
      <c r="E17" s="136"/>
      <c r="F17" s="119"/>
      <c r="G17" s="423"/>
    </row>
    <row r="18" spans="1:7">
      <c r="B18" s="136"/>
      <c r="C18" s="136"/>
      <c r="D18" s="136"/>
      <c r="E18" s="136"/>
      <c r="F18" s="119"/>
      <c r="G18" s="423"/>
    </row>
    <row r="19" spans="1:7">
      <c r="B19" s="136"/>
      <c r="C19" s="136"/>
      <c r="D19" s="136"/>
      <c r="E19" s="136"/>
      <c r="G19" s="423"/>
    </row>
    <row r="20" spans="1:7">
      <c r="B20" s="136"/>
      <c r="C20" s="136"/>
      <c r="D20" s="136"/>
      <c r="E20" s="136"/>
      <c r="G20" s="423"/>
    </row>
    <row r="21" spans="1:7">
      <c r="G21" s="423"/>
    </row>
    <row r="22" spans="1:7">
      <c r="G22" s="155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50"/>
  <sheetViews>
    <sheetView topLeftCell="A18" zoomScale="80" zoomScaleNormal="80" zoomScalePageLayoutView="80" workbookViewId="0"/>
  </sheetViews>
  <sheetFormatPr defaultColWidth="8.7109375" defaultRowHeight="15.75"/>
  <cols>
    <col min="1" max="1" width="5.140625" style="119" bestFit="1" customWidth="1"/>
    <col min="2" max="2" width="62.140625" style="136" customWidth="1"/>
    <col min="3" max="3" width="25.28515625" style="136" customWidth="1"/>
    <col min="4" max="4" width="1.5703125" style="136" customWidth="1"/>
    <col min="5" max="5" width="16.7109375" style="136" customWidth="1"/>
    <col min="6" max="6" width="1.5703125" style="136" customWidth="1"/>
    <col min="7" max="7" width="35.7109375" style="136" customWidth="1"/>
    <col min="8" max="8" width="5.140625" style="136" bestFit="1" customWidth="1"/>
    <col min="9" max="9" width="8.7109375" style="136"/>
    <col min="10" max="10" width="19.140625" style="136" customWidth="1"/>
    <col min="11" max="11" width="17.7109375" style="136" customWidth="1"/>
    <col min="12" max="12" width="17.5703125" style="136" customWidth="1"/>
    <col min="13" max="16384" width="8.7109375" style="136"/>
  </cols>
  <sheetData>
    <row r="1" spans="1:11">
      <c r="A1" s="119" t="s">
        <v>186</v>
      </c>
      <c r="G1" s="119"/>
      <c r="H1" s="119"/>
    </row>
    <row r="2" spans="1:11">
      <c r="B2" s="1305" t="s">
        <v>0</v>
      </c>
      <c r="C2" s="1305"/>
      <c r="D2" s="1305"/>
      <c r="E2" s="1305"/>
      <c r="F2" s="1305"/>
      <c r="G2" s="1305"/>
      <c r="H2" s="119"/>
    </row>
    <row r="3" spans="1:11">
      <c r="B3" s="1305" t="s">
        <v>684</v>
      </c>
      <c r="C3" s="1305"/>
      <c r="D3" s="1305"/>
      <c r="E3" s="1305"/>
      <c r="F3" s="1305"/>
      <c r="G3" s="1305"/>
      <c r="H3" s="119"/>
    </row>
    <row r="4" spans="1:11">
      <c r="B4" s="1305" t="s">
        <v>685</v>
      </c>
      <c r="C4" s="1305"/>
      <c r="D4" s="1305"/>
      <c r="E4" s="1305"/>
      <c r="F4" s="1305"/>
      <c r="G4" s="1305"/>
      <c r="H4" s="119"/>
    </row>
    <row r="5" spans="1:11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  <c r="H5" s="119"/>
    </row>
    <row r="6" spans="1:11">
      <c r="B6" s="1309" t="s">
        <v>3</v>
      </c>
      <c r="C6" s="1306"/>
      <c r="D6" s="1306"/>
      <c r="E6" s="1306"/>
      <c r="F6" s="1306"/>
      <c r="G6" s="1306"/>
      <c r="H6" s="119"/>
    </row>
    <row r="7" spans="1:11">
      <c r="B7" s="119"/>
      <c r="C7" s="119"/>
      <c r="D7" s="119"/>
      <c r="E7" s="119"/>
      <c r="F7" s="119"/>
      <c r="G7" s="119"/>
      <c r="H7" s="119"/>
    </row>
    <row r="8" spans="1:11">
      <c r="A8" s="119" t="s">
        <v>4</v>
      </c>
      <c r="B8" s="109"/>
      <c r="C8" s="250" t="s">
        <v>189</v>
      </c>
      <c r="D8" s="109"/>
      <c r="E8" s="109"/>
      <c r="F8" s="109"/>
      <c r="G8" s="119"/>
      <c r="H8" s="119" t="s">
        <v>4</v>
      </c>
    </row>
    <row r="9" spans="1:11">
      <c r="A9" s="119" t="s">
        <v>5</v>
      </c>
      <c r="B9" s="109"/>
      <c r="C9" s="1003" t="s">
        <v>191</v>
      </c>
      <c r="D9" s="109"/>
      <c r="E9" s="1017" t="s">
        <v>7</v>
      </c>
      <c r="F9" s="109"/>
      <c r="G9" s="1018" t="s">
        <v>8</v>
      </c>
      <c r="H9" s="119" t="s">
        <v>5</v>
      </c>
    </row>
    <row r="10" spans="1:11">
      <c r="B10" s="119"/>
      <c r="C10" s="119"/>
      <c r="D10" s="119"/>
      <c r="E10" s="119"/>
      <c r="F10" s="109"/>
      <c r="G10" s="119"/>
      <c r="H10" s="119"/>
    </row>
    <row r="11" spans="1:11" ht="18.75">
      <c r="A11" s="119">
        <v>1</v>
      </c>
      <c r="B11" s="136" t="s">
        <v>686</v>
      </c>
      <c r="C11" s="250" t="s">
        <v>985</v>
      </c>
      <c r="E11" s="358">
        <v>168032.29971000002</v>
      </c>
      <c r="F11" s="109"/>
      <c r="G11" s="359"/>
      <c r="H11" s="119">
        <f>A11</f>
        <v>1</v>
      </c>
      <c r="K11" s="162"/>
    </row>
    <row r="12" spans="1:11" ht="16.149999999999999" customHeight="1">
      <c r="A12" s="119">
        <f>+A11+1</f>
        <v>2</v>
      </c>
      <c r="E12" s="378"/>
      <c r="F12" s="109"/>
      <c r="G12" s="379"/>
      <c r="H12" s="119">
        <f>+H11+1</f>
        <v>2</v>
      </c>
    </row>
    <row r="13" spans="1:11" ht="18.75">
      <c r="A13" s="119">
        <f t="shared" ref="A13:A38" si="0">+A12+1</f>
        <v>3</v>
      </c>
      <c r="B13" s="136" t="s">
        <v>687</v>
      </c>
      <c r="C13" s="250"/>
      <c r="E13" s="1028">
        <v>0</v>
      </c>
      <c r="F13" s="109"/>
      <c r="G13" s="359" t="str">
        <f>"Not Applicable to "&amp;Automation!B3&amp;" Base Period"</f>
        <v>Not Applicable to 2022 Base Period</v>
      </c>
      <c r="H13" s="119">
        <f t="shared" ref="H13:H38" si="1">+H12+1</f>
        <v>3</v>
      </c>
    </row>
    <row r="14" spans="1:11">
      <c r="A14" s="119">
        <f t="shared" si="0"/>
        <v>4</v>
      </c>
      <c r="E14" s="380"/>
      <c r="F14" s="109"/>
      <c r="H14" s="119">
        <f t="shared" si="1"/>
        <v>4</v>
      </c>
    </row>
    <row r="15" spans="1:11">
      <c r="A15" s="119">
        <f t="shared" si="0"/>
        <v>5</v>
      </c>
      <c r="B15" s="136" t="s">
        <v>688</v>
      </c>
      <c r="E15" s="378">
        <f>E11+E13</f>
        <v>168032.29971000002</v>
      </c>
      <c r="F15" s="109"/>
      <c r="G15" s="359" t="str">
        <f>"Line "&amp;A11&amp;" + Line "&amp;A13</f>
        <v>Line 1 + Line 3</v>
      </c>
      <c r="H15" s="119">
        <f t="shared" si="1"/>
        <v>5</v>
      </c>
    </row>
    <row r="16" spans="1:11">
      <c r="A16" s="119">
        <f t="shared" si="0"/>
        <v>6</v>
      </c>
      <c r="E16" s="378"/>
      <c r="F16" s="109"/>
      <c r="G16" s="359"/>
      <c r="H16" s="119">
        <f t="shared" si="1"/>
        <v>6</v>
      </c>
    </row>
    <row r="17" spans="1:10">
      <c r="A17" s="119">
        <f t="shared" si="0"/>
        <v>7</v>
      </c>
      <c r="B17" s="388" t="s">
        <v>689</v>
      </c>
      <c r="C17" s="250" t="s">
        <v>1023</v>
      </c>
      <c r="E17" s="1006">
        <v>286.38504</v>
      </c>
      <c r="F17" s="109"/>
      <c r="G17" s="1245"/>
      <c r="H17" s="119">
        <f t="shared" si="1"/>
        <v>7</v>
      </c>
    </row>
    <row r="18" spans="1:10">
      <c r="A18" s="119">
        <f t="shared" si="0"/>
        <v>8</v>
      </c>
      <c r="B18" s="388"/>
      <c r="E18" s="389"/>
      <c r="F18" s="109"/>
      <c r="G18" s="359"/>
      <c r="H18" s="119">
        <f t="shared" si="1"/>
        <v>8</v>
      </c>
    </row>
    <row r="19" spans="1:10">
      <c r="A19" s="119">
        <f t="shared" si="0"/>
        <v>9</v>
      </c>
      <c r="B19" s="16" t="s">
        <v>690</v>
      </c>
      <c r="E19" s="389">
        <f>E15+E17</f>
        <v>168318.68475000001</v>
      </c>
      <c r="F19" s="109"/>
      <c r="G19" s="359" t="str">
        <f>"Line "&amp;A15&amp;" + Line "&amp;A17</f>
        <v>Line 5 + Line 7</v>
      </c>
      <c r="H19" s="119">
        <f t="shared" si="1"/>
        <v>9</v>
      </c>
    </row>
    <row r="20" spans="1:10">
      <c r="A20" s="119">
        <f t="shared" si="0"/>
        <v>10</v>
      </c>
      <c r="E20" s="378"/>
      <c r="F20" s="109"/>
      <c r="H20" s="119">
        <f t="shared" si="1"/>
        <v>10</v>
      </c>
    </row>
    <row r="21" spans="1:10" ht="18.75">
      <c r="A21" s="119">
        <f t="shared" si="0"/>
        <v>11</v>
      </c>
      <c r="B21" s="136" t="s">
        <v>691</v>
      </c>
      <c r="C21" s="250"/>
      <c r="E21" s="1028">
        <v>0</v>
      </c>
      <c r="F21" s="109"/>
      <c r="G21" s="359" t="str">
        <f>"Not Applicable to "&amp;Automation!B3&amp;" Base Period"</f>
        <v>Not Applicable to 2022 Base Period</v>
      </c>
      <c r="H21" s="119">
        <f t="shared" si="1"/>
        <v>11</v>
      </c>
      <c r="J21" s="381"/>
    </row>
    <row r="22" spans="1:10">
      <c r="A22" s="119">
        <f t="shared" si="0"/>
        <v>12</v>
      </c>
      <c r="E22" s="1029"/>
      <c r="F22" s="109"/>
      <c r="G22" s="359"/>
      <c r="H22" s="119">
        <f t="shared" si="1"/>
        <v>12</v>
      </c>
    </row>
    <row r="23" spans="1:10" ht="16.5" thickBot="1">
      <c r="A23" s="119">
        <f t="shared" si="0"/>
        <v>13</v>
      </c>
      <c r="B23" s="136" t="s">
        <v>692</v>
      </c>
      <c r="C23" s="250"/>
      <c r="D23" s="204"/>
      <c r="E23" s="1176">
        <f>E19+E21</f>
        <v>168318.68475000001</v>
      </c>
      <c r="F23" s="109"/>
      <c r="G23" s="359" t="str">
        <f>"Line "&amp;A19&amp;" + Line "&amp;A21</f>
        <v>Line 9 + Line 11</v>
      </c>
      <c r="H23" s="119">
        <f t="shared" si="1"/>
        <v>13</v>
      </c>
      <c r="J23" s="382"/>
    </row>
    <row r="24" spans="1:10" ht="16.5" thickTop="1">
      <c r="A24" s="119">
        <f t="shared" si="0"/>
        <v>14</v>
      </c>
      <c r="C24" s="204"/>
      <c r="D24" s="204"/>
      <c r="F24" s="109"/>
      <c r="G24" s="119"/>
      <c r="H24" s="119">
        <f t="shared" si="1"/>
        <v>14</v>
      </c>
    </row>
    <row r="25" spans="1:10">
      <c r="A25" s="119">
        <f t="shared" si="0"/>
        <v>15</v>
      </c>
      <c r="B25" s="17" t="s">
        <v>693</v>
      </c>
      <c r="C25" s="204"/>
      <c r="D25" s="204"/>
      <c r="E25" s="1030">
        <f>'Stmt AH'!E68</f>
        <v>0.38526592148063771</v>
      </c>
      <c r="F25" s="109"/>
      <c r="G25" s="70" t="str">
        <f>"Statement AH; Line "&amp;'Stmt AH'!A68</f>
        <v>Statement AH; Line 58</v>
      </c>
      <c r="H25" s="119">
        <f t="shared" si="1"/>
        <v>15</v>
      </c>
    </row>
    <row r="26" spans="1:10">
      <c r="A26" s="119">
        <f t="shared" si="0"/>
        <v>16</v>
      </c>
      <c r="B26" s="808"/>
      <c r="C26" s="204"/>
      <c r="D26" s="204"/>
      <c r="E26" s="449"/>
      <c r="F26" s="109"/>
      <c r="G26" s="70"/>
      <c r="H26" s="119">
        <f t="shared" si="1"/>
        <v>16</v>
      </c>
    </row>
    <row r="27" spans="1:10" ht="16.5" thickBot="1">
      <c r="A27" s="119">
        <f t="shared" si="0"/>
        <v>17</v>
      </c>
      <c r="B27" s="16" t="s">
        <v>694</v>
      </c>
      <c r="C27" s="204"/>
      <c r="D27" s="204"/>
      <c r="E27" s="1177">
        <f>E23*E25</f>
        <v>64847.453182617719</v>
      </c>
      <c r="G27" s="5" t="str">
        <f>"Line "&amp;A23&amp;" x Line "&amp;A25</f>
        <v>Line 13 x Line 15</v>
      </c>
      <c r="H27" s="119">
        <f t="shared" si="1"/>
        <v>17</v>
      </c>
    </row>
    <row r="28" spans="1:10" ht="17.25" thickTop="1" thickBot="1">
      <c r="A28" s="119">
        <f t="shared" si="0"/>
        <v>18</v>
      </c>
      <c r="B28" s="390"/>
      <c r="C28" s="385"/>
      <c r="D28" s="385"/>
      <c r="E28" s="384"/>
      <c r="F28" s="391"/>
      <c r="G28" s="392"/>
      <c r="H28" s="119">
        <f t="shared" si="1"/>
        <v>18</v>
      </c>
    </row>
    <row r="29" spans="1:10">
      <c r="A29" s="119">
        <f t="shared" si="0"/>
        <v>19</v>
      </c>
      <c r="C29" s="204"/>
      <c r="D29" s="204"/>
      <c r="H29" s="119">
        <f t="shared" si="1"/>
        <v>19</v>
      </c>
    </row>
    <row r="30" spans="1:10" ht="18.75">
      <c r="A30" s="119">
        <f t="shared" si="0"/>
        <v>20</v>
      </c>
      <c r="B30" s="136" t="s">
        <v>695</v>
      </c>
      <c r="C30" s="250" t="s">
        <v>986</v>
      </c>
      <c r="E30" s="358">
        <v>16775.911809999998</v>
      </c>
      <c r="F30" s="109"/>
      <c r="G30" s="4"/>
      <c r="H30" s="119">
        <f t="shared" si="1"/>
        <v>20</v>
      </c>
      <c r="J30" s="164"/>
    </row>
    <row r="31" spans="1:10">
      <c r="A31" s="119">
        <f t="shared" si="0"/>
        <v>21</v>
      </c>
      <c r="E31" s="347"/>
      <c r="F31" s="109"/>
      <c r="G31" s="4"/>
      <c r="H31" s="119">
        <f t="shared" si="1"/>
        <v>21</v>
      </c>
      <c r="J31" s="164"/>
    </row>
    <row r="32" spans="1:10">
      <c r="A32" s="119">
        <f t="shared" si="0"/>
        <v>22</v>
      </c>
      <c r="B32" s="388" t="s">
        <v>696</v>
      </c>
      <c r="C32" s="250" t="s">
        <v>1021</v>
      </c>
      <c r="E32" s="1006">
        <v>8.5544399999999996</v>
      </c>
      <c r="F32" s="109"/>
      <c r="G32" s="1245"/>
      <c r="H32" s="119">
        <f t="shared" si="1"/>
        <v>22</v>
      </c>
      <c r="J32" s="164"/>
    </row>
    <row r="33" spans="1:10">
      <c r="A33" s="119">
        <f t="shared" si="0"/>
        <v>23</v>
      </c>
      <c r="B33" s="388"/>
      <c r="E33" s="60"/>
      <c r="F33" s="109"/>
      <c r="G33" s="4"/>
      <c r="H33" s="119">
        <f t="shared" si="1"/>
        <v>23</v>
      </c>
      <c r="J33" s="164"/>
    </row>
    <row r="34" spans="1:10">
      <c r="A34" s="119">
        <f t="shared" si="0"/>
        <v>24</v>
      </c>
      <c r="B34" s="388" t="s">
        <v>697</v>
      </c>
      <c r="E34" s="60">
        <f>E30+E32</f>
        <v>16784.466249999998</v>
      </c>
      <c r="F34" s="109"/>
      <c r="G34" s="4" t="str">
        <f>"Line "&amp;A30&amp;" + Line "&amp;A32</f>
        <v>Line 20 + Line 22</v>
      </c>
      <c r="H34" s="119">
        <f t="shared" si="1"/>
        <v>24</v>
      </c>
      <c r="J34" s="164"/>
    </row>
    <row r="35" spans="1:10">
      <c r="A35" s="119">
        <f t="shared" si="0"/>
        <v>25</v>
      </c>
      <c r="E35" s="347"/>
      <c r="F35" s="109"/>
      <c r="G35" s="4"/>
      <c r="H35" s="119">
        <f t="shared" si="1"/>
        <v>25</v>
      </c>
    </row>
    <row r="36" spans="1:10">
      <c r="A36" s="119">
        <f t="shared" si="0"/>
        <v>26</v>
      </c>
      <c r="B36" s="136" t="s">
        <v>198</v>
      </c>
      <c r="E36" s="1031">
        <f>'Stmt AI'!E27</f>
        <v>0.10215928815161097</v>
      </c>
      <c r="F36" s="109"/>
      <c r="G36" s="4" t="str">
        <f>"Statement AI; Line "&amp;'Stmt AI'!A27</f>
        <v>Statement AI; Line 17</v>
      </c>
      <c r="H36" s="119">
        <f t="shared" si="1"/>
        <v>26</v>
      </c>
    </row>
    <row r="37" spans="1:10">
      <c r="A37" s="119">
        <f t="shared" si="0"/>
        <v>27</v>
      </c>
      <c r="E37" s="386"/>
      <c r="F37" s="109"/>
      <c r="G37" s="4"/>
      <c r="H37" s="119">
        <f t="shared" si="1"/>
        <v>27</v>
      </c>
    </row>
    <row r="38" spans="1:10" ht="16.5" thickBot="1">
      <c r="A38" s="119">
        <f t="shared" si="0"/>
        <v>28</v>
      </c>
      <c r="B38" s="136" t="s">
        <v>698</v>
      </c>
      <c r="E38" s="1178">
        <f>E34*E36</f>
        <v>1714.689124104739</v>
      </c>
      <c r="F38" s="109"/>
      <c r="G38" s="5" t="str">
        <f>"Line "&amp;A34&amp;" x Line "&amp;A36</f>
        <v>Line 24 x Line 26</v>
      </c>
      <c r="H38" s="119">
        <f t="shared" si="1"/>
        <v>28</v>
      </c>
    </row>
    <row r="39" spans="1:10" ht="16.5" thickTop="1">
      <c r="E39" s="387"/>
      <c r="F39" s="109"/>
      <c r="G39" s="774"/>
      <c r="H39" s="119"/>
      <c r="J39" s="250"/>
    </row>
    <row r="40" spans="1:10">
      <c r="B40" s="136" t="s">
        <v>186</v>
      </c>
      <c r="E40" s="347"/>
      <c r="F40" s="347"/>
      <c r="J40" s="204"/>
    </row>
    <row r="41" spans="1:10" ht="18.75">
      <c r="A41" s="135">
        <v>1</v>
      </c>
      <c r="B41" s="136" t="s">
        <v>1024</v>
      </c>
    </row>
    <row r="42" spans="1:10" ht="18.75">
      <c r="A42" s="135">
        <v>2</v>
      </c>
      <c r="B42" s="136" t="s">
        <v>987</v>
      </c>
    </row>
    <row r="43" spans="1:10" ht="18.75">
      <c r="A43" s="135">
        <v>3</v>
      </c>
      <c r="B43" s="136" t="s">
        <v>899</v>
      </c>
    </row>
    <row r="44" spans="1:10" ht="18.75">
      <c r="A44" s="135">
        <v>4</v>
      </c>
      <c r="B44" s="136" t="s">
        <v>1022</v>
      </c>
    </row>
    <row r="45" spans="1:10">
      <c r="A45"/>
      <c r="B45"/>
    </row>
    <row r="46" spans="1:10">
      <c r="A46"/>
      <c r="B46"/>
      <c r="C46" s="16"/>
    </row>
    <row r="47" spans="1:10">
      <c r="A47"/>
      <c r="B47"/>
      <c r="C47" s="16"/>
    </row>
    <row r="48" spans="1:10" ht="18.75">
      <c r="A48" s="135"/>
      <c r="B48" s="1218"/>
      <c r="C48" s="16"/>
    </row>
    <row r="49" spans="2:3">
      <c r="B49" s="1218"/>
      <c r="C49" s="16"/>
    </row>
    <row r="50" spans="2:3">
      <c r="B50" s="1218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2" orientation="portrait" r:id="rId1"/>
  <headerFooter scaleWithDoc="0">
    <oddFooter>&amp;C&amp;"Times New Roman,Regular"&amp;10AK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80" zoomScaleNormal="80" zoomScaleSheetLayoutView="70" zoomScalePageLayoutView="60" workbookViewId="0"/>
  </sheetViews>
  <sheetFormatPr defaultColWidth="9.140625" defaultRowHeight="15.75"/>
  <cols>
    <col min="1" max="1" width="5.140625" style="250" customWidth="1"/>
    <col min="2" max="2" width="12.5703125" style="219" customWidth="1"/>
    <col min="3" max="3" width="20" style="219" customWidth="1"/>
    <col min="4" max="7" width="21.5703125" style="219" customWidth="1"/>
    <col min="8" max="8" width="22.7109375" style="219" bestFit="1" customWidth="1"/>
    <col min="9" max="13" width="21.5703125" style="219" customWidth="1"/>
    <col min="14" max="14" width="5.140625" style="250" customWidth="1"/>
    <col min="15" max="15" width="13.5703125" style="219" customWidth="1"/>
    <col min="16" max="16" width="12.5703125" style="219" customWidth="1"/>
    <col min="17" max="16384" width="9.140625" style="219"/>
  </cols>
  <sheetData>
    <row r="1" spans="1:14">
      <c r="I1" s="240"/>
    </row>
    <row r="2" spans="1:14">
      <c r="B2" s="1299" t="str">
        <f>'Summary of Cost Components'!B2:D2</f>
        <v>SAN DIEGO GAS &amp; ELECTRIC COMPANY</v>
      </c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</row>
    <row r="3" spans="1:14">
      <c r="B3" s="1286" t="str">
        <f>'Summary of Cost Components'!B3:D3</f>
        <v>CITIZENS' SHARE OF THE SX-PQ UNDERGROUND LINE SEGMENT</v>
      </c>
      <c r="C3" s="1286"/>
      <c r="D3" s="1286"/>
      <c r="E3" s="1286"/>
      <c r="F3" s="1286"/>
      <c r="G3" s="1286"/>
      <c r="H3" s="1286"/>
      <c r="I3" s="1286"/>
      <c r="J3" s="1286"/>
      <c r="K3" s="1286"/>
      <c r="L3" s="1286"/>
      <c r="M3" s="1286"/>
      <c r="N3" s="1286"/>
    </row>
    <row r="4" spans="1:14">
      <c r="B4" s="1286" t="s">
        <v>101</v>
      </c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</row>
    <row r="5" spans="1:14">
      <c r="B5" s="1298" t="str">
        <f>"True-Up Period - January 1, "&amp;Automation!$B$3&amp;" to December 31, "&amp;Automation!$B$3</f>
        <v>True-Up Period - January 1, 2022 to December 31, 2022</v>
      </c>
      <c r="C5" s="1298"/>
      <c r="D5" s="1298"/>
      <c r="E5" s="1298"/>
      <c r="F5" s="1298"/>
      <c r="G5" s="1298"/>
      <c r="H5" s="1298"/>
      <c r="I5" s="1298"/>
      <c r="J5" s="1298"/>
      <c r="K5" s="1298"/>
      <c r="L5" s="1298"/>
      <c r="M5" s="1298"/>
      <c r="N5" s="1298"/>
    </row>
    <row r="6" spans="1:14">
      <c r="B6" s="1297" t="s">
        <v>3</v>
      </c>
      <c r="C6" s="1297"/>
      <c r="D6" s="1297"/>
      <c r="E6" s="1297"/>
      <c r="F6" s="1297"/>
      <c r="G6" s="1297"/>
      <c r="H6" s="1297"/>
      <c r="I6" s="1297"/>
      <c r="J6" s="1297"/>
      <c r="K6" s="1297"/>
      <c r="L6" s="1297"/>
      <c r="M6" s="1297"/>
      <c r="N6" s="556"/>
    </row>
    <row r="7" spans="1:14">
      <c r="A7" s="556"/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</row>
    <row r="8" spans="1:14">
      <c r="A8" s="250" t="s">
        <v>4</v>
      </c>
      <c r="B8" s="471"/>
      <c r="E8" s="425"/>
      <c r="F8" s="505"/>
      <c r="G8" s="505"/>
      <c r="N8" s="250" t="s">
        <v>4</v>
      </c>
    </row>
    <row r="9" spans="1:14">
      <c r="A9" s="250" t="s">
        <v>5</v>
      </c>
      <c r="B9" s="471"/>
      <c r="E9" s="425"/>
      <c r="F9" s="505"/>
      <c r="G9" s="505"/>
      <c r="N9" s="250" t="s">
        <v>5</v>
      </c>
    </row>
    <row r="10" spans="1:14">
      <c r="A10" s="250">
        <v>1</v>
      </c>
      <c r="E10" s="425"/>
      <c r="I10" s="717"/>
      <c r="J10" s="717"/>
      <c r="N10" s="250">
        <v>1</v>
      </c>
    </row>
    <row r="11" spans="1:14">
      <c r="A11" s="250">
        <f t="shared" ref="A11:A31" si="0">A10+1</f>
        <v>2</v>
      </c>
      <c r="C11" s="673" t="s">
        <v>102</v>
      </c>
      <c r="D11" s="673" t="s">
        <v>103</v>
      </c>
      <c r="E11" s="673" t="s">
        <v>104</v>
      </c>
      <c r="F11" s="673" t="s">
        <v>105</v>
      </c>
      <c r="G11" s="673" t="s">
        <v>106</v>
      </c>
      <c r="H11" s="673" t="s">
        <v>107</v>
      </c>
      <c r="I11" s="673" t="s">
        <v>108</v>
      </c>
      <c r="J11" s="673" t="s">
        <v>109</v>
      </c>
      <c r="K11" s="673" t="s">
        <v>110</v>
      </c>
      <c r="L11" s="673" t="s">
        <v>111</v>
      </c>
      <c r="M11" s="673" t="s">
        <v>112</v>
      </c>
      <c r="N11" s="250">
        <f t="shared" ref="N11:N31" si="1">N10+1</f>
        <v>2</v>
      </c>
    </row>
    <row r="12" spans="1:14">
      <c r="A12" s="250">
        <f t="shared" si="0"/>
        <v>3</v>
      </c>
      <c r="B12" s="425" t="s">
        <v>113</v>
      </c>
      <c r="C12" s="250"/>
      <c r="D12" s="250"/>
      <c r="E12" s="250"/>
      <c r="F12" s="250" t="str">
        <f>"= "&amp;F11&amp;"; Line "&amp;A31&amp;" / 12"</f>
        <v>= Col. 4; Line 22 / 12</v>
      </c>
      <c r="G12" s="250"/>
      <c r="H12" s="417" t="str">
        <f>"= Sum "&amp;E11&amp;" thru "&amp;G11</f>
        <v>= Sum Col. 3 thru Col. 5</v>
      </c>
      <c r="I12" s="417" t="str">
        <f>"= "&amp;D11&amp;" - "&amp;H11</f>
        <v>= Col. 2 - Col. 6</v>
      </c>
      <c r="J12" s="250"/>
      <c r="K12" s="250" t="str">
        <f>"See Footnote "&amp;A40</f>
        <v>See Footnote 6</v>
      </c>
      <c r="L12" s="250" t="str">
        <f>"See Footnote "&amp;A41</f>
        <v>See Footnote 7</v>
      </c>
      <c r="M12" s="417" t="str">
        <f>"= "&amp;K11&amp;" + "&amp;L11</f>
        <v>= Col. 9 + Col. 10</v>
      </c>
      <c r="N12" s="250">
        <f t="shared" si="1"/>
        <v>3</v>
      </c>
    </row>
    <row r="13" spans="1:14">
      <c r="A13" s="250">
        <f t="shared" si="0"/>
        <v>4</v>
      </c>
      <c r="B13" s="425"/>
      <c r="C13" s="250"/>
      <c r="D13" s="250"/>
      <c r="E13" s="250"/>
      <c r="F13" s="250"/>
      <c r="G13" s="250"/>
      <c r="H13" s="417"/>
      <c r="I13" s="417"/>
      <c r="J13" s="250"/>
      <c r="K13" s="250"/>
      <c r="L13" s="250"/>
      <c r="M13" s="417"/>
      <c r="N13" s="250">
        <f t="shared" si="1"/>
        <v>4</v>
      </c>
    </row>
    <row r="14" spans="1:14">
      <c r="A14" s="250">
        <f t="shared" si="0"/>
        <v>5</v>
      </c>
      <c r="C14" s="673"/>
      <c r="H14" s="556"/>
      <c r="K14" s="556" t="s">
        <v>114</v>
      </c>
      <c r="M14" s="556" t="s">
        <v>114</v>
      </c>
      <c r="N14" s="250">
        <f t="shared" si="1"/>
        <v>5</v>
      </c>
    </row>
    <row r="15" spans="1:14">
      <c r="A15" s="250">
        <f t="shared" si="0"/>
        <v>6</v>
      </c>
      <c r="C15" s="673"/>
      <c r="F15" s="556"/>
      <c r="G15" s="556"/>
      <c r="H15" s="556"/>
      <c r="I15" s="556" t="s">
        <v>115</v>
      </c>
      <c r="J15" s="556"/>
      <c r="K15" s="556" t="s">
        <v>116</v>
      </c>
      <c r="M15" s="556" t="s">
        <v>116</v>
      </c>
      <c r="N15" s="250">
        <f t="shared" si="1"/>
        <v>6</v>
      </c>
    </row>
    <row r="16" spans="1:14">
      <c r="A16" s="250">
        <f t="shared" si="0"/>
        <v>7</v>
      </c>
      <c r="C16" s="556"/>
      <c r="D16" s="556" t="s">
        <v>115</v>
      </c>
      <c r="E16" s="556" t="s">
        <v>115</v>
      </c>
      <c r="F16" s="556" t="s">
        <v>117</v>
      </c>
      <c r="G16" s="556"/>
      <c r="H16" s="556" t="s">
        <v>118</v>
      </c>
      <c r="I16" s="556" t="s">
        <v>116</v>
      </c>
      <c r="J16" s="556" t="s">
        <v>115</v>
      </c>
      <c r="K16" s="556" t="s">
        <v>119</v>
      </c>
      <c r="M16" s="556" t="s">
        <v>119</v>
      </c>
      <c r="N16" s="250">
        <f t="shared" si="1"/>
        <v>7</v>
      </c>
    </row>
    <row r="17" spans="1:17">
      <c r="A17" s="250">
        <f t="shared" si="0"/>
        <v>8</v>
      </c>
      <c r="C17" s="556"/>
      <c r="D17" s="556" t="s">
        <v>120</v>
      </c>
      <c r="E17" s="556" t="s">
        <v>120</v>
      </c>
      <c r="F17" s="556" t="s">
        <v>120</v>
      </c>
      <c r="G17" s="556" t="s">
        <v>121</v>
      </c>
      <c r="H17" s="556" t="s">
        <v>120</v>
      </c>
      <c r="I17" s="556" t="s">
        <v>119</v>
      </c>
      <c r="J17" s="556" t="s">
        <v>122</v>
      </c>
      <c r="K17" s="556" t="s">
        <v>123</v>
      </c>
      <c r="L17" s="556"/>
      <c r="M17" s="556" t="s">
        <v>123</v>
      </c>
      <c r="N17" s="250">
        <f t="shared" si="1"/>
        <v>8</v>
      </c>
    </row>
    <row r="18" spans="1:17" ht="18.75">
      <c r="A18" s="250">
        <f t="shared" si="0"/>
        <v>9</v>
      </c>
      <c r="B18" s="674" t="s">
        <v>124</v>
      </c>
      <c r="C18" s="674" t="s">
        <v>125</v>
      </c>
      <c r="D18" s="505" t="s">
        <v>126</v>
      </c>
      <c r="E18" s="505" t="s">
        <v>127</v>
      </c>
      <c r="F18" s="505" t="s">
        <v>128</v>
      </c>
      <c r="G18" s="505" t="s">
        <v>129</v>
      </c>
      <c r="H18" s="505" t="s">
        <v>130</v>
      </c>
      <c r="I18" s="505" t="s">
        <v>123</v>
      </c>
      <c r="J18" s="505" t="s">
        <v>131</v>
      </c>
      <c r="K18" s="505" t="s">
        <v>132</v>
      </c>
      <c r="L18" s="505" t="s">
        <v>122</v>
      </c>
      <c r="M18" s="505" t="s">
        <v>133</v>
      </c>
      <c r="N18" s="250">
        <f t="shared" si="1"/>
        <v>9</v>
      </c>
    </row>
    <row r="19" spans="1:17">
      <c r="A19" s="250">
        <f t="shared" si="0"/>
        <v>10</v>
      </c>
      <c r="B19" s="18" t="s">
        <v>134</v>
      </c>
      <c r="C19" s="676" t="str">
        <f>RIGHT(B5,4)</f>
        <v>2022</v>
      </c>
      <c r="D19" s="479">
        <f>'Summary of Cost Components'!C$40</f>
        <v>72.732781080766571</v>
      </c>
      <c r="E19" s="479">
        <f>'D2. Sec.4 - C4 Invoice Summary'!$C$48</f>
        <v>52.073825643041147</v>
      </c>
      <c r="F19" s="479">
        <f>-('D2. Sec.4 - C4 Invoice Summary'!$C$42+'D2. Sec.4 - C4 Invoice Summary'!$C$44)</f>
        <v>10.982152405159342</v>
      </c>
      <c r="G19" s="479">
        <f>-'D2. Sec.4 - C4 Invoice Summary'!$C$46</f>
        <v>2.2002672155239105</v>
      </c>
      <c r="H19" s="677">
        <f>SUM(E19:G19)</f>
        <v>65.256245263724395</v>
      </c>
      <c r="I19" s="478">
        <f>D19-H19</f>
        <v>7.4765358170421763</v>
      </c>
      <c r="J19" s="718">
        <v>2.8E-3</v>
      </c>
      <c r="K19" s="406">
        <f>I19</f>
        <v>7.4765358170421763</v>
      </c>
      <c r="L19" s="1221">
        <f>(I19/2)*J19</f>
        <v>1.0467150143859046E-2</v>
      </c>
      <c r="M19" s="719">
        <f t="shared" ref="M19:M30" si="2">K19+L19</f>
        <v>7.4870029671860356</v>
      </c>
      <c r="N19" s="250">
        <f t="shared" si="1"/>
        <v>10</v>
      </c>
      <c r="O19" s="164"/>
    </row>
    <row r="20" spans="1:17">
      <c r="A20" s="250">
        <f t="shared" si="0"/>
        <v>11</v>
      </c>
      <c r="B20" s="18" t="s">
        <v>135</v>
      </c>
      <c r="C20" s="676" t="str">
        <f>C19</f>
        <v>2022</v>
      </c>
      <c r="D20" s="720">
        <f>$D$19</f>
        <v>72.732781080766571</v>
      </c>
      <c r="E20" s="496">
        <f>$E$19</f>
        <v>52.073825643041147</v>
      </c>
      <c r="F20" s="496">
        <f>$F$19</f>
        <v>10.982152405159342</v>
      </c>
      <c r="G20" s="496">
        <f>$G$19</f>
        <v>2.2002672155239105</v>
      </c>
      <c r="H20" s="679">
        <f>SUM(E20:G20)</f>
        <v>65.256245263724395</v>
      </c>
      <c r="I20" s="496">
        <f t="shared" ref="I20:I30" si="3">D20-H20</f>
        <v>7.4765358170421763</v>
      </c>
      <c r="J20" s="718">
        <v>2.5000000000000001E-3</v>
      </c>
      <c r="K20" s="721">
        <f>M19+I20</f>
        <v>14.963538784228213</v>
      </c>
      <c r="L20" s="1222">
        <f t="shared" ref="L20:L30" si="4">(M19+K20)/2*J20</f>
        <v>2.8063177189267811E-2</v>
      </c>
      <c r="M20" s="722">
        <f t="shared" si="2"/>
        <v>14.99160196141748</v>
      </c>
      <c r="N20" s="250">
        <f t="shared" si="1"/>
        <v>11</v>
      </c>
      <c r="O20" s="504"/>
    </row>
    <row r="21" spans="1:17">
      <c r="A21" s="250">
        <f t="shared" si="0"/>
        <v>12</v>
      </c>
      <c r="B21" s="18" t="s">
        <v>136</v>
      </c>
      <c r="C21" s="676" t="str">
        <f>C19</f>
        <v>2022</v>
      </c>
      <c r="D21" s="720">
        <f t="shared" ref="D21:D30" si="5">$D$19</f>
        <v>72.732781080766571</v>
      </c>
      <c r="E21" s="496">
        <f t="shared" ref="E21:E30" si="6">$E$19</f>
        <v>52.073825643041147</v>
      </c>
      <c r="F21" s="496">
        <f t="shared" ref="F21:F30" si="7">$F$19</f>
        <v>10.982152405159342</v>
      </c>
      <c r="G21" s="496">
        <f t="shared" ref="G21:G30" si="8">$G$19</f>
        <v>2.2002672155239105</v>
      </c>
      <c r="H21" s="679">
        <f t="shared" ref="H21:H29" si="9">SUM(E21:G21)</f>
        <v>65.256245263724395</v>
      </c>
      <c r="I21" s="496">
        <f t="shared" si="3"/>
        <v>7.4765358170421763</v>
      </c>
      <c r="J21" s="718">
        <v>2.8E-3</v>
      </c>
      <c r="K21" s="721">
        <f t="shared" ref="K21:K30" si="10">M20+I21</f>
        <v>22.468137778459656</v>
      </c>
      <c r="L21" s="1222">
        <f>(M20+K21)/2*J21</f>
        <v>5.244363563582799E-2</v>
      </c>
      <c r="M21" s="722">
        <f t="shared" si="2"/>
        <v>22.520581414095485</v>
      </c>
      <c r="N21" s="250">
        <f t="shared" si="1"/>
        <v>12</v>
      </c>
      <c r="O21" s="504"/>
    </row>
    <row r="22" spans="1:17">
      <c r="A22" s="250">
        <f t="shared" si="0"/>
        <v>13</v>
      </c>
      <c r="B22" s="18" t="s">
        <v>137</v>
      </c>
      <c r="C22" s="676" t="str">
        <f>C19</f>
        <v>2022</v>
      </c>
      <c r="D22" s="720">
        <f t="shared" si="5"/>
        <v>72.732781080766571</v>
      </c>
      <c r="E22" s="496">
        <f t="shared" si="6"/>
        <v>52.073825643041147</v>
      </c>
      <c r="F22" s="496">
        <f t="shared" si="7"/>
        <v>10.982152405159342</v>
      </c>
      <c r="G22" s="496">
        <f t="shared" si="8"/>
        <v>2.2002672155239105</v>
      </c>
      <c r="H22" s="679">
        <f t="shared" si="9"/>
        <v>65.256245263724395</v>
      </c>
      <c r="I22" s="496">
        <f>D22-H22</f>
        <v>7.4765358170421763</v>
      </c>
      <c r="J22" s="718">
        <v>2.7000000000000001E-3</v>
      </c>
      <c r="K22" s="721">
        <f t="shared" si="10"/>
        <v>29.997117231137661</v>
      </c>
      <c r="L22" s="1222">
        <f>(M21+K22)/2*J22</f>
        <v>7.089889317106475E-2</v>
      </c>
      <c r="M22" s="722">
        <f t="shared" si="2"/>
        <v>30.068016124308727</v>
      </c>
      <c r="N22" s="250">
        <f t="shared" si="1"/>
        <v>13</v>
      </c>
      <c r="O22" s="504"/>
      <c r="Q22" s="723"/>
    </row>
    <row r="23" spans="1:17">
      <c r="A23" s="250">
        <f t="shared" si="0"/>
        <v>14</v>
      </c>
      <c r="B23" s="18" t="s">
        <v>138</v>
      </c>
      <c r="C23" s="676" t="str">
        <f>C19</f>
        <v>2022</v>
      </c>
      <c r="D23" s="720">
        <f t="shared" si="5"/>
        <v>72.732781080766571</v>
      </c>
      <c r="E23" s="496">
        <f t="shared" si="6"/>
        <v>52.073825643041147</v>
      </c>
      <c r="F23" s="496">
        <f t="shared" si="7"/>
        <v>10.982152405159342</v>
      </c>
      <c r="G23" s="496">
        <f t="shared" si="8"/>
        <v>2.2002672155239105</v>
      </c>
      <c r="H23" s="679">
        <f t="shared" si="9"/>
        <v>65.256245263724395</v>
      </c>
      <c r="I23" s="496">
        <f t="shared" si="3"/>
        <v>7.4765358170421763</v>
      </c>
      <c r="J23" s="718">
        <v>2.8E-3</v>
      </c>
      <c r="K23" s="721">
        <f t="shared" si="10"/>
        <v>37.544551941350903</v>
      </c>
      <c r="L23" s="1222">
        <f t="shared" si="4"/>
        <v>9.4657595291923483E-2</v>
      </c>
      <c r="M23" s="722">
        <f t="shared" si="2"/>
        <v>37.639209536642824</v>
      </c>
      <c r="N23" s="250">
        <f t="shared" si="1"/>
        <v>14</v>
      </c>
      <c r="O23" s="504"/>
    </row>
    <row r="24" spans="1:17">
      <c r="A24" s="250">
        <f t="shared" si="0"/>
        <v>15</v>
      </c>
      <c r="B24" s="18" t="s">
        <v>139</v>
      </c>
      <c r="C24" s="676" t="str">
        <f>C19</f>
        <v>2022</v>
      </c>
      <c r="D24" s="720">
        <f t="shared" si="5"/>
        <v>72.732781080766571</v>
      </c>
      <c r="E24" s="496">
        <f t="shared" si="6"/>
        <v>52.073825643041147</v>
      </c>
      <c r="F24" s="496">
        <f t="shared" si="7"/>
        <v>10.982152405159342</v>
      </c>
      <c r="G24" s="496">
        <f t="shared" si="8"/>
        <v>2.2002672155239105</v>
      </c>
      <c r="H24" s="679">
        <f t="shared" si="9"/>
        <v>65.256245263724395</v>
      </c>
      <c r="I24" s="496">
        <f t="shared" si="3"/>
        <v>7.4765358170421763</v>
      </c>
      <c r="J24" s="718">
        <v>2.7000000000000001E-3</v>
      </c>
      <c r="K24" s="721">
        <f t="shared" si="10"/>
        <v>45.115745353685</v>
      </c>
      <c r="L24" s="1222">
        <f>(M23+K24)/2*J24</f>
        <v>0.11171918910194256</v>
      </c>
      <c r="M24" s="722">
        <f t="shared" si="2"/>
        <v>45.22746454278694</v>
      </c>
      <c r="N24" s="250">
        <f t="shared" si="1"/>
        <v>15</v>
      </c>
      <c r="O24" s="504"/>
    </row>
    <row r="25" spans="1:17">
      <c r="A25" s="250">
        <f t="shared" si="0"/>
        <v>16</v>
      </c>
      <c r="B25" s="18" t="s">
        <v>140</v>
      </c>
      <c r="C25" s="676" t="str">
        <f>C19</f>
        <v>2022</v>
      </c>
      <c r="D25" s="720">
        <f t="shared" si="5"/>
        <v>72.732781080766571</v>
      </c>
      <c r="E25" s="496">
        <f t="shared" si="6"/>
        <v>52.073825643041147</v>
      </c>
      <c r="F25" s="496">
        <f t="shared" si="7"/>
        <v>10.982152405159342</v>
      </c>
      <c r="G25" s="496">
        <f t="shared" si="8"/>
        <v>2.2002672155239105</v>
      </c>
      <c r="H25" s="679">
        <f t="shared" si="9"/>
        <v>65.256245263724395</v>
      </c>
      <c r="I25" s="496">
        <f t="shared" si="3"/>
        <v>7.4765358170421763</v>
      </c>
      <c r="J25" s="718">
        <v>3.0999999999999999E-3</v>
      </c>
      <c r="K25" s="721">
        <f t="shared" si="10"/>
        <v>52.704000359829116</v>
      </c>
      <c r="L25" s="1222">
        <f t="shared" si="4"/>
        <v>0.15179377059905488</v>
      </c>
      <c r="M25" s="722">
        <f t="shared" si="2"/>
        <v>52.855794130428173</v>
      </c>
      <c r="N25" s="250">
        <f t="shared" si="1"/>
        <v>16</v>
      </c>
      <c r="O25" s="504"/>
    </row>
    <row r="26" spans="1:17">
      <c r="A26" s="250">
        <f t="shared" si="0"/>
        <v>17</v>
      </c>
      <c r="B26" s="18" t="s">
        <v>141</v>
      </c>
      <c r="C26" s="676" t="str">
        <f>C19</f>
        <v>2022</v>
      </c>
      <c r="D26" s="720">
        <f t="shared" si="5"/>
        <v>72.732781080766571</v>
      </c>
      <c r="E26" s="496">
        <f t="shared" si="6"/>
        <v>52.073825643041147</v>
      </c>
      <c r="F26" s="496">
        <f t="shared" si="7"/>
        <v>10.982152405159342</v>
      </c>
      <c r="G26" s="496">
        <f t="shared" si="8"/>
        <v>2.2002672155239105</v>
      </c>
      <c r="H26" s="679">
        <f t="shared" si="9"/>
        <v>65.256245263724395</v>
      </c>
      <c r="I26" s="496">
        <f t="shared" si="3"/>
        <v>7.4765358170421763</v>
      </c>
      <c r="J26" s="718">
        <v>3.0999999999999999E-3</v>
      </c>
      <c r="K26" s="721">
        <f t="shared" si="10"/>
        <v>60.332329947470349</v>
      </c>
      <c r="L26" s="1222">
        <f t="shared" si="4"/>
        <v>0.17544159232074269</v>
      </c>
      <c r="M26" s="722">
        <f t="shared" si="2"/>
        <v>60.507771539791094</v>
      </c>
      <c r="N26" s="250">
        <f t="shared" si="1"/>
        <v>17</v>
      </c>
      <c r="O26" s="504"/>
    </row>
    <row r="27" spans="1:17">
      <c r="A27" s="250">
        <f t="shared" si="0"/>
        <v>18</v>
      </c>
      <c r="B27" s="18" t="s">
        <v>142</v>
      </c>
      <c r="C27" s="676" t="str">
        <f>C19</f>
        <v>2022</v>
      </c>
      <c r="D27" s="720">
        <f t="shared" si="5"/>
        <v>72.732781080766571</v>
      </c>
      <c r="E27" s="496">
        <f t="shared" si="6"/>
        <v>52.073825643041147</v>
      </c>
      <c r="F27" s="496">
        <f t="shared" si="7"/>
        <v>10.982152405159342</v>
      </c>
      <c r="G27" s="496">
        <f t="shared" si="8"/>
        <v>2.2002672155239105</v>
      </c>
      <c r="H27" s="679">
        <f t="shared" si="9"/>
        <v>65.256245263724395</v>
      </c>
      <c r="I27" s="496">
        <f t="shared" si="3"/>
        <v>7.4765358170421763</v>
      </c>
      <c r="J27" s="718">
        <v>3.0000000000000001E-3</v>
      </c>
      <c r="K27" s="721">
        <f t="shared" si="10"/>
        <v>67.98430735683327</v>
      </c>
      <c r="L27" s="1222">
        <f t="shared" si="4"/>
        <v>0.19273811834493657</v>
      </c>
      <c r="M27" s="722">
        <f t="shared" si="2"/>
        <v>68.177045475178204</v>
      </c>
      <c r="N27" s="250">
        <f t="shared" si="1"/>
        <v>18</v>
      </c>
      <c r="O27" s="504"/>
    </row>
    <row r="28" spans="1:17">
      <c r="A28" s="250">
        <f t="shared" si="0"/>
        <v>19</v>
      </c>
      <c r="B28" s="18" t="s">
        <v>143</v>
      </c>
      <c r="C28" s="676" t="str">
        <f>C19</f>
        <v>2022</v>
      </c>
      <c r="D28" s="720">
        <f t="shared" si="5"/>
        <v>72.732781080766571</v>
      </c>
      <c r="E28" s="496">
        <f t="shared" si="6"/>
        <v>52.073825643041147</v>
      </c>
      <c r="F28" s="496">
        <f t="shared" si="7"/>
        <v>10.982152405159342</v>
      </c>
      <c r="G28" s="496">
        <f t="shared" si="8"/>
        <v>2.2002672155239105</v>
      </c>
      <c r="H28" s="679">
        <f t="shared" si="9"/>
        <v>65.256245263724395</v>
      </c>
      <c r="I28" s="496">
        <f t="shared" si="3"/>
        <v>7.4765358170421763</v>
      </c>
      <c r="J28" s="718">
        <v>4.1999999999999997E-3</v>
      </c>
      <c r="K28" s="721">
        <f t="shared" si="10"/>
        <v>75.65358129222038</v>
      </c>
      <c r="L28" s="1222">
        <f t="shared" si="4"/>
        <v>0.30204431621153705</v>
      </c>
      <c r="M28" s="722">
        <f t="shared" si="2"/>
        <v>75.955625608431916</v>
      </c>
      <c r="N28" s="250">
        <f t="shared" si="1"/>
        <v>19</v>
      </c>
      <c r="O28" s="504"/>
    </row>
    <row r="29" spans="1:17">
      <c r="A29" s="250">
        <f t="shared" si="0"/>
        <v>20</v>
      </c>
      <c r="B29" s="18" t="s">
        <v>144</v>
      </c>
      <c r="C29" s="676" t="str">
        <f>C19</f>
        <v>2022</v>
      </c>
      <c r="D29" s="720">
        <f t="shared" si="5"/>
        <v>72.732781080766571</v>
      </c>
      <c r="E29" s="496">
        <f t="shared" si="6"/>
        <v>52.073825643041147</v>
      </c>
      <c r="F29" s="496">
        <f t="shared" si="7"/>
        <v>10.982152405159342</v>
      </c>
      <c r="G29" s="496">
        <f t="shared" si="8"/>
        <v>2.2002672155239105</v>
      </c>
      <c r="H29" s="679">
        <f t="shared" si="9"/>
        <v>65.256245263724395</v>
      </c>
      <c r="I29" s="496">
        <f t="shared" si="3"/>
        <v>7.4765358170421763</v>
      </c>
      <c r="J29" s="718">
        <v>4.0000000000000001E-3</v>
      </c>
      <c r="K29" s="721">
        <f t="shared" si="10"/>
        <v>83.432161425474092</v>
      </c>
      <c r="L29" s="1222">
        <f t="shared" si="4"/>
        <v>0.31877557406781204</v>
      </c>
      <c r="M29" s="722">
        <f t="shared" si="2"/>
        <v>83.750936999541906</v>
      </c>
      <c r="N29" s="250">
        <f t="shared" si="1"/>
        <v>20</v>
      </c>
      <c r="O29" s="504"/>
    </row>
    <row r="30" spans="1:17">
      <c r="A30" s="250">
        <f t="shared" si="0"/>
        <v>21</v>
      </c>
      <c r="B30" s="955" t="s">
        <v>145</v>
      </c>
      <c r="C30" s="956" t="str">
        <f>C19</f>
        <v>2022</v>
      </c>
      <c r="D30" s="720">
        <f t="shared" si="5"/>
        <v>72.732781080766571</v>
      </c>
      <c r="E30" s="496">
        <f t="shared" si="6"/>
        <v>52.073825643041147</v>
      </c>
      <c r="F30" s="496">
        <f t="shared" si="7"/>
        <v>10.982152405159342</v>
      </c>
      <c r="G30" s="496">
        <f t="shared" si="8"/>
        <v>2.2002672155239105</v>
      </c>
      <c r="H30" s="957">
        <f>SUM(E30:G30)</f>
        <v>65.256245263724395</v>
      </c>
      <c r="I30" s="953">
        <f t="shared" si="3"/>
        <v>7.4765358170421763</v>
      </c>
      <c r="J30" s="958">
        <v>4.1999999999999997E-3</v>
      </c>
      <c r="K30" s="959">
        <f t="shared" si="10"/>
        <v>91.227472816584083</v>
      </c>
      <c r="L30" s="1223">
        <f t="shared" si="4"/>
        <v>0.3674546606138645</v>
      </c>
      <c r="M30" s="957">
        <f t="shared" si="2"/>
        <v>91.594927477197942</v>
      </c>
      <c r="N30" s="250">
        <f t="shared" si="1"/>
        <v>21</v>
      </c>
      <c r="O30" s="504"/>
    </row>
    <row r="31" spans="1:17" ht="16.5" thickBot="1">
      <c r="A31" s="250">
        <f t="shared" si="0"/>
        <v>22</v>
      </c>
      <c r="D31" s="724">
        <f t="shared" ref="D31:I31" si="11">SUM(D19:D30)</f>
        <v>872.79337296919891</v>
      </c>
      <c r="E31" s="724">
        <f t="shared" si="11"/>
        <v>624.88590771649353</v>
      </c>
      <c r="F31" s="724">
        <f t="shared" si="11"/>
        <v>131.78582886191211</v>
      </c>
      <c r="G31" s="724">
        <f t="shared" si="11"/>
        <v>26.403206586286931</v>
      </c>
      <c r="H31" s="724">
        <f t="shared" si="11"/>
        <v>783.07494316469274</v>
      </c>
      <c r="I31" s="724">
        <f t="shared" si="11"/>
        <v>89.718429804506115</v>
      </c>
      <c r="J31" s="725"/>
      <c r="K31" s="726"/>
      <c r="L31" s="1224">
        <f>SUM(L19:L30)</f>
        <v>1.8764976726918334</v>
      </c>
      <c r="M31" s="726"/>
      <c r="N31" s="250">
        <f t="shared" si="1"/>
        <v>22</v>
      </c>
    </row>
    <row r="32" spans="1:17" ht="16.5" thickTop="1">
      <c r="D32" s="727"/>
      <c r="E32" s="727"/>
      <c r="F32" s="727"/>
      <c r="G32" s="727"/>
      <c r="H32" s="727"/>
      <c r="I32" s="727"/>
      <c r="J32" s="727"/>
      <c r="K32" s="727"/>
      <c r="L32" s="727"/>
      <c r="M32" s="727"/>
    </row>
    <row r="33" spans="1:7">
      <c r="B33" s="728"/>
      <c r="F33" s="729"/>
      <c r="G33" s="729"/>
    </row>
    <row r="34" spans="1:7" ht="18.75">
      <c r="A34" s="682">
        <v>1</v>
      </c>
      <c r="B34" s="219" t="s">
        <v>897</v>
      </c>
      <c r="F34" s="729"/>
      <c r="G34" s="729"/>
    </row>
    <row r="35" spans="1:7" ht="18.75">
      <c r="A35" s="682">
        <v>2</v>
      </c>
      <c r="B35" s="219" t="s">
        <v>146</v>
      </c>
    </row>
    <row r="36" spans="1:7" ht="18.75">
      <c r="A36" s="682">
        <v>3</v>
      </c>
      <c r="B36" s="219" t="s">
        <v>147</v>
      </c>
    </row>
    <row r="37" spans="1:7" ht="18.75">
      <c r="A37" s="682">
        <v>4</v>
      </c>
      <c r="B37" s="219" t="s">
        <v>148</v>
      </c>
    </row>
    <row r="38" spans="1:7" ht="18.75">
      <c r="A38" s="682"/>
      <c r="B38" s="219" t="s">
        <v>149</v>
      </c>
    </row>
    <row r="39" spans="1:7" ht="18.75">
      <c r="A39" s="682">
        <v>5</v>
      </c>
      <c r="B39" s="219" t="s">
        <v>150</v>
      </c>
      <c r="C39" s="240"/>
    </row>
    <row r="40" spans="1:7" ht="18.75">
      <c r="A40" s="682">
        <v>6</v>
      </c>
      <c r="B40" s="219" t="s">
        <v>151</v>
      </c>
    </row>
    <row r="41" spans="1:7" ht="18.75">
      <c r="A41" s="682">
        <v>7</v>
      </c>
      <c r="B41" s="219" t="s">
        <v>152</v>
      </c>
    </row>
  </sheetData>
  <mergeCells count="5">
    <mergeCell ref="B6:M6"/>
    <mergeCell ref="B4:N4"/>
    <mergeCell ref="B5:N5"/>
    <mergeCell ref="B3:N3"/>
    <mergeCell ref="B2:N2"/>
  </mergeCells>
  <printOptions horizontalCentered="1"/>
  <pageMargins left="0.5" right="0.5" top="0.5" bottom="0.5" header="0.25" footer="0.25"/>
  <pageSetup scale="49" orientation="landscape" r:id="rId1"/>
  <headerFooter scaleWithDoc="0">
    <oddFooter>&amp;C&amp;"Times New Roman,Regular"&amp;10Section 4
TU</oddFooter>
  </headerFooter>
  <rowBreaks count="1" manualBreakCount="1">
    <brk id="48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4"/>
  <sheetViews>
    <sheetView zoomScale="80" zoomScaleNormal="80" zoomScalePageLayoutView="80" workbookViewId="0"/>
  </sheetViews>
  <sheetFormatPr defaultColWidth="8.7109375" defaultRowHeight="15.75"/>
  <cols>
    <col min="1" max="1" width="5.140625" style="119" bestFit="1" customWidth="1"/>
    <col min="2" max="2" width="68.7109375" style="136" customWidth="1"/>
    <col min="3" max="3" width="25.85546875" style="355" bestFit="1" customWidth="1"/>
    <col min="4" max="4" width="1.5703125" style="136" customWidth="1"/>
    <col min="5" max="5" width="16.7109375" style="136" customWidth="1"/>
    <col min="6" max="6" width="1.5703125" style="136" customWidth="1"/>
    <col min="7" max="7" width="16.7109375" style="136" customWidth="1"/>
    <col min="8" max="8" width="1.5703125" style="136" customWidth="1"/>
    <col min="9" max="9" width="37.7109375" style="136" customWidth="1"/>
    <col min="10" max="10" width="5.140625" style="136" customWidth="1"/>
    <col min="11" max="16384" width="8.7109375" style="136"/>
  </cols>
  <sheetData>
    <row r="1" spans="1:10">
      <c r="H1" s="119"/>
      <c r="I1" s="119"/>
      <c r="J1" s="119"/>
    </row>
    <row r="2" spans="1:10">
      <c r="B2" s="1305" t="s">
        <v>0</v>
      </c>
      <c r="C2" s="1321"/>
      <c r="D2" s="1321"/>
      <c r="E2" s="1321"/>
      <c r="F2" s="1321"/>
      <c r="G2" s="1321"/>
      <c r="H2" s="1321"/>
      <c r="I2" s="1321"/>
      <c r="J2" s="109"/>
    </row>
    <row r="3" spans="1:10">
      <c r="B3" s="1305" t="s">
        <v>699</v>
      </c>
      <c r="C3" s="1321"/>
      <c r="D3" s="1321"/>
      <c r="E3" s="1321"/>
      <c r="F3" s="1321"/>
      <c r="G3" s="1321"/>
      <c r="H3" s="1321"/>
      <c r="I3" s="1321"/>
      <c r="J3" s="109"/>
    </row>
    <row r="4" spans="1:10">
      <c r="B4" s="1305" t="s">
        <v>700</v>
      </c>
      <c r="C4" s="1321"/>
      <c r="D4" s="1321"/>
      <c r="E4" s="1321"/>
      <c r="F4" s="1321"/>
      <c r="G4" s="1321"/>
      <c r="H4" s="1321"/>
      <c r="I4" s="1321"/>
      <c r="J4" s="109"/>
    </row>
    <row r="5" spans="1:10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  <c r="H5" s="1307"/>
      <c r="I5" s="1307"/>
      <c r="J5" s="109"/>
    </row>
    <row r="6" spans="1:10">
      <c r="B6" s="1309" t="s">
        <v>3</v>
      </c>
      <c r="C6" s="1309"/>
      <c r="D6" s="1309"/>
      <c r="E6" s="1309"/>
      <c r="F6" s="1309"/>
      <c r="G6" s="1309"/>
      <c r="H6" s="1309"/>
      <c r="I6" s="1309"/>
      <c r="J6" s="110"/>
    </row>
    <row r="7" spans="1:10">
      <c r="B7" s="119"/>
      <c r="D7" s="119"/>
      <c r="E7" s="119"/>
      <c r="F7" s="119"/>
      <c r="G7" s="119"/>
      <c r="H7" s="109"/>
      <c r="I7" s="109"/>
      <c r="J7" s="109"/>
    </row>
    <row r="8" spans="1:10">
      <c r="A8" s="119" t="s">
        <v>4</v>
      </c>
      <c r="B8" s="109"/>
      <c r="C8" s="250" t="s">
        <v>189</v>
      </c>
      <c r="D8" s="119"/>
      <c r="E8" s="119" t="s">
        <v>701</v>
      </c>
      <c r="F8" s="119"/>
      <c r="G8" s="119" t="s">
        <v>702</v>
      </c>
      <c r="H8" s="109"/>
      <c r="I8" s="109"/>
      <c r="J8" s="119" t="s">
        <v>4</v>
      </c>
    </row>
    <row r="9" spans="1:10">
      <c r="A9" s="119" t="s">
        <v>5</v>
      </c>
      <c r="B9" s="109"/>
      <c r="C9" s="1003" t="s">
        <v>191</v>
      </c>
      <c r="D9" s="109"/>
      <c r="E9" s="1017" t="s">
        <v>703</v>
      </c>
      <c r="F9" s="109"/>
      <c r="G9" s="1017" t="s">
        <v>192</v>
      </c>
      <c r="H9" s="109"/>
      <c r="I9" s="1018" t="s">
        <v>8</v>
      </c>
      <c r="J9" s="119" t="s">
        <v>5</v>
      </c>
    </row>
    <row r="10" spans="1:10">
      <c r="B10" s="119"/>
      <c r="D10" s="119"/>
      <c r="E10" s="119"/>
      <c r="F10" s="119"/>
      <c r="G10" s="119"/>
      <c r="H10" s="119"/>
      <c r="I10" s="119"/>
      <c r="J10" s="119"/>
    </row>
    <row r="11" spans="1:10" ht="18.75">
      <c r="A11" s="119">
        <v>1</v>
      </c>
      <c r="B11" s="136" t="s">
        <v>923</v>
      </c>
      <c r="C11" s="250" t="s">
        <v>1025</v>
      </c>
      <c r="E11" s="356"/>
      <c r="F11" s="357"/>
      <c r="G11" s="358">
        <f>'AL-1'!C32</f>
        <v>119083.67499999999</v>
      </c>
      <c r="H11" s="357"/>
      <c r="I11" s="359" t="str">
        <f>"AL-1; Line "&amp;'AL-1'!A32</f>
        <v>AL-1; Line 18</v>
      </c>
      <c r="J11" s="119">
        <f>A11</f>
        <v>1</v>
      </c>
    </row>
    <row r="12" spans="1:10">
      <c r="A12" s="119">
        <f>+A11+1</f>
        <v>2</v>
      </c>
      <c r="C12" s="119"/>
      <c r="E12" s="347"/>
      <c r="F12" s="360"/>
      <c r="G12" s="360"/>
      <c r="H12" s="360"/>
      <c r="I12" s="359"/>
      <c r="J12" s="119">
        <f>+J11+1</f>
        <v>2</v>
      </c>
    </row>
    <row r="13" spans="1:10">
      <c r="A13" s="119">
        <f t="shared" ref="A13:A29" si="0">+A12+1</f>
        <v>3</v>
      </c>
      <c r="B13" s="136" t="s">
        <v>704</v>
      </c>
      <c r="C13" s="119"/>
      <c r="E13" s="361"/>
      <c r="F13" s="362"/>
      <c r="G13" s="1019">
        <f>'Stmt AD'!I45</f>
        <v>0.38312798674244081</v>
      </c>
      <c r="H13" s="357"/>
      <c r="I13" s="359" t="str">
        <f>"Statement AD; Line "&amp;'Stmt AD'!A45</f>
        <v>Statement AD; Line 35</v>
      </c>
      <c r="J13" s="119">
        <f t="shared" ref="J13:J29" si="1">+J12+1</f>
        <v>3</v>
      </c>
    </row>
    <row r="14" spans="1:10">
      <c r="A14" s="119">
        <f t="shared" si="0"/>
        <v>4</v>
      </c>
      <c r="C14" s="119"/>
      <c r="E14" s="347"/>
      <c r="F14" s="360"/>
      <c r="G14" s="347"/>
      <c r="H14" s="360"/>
      <c r="I14" s="359"/>
      <c r="J14" s="119">
        <f t="shared" si="1"/>
        <v>4</v>
      </c>
    </row>
    <row r="15" spans="1:10" ht="16.5" thickBot="1">
      <c r="A15" s="119">
        <f t="shared" si="0"/>
        <v>5</v>
      </c>
      <c r="B15" s="136" t="s">
        <v>705</v>
      </c>
      <c r="C15" s="119"/>
      <c r="E15" s="363"/>
      <c r="F15" s="360"/>
      <c r="G15" s="364">
        <f>G11*G13</f>
        <v>45624.288656641125</v>
      </c>
      <c r="H15" s="357"/>
      <c r="I15" s="359" t="str">
        <f>"Line "&amp;A11&amp;" x Line "&amp;A13</f>
        <v>Line 1 x Line 3</v>
      </c>
      <c r="J15" s="119">
        <f t="shared" si="1"/>
        <v>5</v>
      </c>
    </row>
    <row r="16" spans="1:10" ht="16.5" thickTop="1">
      <c r="A16" s="119">
        <f t="shared" si="0"/>
        <v>6</v>
      </c>
      <c r="C16" s="119"/>
      <c r="E16" s="183"/>
      <c r="F16" s="119"/>
      <c r="G16" s="119"/>
      <c r="H16" s="119"/>
      <c r="I16" s="359"/>
      <c r="J16" s="119">
        <f t="shared" si="1"/>
        <v>6</v>
      </c>
    </row>
    <row r="17" spans="1:11" ht="18.75">
      <c r="A17" s="119">
        <f t="shared" si="0"/>
        <v>7</v>
      </c>
      <c r="B17" s="219" t="s">
        <v>1006</v>
      </c>
      <c r="C17" s="119" t="s">
        <v>1026</v>
      </c>
      <c r="D17" s="354"/>
      <c r="E17" s="356"/>
      <c r="F17" s="360"/>
      <c r="G17" s="1032">
        <f>'AL-2'!C30</f>
        <v>114189.65738461539</v>
      </c>
      <c r="H17" s="357"/>
      <c r="I17" s="359" t="str">
        <f>"AL-2; Line "&amp;'AL-2'!A30</f>
        <v>AL-2; Line 18</v>
      </c>
      <c r="J17" s="119">
        <f t="shared" si="1"/>
        <v>7</v>
      </c>
    </row>
    <row r="18" spans="1:11">
      <c r="A18" s="119">
        <f t="shared" si="0"/>
        <v>8</v>
      </c>
      <c r="C18" s="119"/>
      <c r="E18" s="365"/>
      <c r="F18" s="360"/>
      <c r="G18" s="360"/>
      <c r="H18" s="360"/>
      <c r="I18" s="359"/>
      <c r="J18" s="119">
        <f t="shared" si="1"/>
        <v>8</v>
      </c>
    </row>
    <row r="19" spans="1:11" ht="16.5" thickBot="1">
      <c r="A19" s="119">
        <f t="shared" si="0"/>
        <v>9</v>
      </c>
      <c r="B19" s="136" t="s">
        <v>706</v>
      </c>
      <c r="E19" s="356"/>
      <c r="F19" s="360"/>
      <c r="G19" s="364">
        <f>G13*G17</f>
        <v>43749.253540576785</v>
      </c>
      <c r="H19" s="357"/>
      <c r="I19" s="359" t="str">
        <f>"Line "&amp;A13&amp;" x Line "&amp;A17</f>
        <v>Line 3 x Line 7</v>
      </c>
      <c r="J19" s="119">
        <f t="shared" si="1"/>
        <v>9</v>
      </c>
    </row>
    <row r="20" spans="1:11" ht="16.5" thickTop="1">
      <c r="A20" s="119">
        <f t="shared" si="0"/>
        <v>10</v>
      </c>
      <c r="E20" s="366"/>
      <c r="F20" s="360"/>
      <c r="G20" s="360"/>
      <c r="H20" s="360"/>
      <c r="I20" s="359"/>
      <c r="J20" s="119">
        <f t="shared" si="1"/>
        <v>10</v>
      </c>
    </row>
    <row r="21" spans="1:11">
      <c r="A21" s="119">
        <f t="shared" si="0"/>
        <v>11</v>
      </c>
      <c r="B21" s="367" t="s">
        <v>707</v>
      </c>
      <c r="E21" s="366"/>
      <c r="F21" s="360"/>
      <c r="G21" s="360"/>
      <c r="H21" s="360"/>
      <c r="I21" s="359"/>
      <c r="J21" s="119">
        <f t="shared" si="1"/>
        <v>11</v>
      </c>
    </row>
    <row r="22" spans="1:11">
      <c r="A22" s="119">
        <f t="shared" si="0"/>
        <v>12</v>
      </c>
      <c r="B22" s="136" t="s">
        <v>708</v>
      </c>
      <c r="E22" s="368">
        <f>'Stmt AH'!E27</f>
        <v>38160.250080000005</v>
      </c>
      <c r="F22" s="360"/>
      <c r="G22" s="369"/>
      <c r="H22" s="360"/>
      <c r="I22" s="359" t="str">
        <f>"Statement AH; Line "&amp;'Stmt AH'!A27</f>
        <v>Statement AH; Line 17</v>
      </c>
      <c r="J22" s="119">
        <f t="shared" si="1"/>
        <v>12</v>
      </c>
    </row>
    <row r="23" spans="1:11">
      <c r="A23" s="119">
        <f t="shared" si="0"/>
        <v>13</v>
      </c>
      <c r="B23" s="136" t="s">
        <v>709</v>
      </c>
      <c r="E23" s="370">
        <f>'Stmt AH'!E49</f>
        <v>52925.241831903477</v>
      </c>
      <c r="F23" s="110"/>
      <c r="G23" s="371"/>
      <c r="H23" s="360"/>
      <c r="I23" s="359" t="str">
        <f>"Statement AH; Line "&amp;'Stmt AH'!A49</f>
        <v>Statement AH; Line 39</v>
      </c>
      <c r="J23" s="119">
        <f t="shared" si="1"/>
        <v>13</v>
      </c>
    </row>
    <row r="24" spans="1:11">
      <c r="A24" s="119">
        <f t="shared" si="0"/>
        <v>14</v>
      </c>
      <c r="B24" s="136" t="s">
        <v>403</v>
      </c>
      <c r="E24" s="1033">
        <f>-'Stmt AH'!E34</f>
        <v>0</v>
      </c>
      <c r="F24" s="360"/>
      <c r="G24" s="371"/>
      <c r="H24" s="360"/>
      <c r="I24" s="359" t="str">
        <f>"Negative of Statement AH; Line "&amp;'Stmt AH'!A34</f>
        <v>Negative of Statement AH; Line 24</v>
      </c>
      <c r="J24" s="119">
        <f t="shared" si="1"/>
        <v>14</v>
      </c>
      <c r="K24" s="193"/>
    </row>
    <row r="25" spans="1:11">
      <c r="A25" s="119">
        <f t="shared" si="0"/>
        <v>15</v>
      </c>
      <c r="B25" s="136" t="s">
        <v>710</v>
      </c>
      <c r="E25" s="372">
        <f>SUM(E22:E24)</f>
        <v>91085.491911903489</v>
      </c>
      <c r="F25" s="110"/>
      <c r="G25" s="354"/>
      <c r="H25" s="359"/>
      <c r="I25" s="359" t="str">
        <f>"Sum Lines "&amp;A22&amp;" thru "&amp;A24</f>
        <v>Sum Lines 12 thru 14</v>
      </c>
      <c r="J25" s="119">
        <f t="shared" si="1"/>
        <v>15</v>
      </c>
    </row>
    <row r="26" spans="1:11">
      <c r="A26" s="119">
        <f t="shared" si="0"/>
        <v>16</v>
      </c>
      <c r="F26" s="119"/>
      <c r="H26" s="119"/>
      <c r="I26" s="359"/>
      <c r="J26" s="119">
        <f t="shared" si="1"/>
        <v>16</v>
      </c>
    </row>
    <row r="27" spans="1:11">
      <c r="A27" s="119">
        <f t="shared" si="0"/>
        <v>17</v>
      </c>
      <c r="B27" s="136" t="s">
        <v>711</v>
      </c>
      <c r="E27" s="1034">
        <f>1/8</f>
        <v>0.125</v>
      </c>
      <c r="F27" s="119"/>
      <c r="G27" s="373"/>
      <c r="H27" s="119"/>
      <c r="I27" s="359" t="s">
        <v>28</v>
      </c>
      <c r="J27" s="119">
        <f t="shared" si="1"/>
        <v>17</v>
      </c>
    </row>
    <row r="28" spans="1:11">
      <c r="A28" s="119">
        <f t="shared" si="0"/>
        <v>18</v>
      </c>
      <c r="E28" s="347" t="s">
        <v>186</v>
      </c>
      <c r="F28" s="360"/>
      <c r="G28" s="347"/>
      <c r="H28" s="360"/>
      <c r="I28" s="359"/>
      <c r="J28" s="119">
        <f t="shared" si="1"/>
        <v>18</v>
      </c>
    </row>
    <row r="29" spans="1:11" ht="16.5" thickBot="1">
      <c r="A29" s="119">
        <f t="shared" si="0"/>
        <v>19</v>
      </c>
      <c r="B29" s="136" t="s">
        <v>712</v>
      </c>
      <c r="E29" s="364">
        <f>E25*E27</f>
        <v>11385.686488987936</v>
      </c>
      <c r="F29" s="110"/>
      <c r="G29" s="363"/>
      <c r="H29" s="360"/>
      <c r="I29" s="119" t="str">
        <f>"Line "&amp;A25&amp;" x Line "&amp;A27</f>
        <v>Line 15 x Line 17</v>
      </c>
      <c r="J29" s="119">
        <f t="shared" si="1"/>
        <v>19</v>
      </c>
    </row>
    <row r="30" spans="1:11" ht="16.5" thickTop="1">
      <c r="B30" s="376"/>
    </row>
    <row r="32" spans="1:11" ht="18.75">
      <c r="A32" s="377">
        <v>1</v>
      </c>
      <c r="B32" s="136" t="s">
        <v>713</v>
      </c>
    </row>
    <row r="33" spans="1:2">
      <c r="A33"/>
      <c r="B33"/>
    </row>
    <row r="34" spans="1:2">
      <c r="A34"/>
      <c r="B34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2" orientation="portrait" r:id="rId1"/>
  <headerFooter scaleWithDoc="0">
    <oddFooter>&amp;C&amp;"Times New Roman,Regular"&amp;10AL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2:I38"/>
  <sheetViews>
    <sheetView zoomScale="80" zoomScaleNormal="80" zoomScalePageLayoutView="80" workbookViewId="0"/>
  </sheetViews>
  <sheetFormatPr defaultColWidth="9.140625" defaultRowHeight="15.75"/>
  <cols>
    <col min="1" max="1" width="5.140625" style="109" customWidth="1"/>
    <col min="2" max="2" width="43.140625" style="110" customWidth="1"/>
    <col min="3" max="3" width="20.5703125" style="114" customWidth="1"/>
    <col min="4" max="4" width="48.28515625" style="173" customWidth="1"/>
    <col min="5" max="5" width="5.140625" style="173" customWidth="1"/>
    <col min="6" max="6" width="21.140625" style="114" customWidth="1"/>
    <col min="7" max="7" width="20.140625" style="114" customWidth="1"/>
    <col min="8" max="8" width="17.28515625" style="114" customWidth="1"/>
    <col min="9" max="9" width="16.7109375" style="114" customWidth="1"/>
    <col min="10" max="10" width="21.140625" style="110" customWidth="1"/>
    <col min="11" max="11" width="15" style="110" customWidth="1"/>
    <col min="12" max="12" width="11" style="110" customWidth="1"/>
    <col min="13" max="13" width="7.140625" style="110" customWidth="1"/>
    <col min="14" max="14" width="9.140625" style="110" customWidth="1"/>
    <col min="15" max="15" width="14" style="110" customWidth="1"/>
    <col min="16" max="16" width="13.28515625" style="110" customWidth="1"/>
    <col min="17" max="16384" width="9.140625" style="110"/>
  </cols>
  <sheetData>
    <row r="2" spans="1:6">
      <c r="B2" s="1305" t="s">
        <v>0</v>
      </c>
      <c r="C2" s="1305"/>
      <c r="D2" s="1305"/>
      <c r="E2" s="173" t="s">
        <v>186</v>
      </c>
      <c r="F2" s="110"/>
    </row>
    <row r="3" spans="1:6">
      <c r="B3" s="1305" t="s">
        <v>714</v>
      </c>
      <c r="C3" s="1305"/>
      <c r="D3" s="1305"/>
      <c r="E3" s="173" t="s">
        <v>186</v>
      </c>
      <c r="F3" s="110"/>
    </row>
    <row r="4" spans="1:6">
      <c r="B4" s="1305" t="s">
        <v>715</v>
      </c>
      <c r="C4" s="1305"/>
      <c r="D4" s="1305"/>
      <c r="E4" s="173" t="s">
        <v>186</v>
      </c>
      <c r="F4" s="110"/>
    </row>
    <row r="5" spans="1:6">
      <c r="B5" s="1305" t="str">
        <f>"BASE PERIOD / TRUE UP PERIOD - 12/31/"&amp;Automation!$B$3&amp;" PER BOOK"</f>
        <v>BASE PERIOD / TRUE UP PERIOD - 12/31/2022 PER BOOK</v>
      </c>
      <c r="C5" s="1305"/>
      <c r="D5" s="1305"/>
      <c r="E5" s="109"/>
      <c r="F5" s="110"/>
    </row>
    <row r="6" spans="1:6">
      <c r="B6" s="1322" t="s">
        <v>3</v>
      </c>
      <c r="C6" s="1322"/>
      <c r="D6" s="1322"/>
      <c r="E6" s="173" t="s">
        <v>186</v>
      </c>
      <c r="F6" s="112"/>
    </row>
    <row r="7" spans="1:6">
      <c r="B7" s="338"/>
      <c r="C7" s="112"/>
      <c r="F7" s="112"/>
    </row>
    <row r="8" spans="1:6">
      <c r="B8" s="1305" t="s">
        <v>716</v>
      </c>
      <c r="C8" s="1305"/>
      <c r="D8" s="1305"/>
      <c r="E8" s="109"/>
      <c r="F8" s="112"/>
    </row>
    <row r="9" spans="1:6">
      <c r="B9" s="1305" t="s">
        <v>717</v>
      </c>
      <c r="C9" s="1305"/>
      <c r="D9" s="1305"/>
      <c r="E9" s="109"/>
    </row>
    <row r="10" spans="1:6">
      <c r="B10" s="1035"/>
      <c r="C10" s="1036"/>
      <c r="D10" s="217"/>
      <c r="E10" s="173" t="s">
        <v>186</v>
      </c>
    </row>
    <row r="11" spans="1:6">
      <c r="B11" s="862"/>
      <c r="C11" s="963" t="s">
        <v>80</v>
      </c>
      <c r="D11" s="864"/>
      <c r="E11" s="119"/>
      <c r="F11" s="136"/>
    </row>
    <row r="12" spans="1:6">
      <c r="B12" s="120"/>
      <c r="C12" s="116" t="s">
        <v>718</v>
      </c>
      <c r="D12" s="116"/>
      <c r="E12" s="119"/>
      <c r="F12" s="136"/>
    </row>
    <row r="13" spans="1:6">
      <c r="A13" s="119" t="s">
        <v>4</v>
      </c>
      <c r="B13" s="116"/>
      <c r="C13" s="116" t="s">
        <v>719</v>
      </c>
      <c r="D13" s="116"/>
      <c r="E13" s="119" t="s">
        <v>4</v>
      </c>
      <c r="F13" s="136"/>
    </row>
    <row r="14" spans="1:6">
      <c r="A14" s="119" t="s">
        <v>5</v>
      </c>
      <c r="B14" s="1021" t="s">
        <v>124</v>
      </c>
      <c r="C14" s="116" t="s">
        <v>720</v>
      </c>
      <c r="D14" s="1021" t="s">
        <v>8</v>
      </c>
      <c r="E14" s="119" t="s">
        <v>5</v>
      </c>
      <c r="F14" s="136"/>
    </row>
    <row r="15" spans="1:6">
      <c r="A15" s="339">
        <v>1</v>
      </c>
      <c r="B15" s="122" t="str">
        <f>"Dec-"&amp;RIGHT(Automation!$B$3-1,2)</f>
        <v>Dec-21</v>
      </c>
      <c r="C15" s="1037">
        <v>117275.564</v>
      </c>
      <c r="D15" s="207" t="s">
        <v>216</v>
      </c>
      <c r="E15" s="339">
        <f>A15</f>
        <v>1</v>
      </c>
      <c r="F15" s="340"/>
    </row>
    <row r="16" spans="1:6">
      <c r="A16" s="339">
        <f>A15+1</f>
        <v>2</v>
      </c>
      <c r="B16" s="122" t="str">
        <f>"Jan-"&amp;RIGHT(Automation!$B$3,2)</f>
        <v>Jan-22</v>
      </c>
      <c r="C16" s="182">
        <v>114698.561</v>
      </c>
      <c r="D16" s="207"/>
      <c r="E16" s="339">
        <f>E15+1</f>
        <v>2</v>
      </c>
      <c r="F16" s="340"/>
    </row>
    <row r="17" spans="1:8">
      <c r="A17" s="339">
        <f t="shared" ref="A17:A32" si="0">A16+1</f>
        <v>3</v>
      </c>
      <c r="B17" s="122" t="s">
        <v>217</v>
      </c>
      <c r="C17" s="182">
        <v>114415.564</v>
      </c>
      <c r="D17" s="207"/>
      <c r="E17" s="339">
        <f t="shared" ref="E17:E32" si="1">E16+1</f>
        <v>3</v>
      </c>
      <c r="F17" s="340"/>
    </row>
    <row r="18" spans="1:8">
      <c r="A18" s="339">
        <f t="shared" si="0"/>
        <v>4</v>
      </c>
      <c r="B18" s="122" t="s">
        <v>218</v>
      </c>
      <c r="C18" s="182">
        <v>115421.423</v>
      </c>
      <c r="D18" s="207"/>
      <c r="E18" s="339">
        <f t="shared" si="1"/>
        <v>4</v>
      </c>
      <c r="F18" s="340"/>
    </row>
    <row r="19" spans="1:8">
      <c r="A19" s="339">
        <f t="shared" si="0"/>
        <v>5</v>
      </c>
      <c r="B19" s="122" t="s">
        <v>219</v>
      </c>
      <c r="C19" s="182">
        <v>115891.348</v>
      </c>
      <c r="D19" s="207"/>
      <c r="E19" s="339">
        <f t="shared" si="1"/>
        <v>5</v>
      </c>
      <c r="F19" s="340"/>
    </row>
    <row r="20" spans="1:8">
      <c r="A20" s="339">
        <f t="shared" si="0"/>
        <v>6</v>
      </c>
      <c r="B20" s="122" t="s">
        <v>161</v>
      </c>
      <c r="C20" s="182">
        <v>116262.08500000001</v>
      </c>
      <c r="D20" s="207"/>
      <c r="E20" s="339">
        <f t="shared" si="1"/>
        <v>6</v>
      </c>
      <c r="F20" s="340"/>
    </row>
    <row r="21" spans="1:8">
      <c r="A21" s="339">
        <f t="shared" si="0"/>
        <v>7</v>
      </c>
      <c r="B21" s="122" t="s">
        <v>220</v>
      </c>
      <c r="C21" s="182">
        <v>118601.73</v>
      </c>
      <c r="D21" s="207"/>
      <c r="E21" s="339">
        <f t="shared" si="1"/>
        <v>7</v>
      </c>
      <c r="F21" s="340"/>
    </row>
    <row r="22" spans="1:8">
      <c r="A22" s="339">
        <f t="shared" si="0"/>
        <v>8</v>
      </c>
      <c r="B22" s="122" t="s">
        <v>221</v>
      </c>
      <c r="C22" s="182">
        <v>121285.512</v>
      </c>
      <c r="D22" s="207"/>
      <c r="E22" s="339">
        <f t="shared" si="1"/>
        <v>8</v>
      </c>
      <c r="F22" s="340"/>
    </row>
    <row r="23" spans="1:8">
      <c r="A23" s="339">
        <f t="shared" si="0"/>
        <v>9</v>
      </c>
      <c r="B23" s="122" t="s">
        <v>222</v>
      </c>
      <c r="C23" s="182">
        <v>120817.129</v>
      </c>
      <c r="D23" s="207"/>
      <c r="E23" s="339">
        <f t="shared" si="1"/>
        <v>9</v>
      </c>
      <c r="F23" s="340"/>
    </row>
    <row r="24" spans="1:8">
      <c r="A24" s="339">
        <f t="shared" si="0"/>
        <v>10</v>
      </c>
      <c r="B24" s="122" t="s">
        <v>223</v>
      </c>
      <c r="C24" s="182">
        <v>121591.334</v>
      </c>
      <c r="D24" s="207"/>
      <c r="E24" s="339">
        <f t="shared" si="1"/>
        <v>10</v>
      </c>
      <c r="F24" s="340"/>
    </row>
    <row r="25" spans="1:8">
      <c r="A25" s="339">
        <f t="shared" si="0"/>
        <v>11</v>
      </c>
      <c r="B25" s="122" t="s">
        <v>224</v>
      </c>
      <c r="C25" s="182">
        <v>121891.02099999999</v>
      </c>
      <c r="D25" s="207"/>
      <c r="E25" s="339">
        <f t="shared" si="1"/>
        <v>11</v>
      </c>
      <c r="F25" s="340"/>
    </row>
    <row r="26" spans="1:8">
      <c r="A26" s="339">
        <f t="shared" si="0"/>
        <v>12</v>
      </c>
      <c r="B26" s="122" t="s">
        <v>225</v>
      </c>
      <c r="C26" s="182">
        <v>124227.322</v>
      </c>
      <c r="D26" s="208"/>
      <c r="E26" s="339">
        <f t="shared" si="1"/>
        <v>12</v>
      </c>
      <c r="F26" s="340"/>
    </row>
    <row r="27" spans="1:8">
      <c r="A27" s="339">
        <f t="shared" si="0"/>
        <v>13</v>
      </c>
      <c r="B27" s="1038" t="str">
        <f>"Dec-"&amp;RIGHT(Automation!$B$3,2)</f>
        <v>Dec-22</v>
      </c>
      <c r="C27" s="1039">
        <v>125709.182</v>
      </c>
      <c r="D27" s="1040" t="s">
        <v>216</v>
      </c>
      <c r="E27" s="339">
        <f t="shared" si="1"/>
        <v>13</v>
      </c>
      <c r="F27" s="340"/>
    </row>
    <row r="28" spans="1:8">
      <c r="A28" s="339">
        <f t="shared" si="0"/>
        <v>14</v>
      </c>
      <c r="B28" s="1041"/>
      <c r="C28" s="1042"/>
      <c r="D28" s="1043"/>
      <c r="E28" s="339">
        <f t="shared" si="1"/>
        <v>14</v>
      </c>
      <c r="F28" s="136"/>
    </row>
    <row r="29" spans="1:8">
      <c r="A29" s="339">
        <f t="shared" si="0"/>
        <v>15</v>
      </c>
      <c r="B29" s="130" t="s">
        <v>226</v>
      </c>
      <c r="C29" s="237">
        <f>SUM(C15:C27)</f>
        <v>1548087.7749999999</v>
      </c>
      <c r="D29" s="341" t="str">
        <f>"Sum Lines "&amp;A15&amp;" thru "&amp;A27</f>
        <v>Sum Lines 1 thru 13</v>
      </c>
      <c r="E29" s="339">
        <f t="shared" si="1"/>
        <v>15</v>
      </c>
      <c r="F29" s="136"/>
    </row>
    <row r="30" spans="1:8">
      <c r="A30" s="339">
        <f t="shared" si="0"/>
        <v>16</v>
      </c>
      <c r="B30" s="1022"/>
      <c r="C30" s="1044"/>
      <c r="D30" s="1040"/>
      <c r="E30" s="339">
        <f t="shared" si="1"/>
        <v>16</v>
      </c>
      <c r="F30" s="136"/>
    </row>
    <row r="31" spans="1:8">
      <c r="A31" s="339">
        <f t="shared" si="0"/>
        <v>17</v>
      </c>
      <c r="B31" s="862"/>
      <c r="C31" s="1045"/>
      <c r="D31" s="1046"/>
      <c r="E31" s="339">
        <f t="shared" si="1"/>
        <v>17</v>
      </c>
      <c r="F31" s="136"/>
    </row>
    <row r="32" spans="1:8">
      <c r="A32" s="339">
        <f t="shared" si="0"/>
        <v>18</v>
      </c>
      <c r="B32" s="130" t="s">
        <v>227</v>
      </c>
      <c r="C32" s="202">
        <f>C29/13</f>
        <v>119083.67499999999</v>
      </c>
      <c r="D32" s="1242" t="s">
        <v>1027</v>
      </c>
      <c r="E32" s="339">
        <f t="shared" si="1"/>
        <v>18</v>
      </c>
      <c r="H32" s="110"/>
    </row>
    <row r="33" spans="1:6">
      <c r="A33" s="339">
        <f>A32+1</f>
        <v>19</v>
      </c>
      <c r="B33" s="1022"/>
      <c r="C33" s="1047"/>
      <c r="D33" s="1048"/>
      <c r="E33" s="339">
        <f>E32+1</f>
        <v>19</v>
      </c>
      <c r="F33" s="136"/>
    </row>
    <row r="34" spans="1:6">
      <c r="A34" s="119"/>
    </row>
    <row r="36" spans="1:6" ht="18.75">
      <c r="A36" s="135"/>
      <c r="B36" s="1218"/>
      <c r="C36" s="342"/>
    </row>
    <row r="37" spans="1:6">
      <c r="A37" s="119"/>
      <c r="B37" s="1218"/>
      <c r="C37" s="342"/>
    </row>
    <row r="38" spans="1:6">
      <c r="A38" s="119"/>
      <c r="B38" s="1218"/>
    </row>
  </sheetData>
  <mergeCells count="7">
    <mergeCell ref="B8:D8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3" orientation="landscape" r:id="rId1"/>
  <headerFooter scaleWithDoc="0">
    <oddFooter>&amp;C&amp;"Times New Roman,Regular"&amp;10&amp;A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F142"/>
  <sheetViews>
    <sheetView zoomScale="80" zoomScaleNormal="80" zoomScalePageLayoutView="80" workbookViewId="0"/>
  </sheetViews>
  <sheetFormatPr defaultColWidth="9.140625" defaultRowHeight="15.75"/>
  <cols>
    <col min="1" max="1" width="5.140625" style="109" customWidth="1"/>
    <col min="2" max="2" width="35.140625" style="110" customWidth="1"/>
    <col min="3" max="3" width="18.5703125" style="114" customWidth="1"/>
    <col min="4" max="4" width="62.5703125" style="114" customWidth="1"/>
    <col min="5" max="5" width="5.140625" style="345" customWidth="1"/>
    <col min="6" max="6" width="9.28515625" style="110" bestFit="1" customWidth="1"/>
    <col min="7" max="16384" width="9.140625" style="110"/>
  </cols>
  <sheetData>
    <row r="2" spans="1:6" s="136" customFormat="1">
      <c r="A2" s="119"/>
      <c r="B2" s="1305" t="s">
        <v>0</v>
      </c>
      <c r="C2" s="1305"/>
      <c r="D2" s="1305"/>
      <c r="E2" s="119"/>
      <c r="F2" s="110"/>
    </row>
    <row r="3" spans="1:6" s="136" customFormat="1">
      <c r="A3" s="119"/>
      <c r="B3" s="1305" t="s">
        <v>714</v>
      </c>
      <c r="C3" s="1305"/>
      <c r="D3" s="1305"/>
      <c r="E3" s="119"/>
      <c r="F3" s="110"/>
    </row>
    <row r="4" spans="1:6" s="136" customFormat="1">
      <c r="A4" s="119"/>
      <c r="B4" s="1305" t="s">
        <v>715</v>
      </c>
      <c r="C4" s="1305"/>
      <c r="D4" s="1305"/>
      <c r="E4" s="119"/>
      <c r="F4" s="110"/>
    </row>
    <row r="5" spans="1:6" s="136" customFormat="1">
      <c r="A5" s="119"/>
      <c r="B5" s="1305" t="str">
        <f>"BASE PERIOD / TRUE UP PERIOD - 12/31/"&amp;Automation!$B$3&amp;" PER BOOK"</f>
        <v>BASE PERIOD / TRUE UP PERIOD - 12/31/2022 PER BOOK</v>
      </c>
      <c r="C5" s="1305"/>
      <c r="D5" s="1305"/>
      <c r="E5" s="119"/>
      <c r="F5" s="110"/>
    </row>
    <row r="6" spans="1:6" s="136" customFormat="1">
      <c r="A6" s="119"/>
      <c r="B6" s="1322" t="s">
        <v>3</v>
      </c>
      <c r="C6" s="1322"/>
      <c r="D6" s="1322"/>
      <c r="E6" s="345" t="s">
        <v>186</v>
      </c>
    </row>
    <row r="7" spans="1:6" s="136" customFormat="1">
      <c r="A7" s="119"/>
      <c r="B7" s="1097"/>
      <c r="C7" s="1097"/>
      <c r="D7" s="1097"/>
      <c r="E7" s="345"/>
    </row>
    <row r="8" spans="1:6" s="136" customFormat="1">
      <c r="A8" s="119"/>
      <c r="B8" s="1305" t="s">
        <v>721</v>
      </c>
      <c r="C8" s="1305"/>
      <c r="D8" s="1305"/>
      <c r="E8" s="345" t="s">
        <v>186</v>
      </c>
    </row>
    <row r="9" spans="1:6" s="136" customFormat="1">
      <c r="A9" s="119"/>
      <c r="B9" s="1049"/>
      <c r="C9" s="1036"/>
      <c r="D9" s="342"/>
      <c r="E9" s="345"/>
    </row>
    <row r="10" spans="1:6" s="136" customFormat="1">
      <c r="A10" s="119"/>
      <c r="B10" s="1050"/>
      <c r="C10" s="963" t="s">
        <v>80</v>
      </c>
      <c r="D10" s="864"/>
    </row>
    <row r="11" spans="1:6" s="136" customFormat="1">
      <c r="A11" s="119" t="s">
        <v>4</v>
      </c>
      <c r="B11" s="116"/>
      <c r="C11" s="116" t="s">
        <v>718</v>
      </c>
      <c r="D11" s="116"/>
      <c r="E11" s="119" t="s">
        <v>4</v>
      </c>
    </row>
    <row r="12" spans="1:6" s="136" customFormat="1">
      <c r="A12" s="119" t="s">
        <v>5</v>
      </c>
      <c r="B12" s="1021" t="s">
        <v>124</v>
      </c>
      <c r="C12" s="116" t="s">
        <v>722</v>
      </c>
      <c r="D12" s="1021" t="s">
        <v>8</v>
      </c>
      <c r="E12" s="119" t="s">
        <v>5</v>
      </c>
    </row>
    <row r="13" spans="1:6" s="136" customFormat="1">
      <c r="A13" s="339">
        <v>1</v>
      </c>
      <c r="B13" s="122" t="str">
        <f>"Dec-"&amp;RIGHT(Automation!$B$3-1,2)</f>
        <v>Dec-21</v>
      </c>
      <c r="C13" s="1037">
        <v>107245.625</v>
      </c>
      <c r="D13" s="207" t="s">
        <v>216</v>
      </c>
      <c r="E13" s="339">
        <f>A13</f>
        <v>1</v>
      </c>
      <c r="F13" s="343"/>
    </row>
    <row r="14" spans="1:6" s="136" customFormat="1">
      <c r="A14" s="339">
        <f>A13+1</f>
        <v>2</v>
      </c>
      <c r="B14" s="122" t="str">
        <f>"Jan-"&amp;RIGHT(Automation!$B$3,2)</f>
        <v>Jan-22</v>
      </c>
      <c r="C14" s="344">
        <v>116059.95</v>
      </c>
      <c r="D14" s="207"/>
      <c r="E14" s="339">
        <f>E13+1</f>
        <v>2</v>
      </c>
      <c r="F14" s="343"/>
    </row>
    <row r="15" spans="1:6" s="136" customFormat="1">
      <c r="A15" s="339">
        <f t="shared" ref="A15:A30" si="0">A14+1</f>
        <v>3</v>
      </c>
      <c r="B15" s="122" t="s">
        <v>217</v>
      </c>
      <c r="C15" s="344">
        <v>101055.09699999999</v>
      </c>
      <c r="D15" s="207"/>
      <c r="E15" s="339">
        <f t="shared" ref="E15:E30" si="1">E14+1</f>
        <v>3</v>
      </c>
      <c r="F15" s="343"/>
    </row>
    <row r="16" spans="1:6" s="136" customFormat="1">
      <c r="A16" s="339">
        <f t="shared" si="0"/>
        <v>4</v>
      </c>
      <c r="B16" s="122" t="s">
        <v>218</v>
      </c>
      <c r="C16" s="344">
        <v>103614.88499999999</v>
      </c>
      <c r="D16" s="207"/>
      <c r="E16" s="339">
        <f t="shared" si="1"/>
        <v>4</v>
      </c>
      <c r="F16" s="343"/>
    </row>
    <row r="17" spans="1:6" s="136" customFormat="1">
      <c r="A17" s="339">
        <f t="shared" si="0"/>
        <v>5</v>
      </c>
      <c r="B17" s="122" t="s">
        <v>219</v>
      </c>
      <c r="C17" s="344">
        <v>123844.122</v>
      </c>
      <c r="D17" s="207"/>
      <c r="E17" s="339">
        <f t="shared" si="1"/>
        <v>5</v>
      </c>
      <c r="F17" s="343"/>
    </row>
    <row r="18" spans="1:6" s="136" customFormat="1">
      <c r="A18" s="339">
        <f t="shared" si="0"/>
        <v>6</v>
      </c>
      <c r="B18" s="122" t="s">
        <v>161</v>
      </c>
      <c r="C18" s="344">
        <v>93990.933999999994</v>
      </c>
      <c r="D18" s="207"/>
      <c r="E18" s="339">
        <f t="shared" si="1"/>
        <v>6</v>
      </c>
      <c r="F18" s="343"/>
    </row>
    <row r="19" spans="1:6" s="136" customFormat="1">
      <c r="A19" s="339">
        <f t="shared" si="0"/>
        <v>7</v>
      </c>
      <c r="B19" s="122" t="s">
        <v>220</v>
      </c>
      <c r="C19" s="344">
        <v>60578.498</v>
      </c>
      <c r="D19" s="207"/>
      <c r="E19" s="339">
        <f t="shared" si="1"/>
        <v>7</v>
      </c>
      <c r="F19" s="343"/>
    </row>
    <row r="20" spans="1:6" s="136" customFormat="1">
      <c r="A20" s="339">
        <f t="shared" si="0"/>
        <v>8</v>
      </c>
      <c r="B20" s="122" t="s">
        <v>221</v>
      </c>
      <c r="C20" s="344">
        <v>149593.481</v>
      </c>
      <c r="D20" s="207"/>
      <c r="E20" s="339">
        <f t="shared" si="1"/>
        <v>8</v>
      </c>
      <c r="F20" s="343"/>
    </row>
    <row r="21" spans="1:6" s="136" customFormat="1">
      <c r="A21" s="339">
        <f t="shared" si="0"/>
        <v>9</v>
      </c>
      <c r="B21" s="122" t="s">
        <v>222</v>
      </c>
      <c r="C21" s="344">
        <v>143922.45499999999</v>
      </c>
      <c r="D21" s="207"/>
      <c r="E21" s="339">
        <f t="shared" si="1"/>
        <v>9</v>
      </c>
      <c r="F21" s="343"/>
    </row>
    <row r="22" spans="1:6" s="136" customFormat="1">
      <c r="A22" s="339">
        <f t="shared" si="0"/>
        <v>10</v>
      </c>
      <c r="B22" s="122" t="s">
        <v>223</v>
      </c>
      <c r="C22" s="344">
        <v>137857.75700000001</v>
      </c>
      <c r="D22" s="207"/>
      <c r="E22" s="339">
        <f t="shared" si="1"/>
        <v>10</v>
      </c>
      <c r="F22" s="343"/>
    </row>
    <row r="23" spans="1:6" s="136" customFormat="1">
      <c r="A23" s="339">
        <f t="shared" si="0"/>
        <v>11</v>
      </c>
      <c r="B23" s="122" t="s">
        <v>224</v>
      </c>
      <c r="C23" s="344">
        <v>127316.86199999999</v>
      </c>
      <c r="D23" s="207"/>
      <c r="E23" s="339">
        <f t="shared" si="1"/>
        <v>11</v>
      </c>
      <c r="F23" s="343"/>
    </row>
    <row r="24" spans="1:6" s="136" customFormat="1">
      <c r="A24" s="339">
        <f t="shared" si="0"/>
        <v>12</v>
      </c>
      <c r="B24" s="122" t="s">
        <v>225</v>
      </c>
      <c r="C24" s="344">
        <v>109820.587</v>
      </c>
      <c r="D24" s="207"/>
      <c r="E24" s="339">
        <f t="shared" si="1"/>
        <v>12</v>
      </c>
      <c r="F24" s="343"/>
    </row>
    <row r="25" spans="1:6" s="136" customFormat="1">
      <c r="A25" s="339">
        <f t="shared" si="0"/>
        <v>13</v>
      </c>
      <c r="B25" s="1038" t="str">
        <f>"Dec-"&amp;RIGHT(Automation!$B$3,2)</f>
        <v>Dec-22</v>
      </c>
      <c r="C25" s="1051">
        <v>109565.29300000001</v>
      </c>
      <c r="D25" s="1040" t="s">
        <v>216</v>
      </c>
      <c r="E25" s="339">
        <f t="shared" si="1"/>
        <v>13</v>
      </c>
      <c r="F25" s="343"/>
    </row>
    <row r="26" spans="1:6" s="136" customFormat="1">
      <c r="A26" s="339">
        <f t="shared" si="0"/>
        <v>14</v>
      </c>
      <c r="B26" s="1041"/>
      <c r="C26" s="1052"/>
      <c r="D26" s="1043"/>
      <c r="E26" s="339">
        <f t="shared" si="1"/>
        <v>14</v>
      </c>
      <c r="F26" s="343"/>
    </row>
    <row r="27" spans="1:6" s="136" customFormat="1">
      <c r="A27" s="339">
        <f t="shared" si="0"/>
        <v>15</v>
      </c>
      <c r="B27" s="130" t="s">
        <v>226</v>
      </c>
      <c r="C27" s="237">
        <f>SUM(C13:C25)</f>
        <v>1484465.5460000001</v>
      </c>
      <c r="D27" s="341" t="str">
        <f>"Sum Lines "&amp;A13&amp;" thru "&amp;A25</f>
        <v>Sum Lines 1 thru 13</v>
      </c>
      <c r="E27" s="339">
        <f t="shared" si="1"/>
        <v>15</v>
      </c>
    </row>
    <row r="28" spans="1:6" s="136" customFormat="1">
      <c r="A28" s="339">
        <f t="shared" si="0"/>
        <v>16</v>
      </c>
      <c r="B28" s="1022"/>
      <c r="C28" s="1044"/>
      <c r="D28" s="1040"/>
      <c r="E28" s="339">
        <f t="shared" si="1"/>
        <v>16</v>
      </c>
    </row>
    <row r="29" spans="1:6" s="136" customFormat="1">
      <c r="A29" s="339">
        <f t="shared" si="0"/>
        <v>17</v>
      </c>
      <c r="B29" s="862"/>
      <c r="C29" s="1045"/>
      <c r="D29" s="1046"/>
      <c r="E29" s="339">
        <f t="shared" si="1"/>
        <v>17</v>
      </c>
    </row>
    <row r="30" spans="1:6" s="136" customFormat="1">
      <c r="A30" s="339">
        <f t="shared" si="0"/>
        <v>18</v>
      </c>
      <c r="B30" s="130" t="s">
        <v>374</v>
      </c>
      <c r="C30" s="202">
        <f>C27/13</f>
        <v>114189.65738461539</v>
      </c>
      <c r="D30" s="1254" t="s">
        <v>1028</v>
      </c>
      <c r="E30" s="339">
        <f t="shared" si="1"/>
        <v>18</v>
      </c>
      <c r="F30" s="343"/>
    </row>
    <row r="31" spans="1:6" s="136" customFormat="1">
      <c r="A31" s="339">
        <f>A30+1</f>
        <v>19</v>
      </c>
      <c r="B31" s="1022"/>
      <c r="C31" s="1047"/>
      <c r="D31" s="1053"/>
      <c r="E31" s="339">
        <f>E30+1</f>
        <v>19</v>
      </c>
    </row>
    <row r="32" spans="1:6" s="136" customFormat="1">
      <c r="A32" s="119"/>
      <c r="C32" s="189"/>
      <c r="D32" s="189"/>
      <c r="E32" s="345"/>
    </row>
    <row r="33" spans="1:5" s="136" customFormat="1">
      <c r="A33" s="346"/>
      <c r="E33" s="345"/>
    </row>
    <row r="34" spans="1:5" s="136" customFormat="1">
      <c r="A34"/>
      <c r="B34"/>
      <c r="C34" s="189"/>
      <c r="D34" s="189"/>
      <c r="E34" s="345"/>
    </row>
    <row r="35" spans="1:5" s="136" customFormat="1">
      <c r="A35"/>
      <c r="B35"/>
      <c r="C35" s="189"/>
      <c r="D35" s="189"/>
      <c r="E35" s="345"/>
    </row>
    <row r="36" spans="1:5" s="136" customFormat="1">
      <c r="A36"/>
      <c r="B36"/>
      <c r="C36" s="189"/>
      <c r="D36" s="189"/>
      <c r="E36" s="345"/>
    </row>
    <row r="37" spans="1:5" s="136" customFormat="1">
      <c r="A37" s="119"/>
      <c r="C37" s="189"/>
      <c r="D37" s="189"/>
      <c r="E37" s="345"/>
    </row>
    <row r="38" spans="1:5" s="136" customFormat="1">
      <c r="A38" s="119"/>
      <c r="C38" s="189"/>
      <c r="D38" s="189"/>
      <c r="E38" s="345"/>
    </row>
    <row r="39" spans="1:5" s="136" customFormat="1">
      <c r="A39" s="119"/>
      <c r="C39" s="189"/>
      <c r="D39" s="189"/>
      <c r="E39" s="345"/>
    </row>
    <row r="40" spans="1:5" s="136" customFormat="1">
      <c r="A40" s="119"/>
      <c r="C40" s="189"/>
      <c r="D40" s="189"/>
      <c r="E40" s="345"/>
    </row>
    <row r="41" spans="1:5" s="136" customFormat="1">
      <c r="A41" s="119"/>
      <c r="C41" s="189"/>
      <c r="D41" s="189"/>
      <c r="E41" s="345"/>
    </row>
    <row r="42" spans="1:5" s="136" customFormat="1">
      <c r="A42" s="119"/>
      <c r="C42" s="189"/>
      <c r="D42" s="189"/>
      <c r="E42" s="345"/>
    </row>
    <row r="43" spans="1:5" s="136" customFormat="1">
      <c r="A43" s="119"/>
      <c r="C43" s="189"/>
      <c r="D43" s="189"/>
      <c r="E43" s="345"/>
    </row>
    <row r="44" spans="1:5" s="136" customFormat="1">
      <c r="A44" s="119"/>
      <c r="C44" s="189"/>
      <c r="D44" s="189"/>
      <c r="E44" s="345"/>
    </row>
    <row r="45" spans="1:5" s="136" customFormat="1">
      <c r="A45" s="119"/>
      <c r="C45" s="189"/>
      <c r="D45" s="189"/>
      <c r="E45" s="345"/>
    </row>
    <row r="46" spans="1:5" s="136" customFormat="1">
      <c r="A46" s="119"/>
      <c r="C46" s="189"/>
      <c r="D46" s="189"/>
      <c r="E46" s="345"/>
    </row>
    <row r="47" spans="1:5" s="136" customFormat="1">
      <c r="A47" s="119"/>
      <c r="C47" s="189"/>
      <c r="D47" s="189"/>
      <c r="E47" s="345"/>
    </row>
    <row r="48" spans="1:5" s="136" customFormat="1">
      <c r="A48" s="119"/>
      <c r="C48" s="189"/>
      <c r="D48" s="189"/>
      <c r="E48" s="345"/>
    </row>
    <row r="49" spans="1:5" s="136" customFormat="1">
      <c r="A49" s="119"/>
      <c r="C49" s="189"/>
      <c r="D49" s="189"/>
      <c r="E49" s="345"/>
    </row>
    <row r="50" spans="1:5" s="136" customFormat="1">
      <c r="A50" s="119"/>
      <c r="C50" s="189"/>
      <c r="D50" s="189"/>
      <c r="E50" s="345"/>
    </row>
    <row r="51" spans="1:5" s="136" customFormat="1">
      <c r="A51" s="119"/>
      <c r="C51" s="189"/>
      <c r="D51" s="189"/>
      <c r="E51" s="345"/>
    </row>
    <row r="52" spans="1:5" s="136" customFormat="1">
      <c r="A52" s="119"/>
      <c r="C52" s="189"/>
      <c r="D52" s="189"/>
      <c r="E52" s="345"/>
    </row>
    <row r="53" spans="1:5" s="136" customFormat="1">
      <c r="A53" s="119"/>
      <c r="C53" s="189"/>
      <c r="D53" s="189"/>
      <c r="E53" s="345"/>
    </row>
    <row r="54" spans="1:5" s="136" customFormat="1">
      <c r="A54" s="119"/>
      <c r="C54" s="189"/>
      <c r="D54" s="189"/>
      <c r="E54" s="345"/>
    </row>
    <row r="55" spans="1:5" s="136" customFormat="1">
      <c r="A55" s="119"/>
      <c r="C55" s="189"/>
      <c r="D55" s="189"/>
      <c r="E55" s="345"/>
    </row>
    <row r="56" spans="1:5" s="136" customFormat="1">
      <c r="A56" s="119"/>
      <c r="C56" s="189"/>
      <c r="D56" s="189"/>
      <c r="E56" s="345"/>
    </row>
    <row r="57" spans="1:5" s="136" customFormat="1">
      <c r="A57" s="119"/>
      <c r="C57" s="189"/>
      <c r="D57" s="189"/>
      <c r="E57" s="345"/>
    </row>
    <row r="58" spans="1:5" s="136" customFormat="1">
      <c r="A58" s="119"/>
      <c r="C58" s="189"/>
      <c r="D58" s="189"/>
      <c r="E58" s="345"/>
    </row>
    <row r="59" spans="1:5" s="136" customFormat="1">
      <c r="A59" s="119"/>
      <c r="C59" s="189"/>
      <c r="D59" s="189"/>
      <c r="E59" s="345"/>
    </row>
    <row r="60" spans="1:5" s="136" customFormat="1">
      <c r="A60" s="119"/>
      <c r="C60" s="189"/>
      <c r="D60" s="189"/>
      <c r="E60" s="345"/>
    </row>
    <row r="61" spans="1:5" s="136" customFormat="1">
      <c r="A61" s="119"/>
      <c r="C61" s="189"/>
      <c r="D61" s="189"/>
      <c r="E61" s="345"/>
    </row>
    <row r="62" spans="1:5" s="136" customFormat="1">
      <c r="A62" s="119"/>
      <c r="C62" s="189"/>
      <c r="D62" s="189"/>
      <c r="E62" s="345"/>
    </row>
    <row r="63" spans="1:5" s="136" customFormat="1">
      <c r="A63" s="119"/>
      <c r="C63" s="189"/>
      <c r="D63" s="189"/>
      <c r="E63" s="345"/>
    </row>
    <row r="64" spans="1:5" s="136" customFormat="1">
      <c r="A64" s="119"/>
      <c r="C64" s="189"/>
      <c r="D64" s="189"/>
      <c r="E64" s="345"/>
    </row>
    <row r="65" spans="1:5" s="136" customFormat="1">
      <c r="A65" s="119"/>
      <c r="C65" s="189"/>
      <c r="D65" s="189"/>
      <c r="E65" s="345"/>
    </row>
    <row r="66" spans="1:5" s="136" customFormat="1">
      <c r="A66" s="119"/>
      <c r="C66" s="189"/>
      <c r="D66" s="189"/>
      <c r="E66" s="345"/>
    </row>
    <row r="67" spans="1:5" s="136" customFormat="1">
      <c r="A67" s="119"/>
      <c r="C67" s="189"/>
      <c r="D67" s="189"/>
      <c r="E67" s="345"/>
    </row>
    <row r="68" spans="1:5" s="136" customFormat="1">
      <c r="A68" s="119"/>
      <c r="C68" s="189"/>
      <c r="D68" s="189"/>
      <c r="E68" s="345"/>
    </row>
    <row r="69" spans="1:5" s="136" customFormat="1">
      <c r="A69" s="119"/>
      <c r="C69" s="189"/>
      <c r="D69" s="189"/>
      <c r="E69" s="345"/>
    </row>
    <row r="70" spans="1:5" s="136" customFormat="1">
      <c r="A70" s="119"/>
      <c r="C70" s="189"/>
      <c r="D70" s="189"/>
      <c r="E70" s="345"/>
    </row>
    <row r="71" spans="1:5" s="136" customFormat="1">
      <c r="A71" s="119"/>
      <c r="C71" s="189"/>
      <c r="D71" s="189"/>
      <c r="E71" s="345"/>
    </row>
    <row r="72" spans="1:5" s="136" customFormat="1">
      <c r="A72" s="119"/>
      <c r="C72" s="189"/>
      <c r="D72" s="189"/>
      <c r="E72" s="345"/>
    </row>
    <row r="73" spans="1:5" s="136" customFormat="1">
      <c r="A73" s="119"/>
      <c r="C73" s="189"/>
      <c r="D73" s="189"/>
      <c r="E73" s="345"/>
    </row>
    <row r="74" spans="1:5" s="136" customFormat="1">
      <c r="A74" s="119"/>
      <c r="C74" s="189"/>
      <c r="D74" s="189"/>
      <c r="E74" s="345"/>
    </row>
    <row r="75" spans="1:5" s="136" customFormat="1">
      <c r="A75" s="119"/>
      <c r="C75" s="189"/>
      <c r="D75" s="189"/>
      <c r="E75" s="345"/>
    </row>
    <row r="76" spans="1:5" s="136" customFormat="1">
      <c r="A76" s="119"/>
      <c r="C76" s="189"/>
      <c r="D76" s="189"/>
      <c r="E76" s="345"/>
    </row>
    <row r="77" spans="1:5" s="136" customFormat="1">
      <c r="A77" s="119"/>
      <c r="C77" s="189"/>
      <c r="D77" s="189"/>
      <c r="E77" s="345"/>
    </row>
    <row r="78" spans="1:5" s="136" customFormat="1">
      <c r="A78" s="119"/>
      <c r="C78" s="189"/>
      <c r="D78" s="189"/>
      <c r="E78" s="345"/>
    </row>
    <row r="79" spans="1:5" s="136" customFormat="1">
      <c r="A79" s="119"/>
      <c r="C79" s="189"/>
      <c r="D79" s="189"/>
      <c r="E79" s="345"/>
    </row>
    <row r="80" spans="1:5" s="136" customFormat="1">
      <c r="A80" s="119"/>
      <c r="C80" s="189"/>
      <c r="D80" s="189"/>
      <c r="E80" s="345"/>
    </row>
    <row r="81" spans="1:5" s="136" customFormat="1">
      <c r="A81" s="119"/>
      <c r="C81" s="189"/>
      <c r="D81" s="189"/>
      <c r="E81" s="345"/>
    </row>
    <row r="82" spans="1:5" s="136" customFormat="1">
      <c r="A82" s="119"/>
      <c r="C82" s="189"/>
      <c r="D82" s="189"/>
      <c r="E82" s="345"/>
    </row>
    <row r="83" spans="1:5" s="136" customFormat="1">
      <c r="A83" s="119"/>
      <c r="C83" s="189"/>
      <c r="D83" s="189"/>
      <c r="E83" s="345"/>
    </row>
    <row r="84" spans="1:5" s="136" customFormat="1">
      <c r="A84" s="119"/>
      <c r="C84" s="189"/>
      <c r="D84" s="189"/>
      <c r="E84" s="345"/>
    </row>
    <row r="85" spans="1:5" s="136" customFormat="1">
      <c r="A85" s="119"/>
      <c r="C85" s="189"/>
      <c r="D85" s="189"/>
      <c r="E85" s="345"/>
    </row>
    <row r="86" spans="1:5" s="136" customFormat="1">
      <c r="A86" s="119"/>
      <c r="C86" s="189"/>
      <c r="D86" s="189"/>
      <c r="E86" s="345"/>
    </row>
    <row r="87" spans="1:5" s="136" customFormat="1">
      <c r="A87" s="119"/>
      <c r="C87" s="189"/>
      <c r="D87" s="189"/>
      <c r="E87" s="345"/>
    </row>
    <row r="88" spans="1:5" s="136" customFormat="1">
      <c r="A88" s="119"/>
      <c r="C88" s="189"/>
      <c r="D88" s="189"/>
      <c r="E88" s="345"/>
    </row>
    <row r="89" spans="1:5" s="136" customFormat="1">
      <c r="A89" s="119"/>
      <c r="C89" s="189"/>
      <c r="D89" s="189"/>
      <c r="E89" s="345"/>
    </row>
    <row r="90" spans="1:5" s="136" customFormat="1">
      <c r="A90" s="119"/>
      <c r="C90" s="189"/>
      <c r="D90" s="189"/>
      <c r="E90" s="345"/>
    </row>
    <row r="91" spans="1:5" s="136" customFormat="1">
      <c r="A91" s="119"/>
      <c r="C91" s="189"/>
      <c r="D91" s="189"/>
      <c r="E91" s="345"/>
    </row>
    <row r="92" spans="1:5" s="136" customFormat="1">
      <c r="A92" s="119"/>
      <c r="C92" s="189"/>
      <c r="D92" s="189"/>
      <c r="E92" s="345"/>
    </row>
    <row r="93" spans="1:5" s="136" customFormat="1">
      <c r="A93" s="119"/>
      <c r="C93" s="189"/>
      <c r="D93" s="189"/>
      <c r="E93" s="345"/>
    </row>
    <row r="94" spans="1:5" s="136" customFormat="1">
      <c r="A94" s="119"/>
      <c r="C94" s="189"/>
      <c r="D94" s="189"/>
      <c r="E94" s="345"/>
    </row>
    <row r="95" spans="1:5" s="136" customFormat="1">
      <c r="A95" s="119"/>
      <c r="C95" s="189"/>
      <c r="D95" s="189"/>
      <c r="E95" s="345"/>
    </row>
    <row r="96" spans="1:5" s="136" customFormat="1">
      <c r="A96" s="119"/>
      <c r="C96" s="189"/>
      <c r="D96" s="189"/>
      <c r="E96" s="345"/>
    </row>
    <row r="97" spans="1:5" s="136" customFormat="1">
      <c r="A97" s="119"/>
      <c r="C97" s="189"/>
      <c r="D97" s="189"/>
      <c r="E97" s="345"/>
    </row>
    <row r="98" spans="1:5" s="136" customFormat="1">
      <c r="A98" s="119"/>
      <c r="C98" s="189"/>
      <c r="D98" s="189"/>
      <c r="E98" s="345"/>
    </row>
    <row r="99" spans="1:5" s="136" customFormat="1">
      <c r="A99" s="119"/>
      <c r="C99" s="189"/>
      <c r="D99" s="189"/>
      <c r="E99" s="345"/>
    </row>
    <row r="100" spans="1:5" s="136" customFormat="1">
      <c r="A100" s="119"/>
      <c r="C100" s="189"/>
      <c r="D100" s="189"/>
      <c r="E100" s="345"/>
    </row>
    <row r="101" spans="1:5" s="136" customFormat="1">
      <c r="A101" s="119"/>
      <c r="C101" s="189"/>
      <c r="D101" s="189"/>
      <c r="E101" s="345"/>
    </row>
    <row r="102" spans="1:5" s="136" customFormat="1">
      <c r="A102" s="119"/>
      <c r="C102" s="189"/>
      <c r="D102" s="189"/>
      <c r="E102" s="345"/>
    </row>
    <row r="103" spans="1:5" s="136" customFormat="1">
      <c r="A103" s="119"/>
      <c r="C103" s="189"/>
      <c r="D103" s="189"/>
      <c r="E103" s="345"/>
    </row>
    <row r="104" spans="1:5" s="136" customFormat="1">
      <c r="A104" s="119"/>
      <c r="C104" s="189"/>
      <c r="D104" s="189"/>
      <c r="E104" s="345"/>
    </row>
    <row r="105" spans="1:5" s="136" customFormat="1">
      <c r="A105" s="119"/>
      <c r="C105" s="189"/>
      <c r="D105" s="189"/>
      <c r="E105" s="345"/>
    </row>
    <row r="106" spans="1:5" s="136" customFormat="1">
      <c r="A106" s="119"/>
      <c r="C106" s="189"/>
      <c r="D106" s="189"/>
      <c r="E106" s="345"/>
    </row>
    <row r="107" spans="1:5" s="136" customFormat="1">
      <c r="A107" s="119"/>
      <c r="C107" s="189"/>
      <c r="D107" s="189"/>
      <c r="E107" s="345"/>
    </row>
    <row r="108" spans="1:5" s="136" customFormat="1">
      <c r="A108" s="119"/>
      <c r="C108" s="189"/>
      <c r="D108" s="189"/>
      <c r="E108" s="345"/>
    </row>
    <row r="109" spans="1:5" s="136" customFormat="1">
      <c r="A109" s="119"/>
      <c r="C109" s="189"/>
      <c r="D109" s="189"/>
      <c r="E109" s="345"/>
    </row>
    <row r="110" spans="1:5" s="136" customFormat="1">
      <c r="A110" s="119"/>
      <c r="C110" s="189"/>
      <c r="D110" s="189"/>
      <c r="E110" s="345"/>
    </row>
    <row r="111" spans="1:5" s="136" customFormat="1">
      <c r="A111" s="119"/>
      <c r="C111" s="189"/>
      <c r="D111" s="189"/>
      <c r="E111" s="345"/>
    </row>
    <row r="112" spans="1:5" s="136" customFormat="1">
      <c r="A112" s="119"/>
      <c r="C112" s="189"/>
      <c r="D112" s="189"/>
      <c r="E112" s="345"/>
    </row>
    <row r="113" spans="1:5" s="136" customFormat="1">
      <c r="A113" s="119"/>
      <c r="C113" s="189"/>
      <c r="D113" s="189"/>
      <c r="E113" s="345"/>
    </row>
    <row r="114" spans="1:5" s="136" customFormat="1">
      <c r="A114" s="119"/>
      <c r="C114" s="189"/>
      <c r="D114" s="189"/>
      <c r="E114" s="345"/>
    </row>
    <row r="115" spans="1:5" s="136" customFormat="1">
      <c r="A115" s="119"/>
      <c r="C115" s="189"/>
      <c r="D115" s="189"/>
      <c r="E115" s="345"/>
    </row>
    <row r="116" spans="1:5" s="136" customFormat="1">
      <c r="A116" s="119"/>
      <c r="C116" s="189"/>
      <c r="D116" s="189"/>
      <c r="E116" s="345"/>
    </row>
    <row r="117" spans="1:5" s="136" customFormat="1">
      <c r="A117" s="119"/>
      <c r="C117" s="189"/>
      <c r="D117" s="189"/>
      <c r="E117" s="345"/>
    </row>
    <row r="118" spans="1:5" s="136" customFormat="1">
      <c r="A118" s="119"/>
      <c r="C118" s="189"/>
      <c r="D118" s="189"/>
      <c r="E118" s="345"/>
    </row>
    <row r="119" spans="1:5" s="136" customFormat="1">
      <c r="A119" s="119"/>
      <c r="C119" s="189"/>
      <c r="D119" s="189"/>
      <c r="E119" s="345"/>
    </row>
    <row r="120" spans="1:5" s="136" customFormat="1">
      <c r="A120" s="119"/>
      <c r="C120" s="189"/>
      <c r="D120" s="189"/>
      <c r="E120" s="345"/>
    </row>
    <row r="121" spans="1:5" s="136" customFormat="1">
      <c r="A121" s="119"/>
      <c r="C121" s="189"/>
      <c r="D121" s="189"/>
      <c r="E121" s="345"/>
    </row>
    <row r="122" spans="1:5" s="136" customFormat="1">
      <c r="A122" s="119"/>
      <c r="C122" s="189"/>
      <c r="D122" s="189"/>
      <c r="E122" s="345"/>
    </row>
    <row r="123" spans="1:5" s="136" customFormat="1">
      <c r="A123" s="119"/>
      <c r="C123" s="189"/>
      <c r="D123" s="189"/>
      <c r="E123" s="345"/>
    </row>
    <row r="124" spans="1:5" s="136" customFormat="1">
      <c r="A124" s="119"/>
      <c r="C124" s="189"/>
      <c r="D124" s="189"/>
      <c r="E124" s="345"/>
    </row>
    <row r="125" spans="1:5" s="136" customFormat="1">
      <c r="A125" s="119"/>
      <c r="C125" s="189"/>
      <c r="D125" s="189"/>
      <c r="E125" s="345"/>
    </row>
    <row r="126" spans="1:5" s="136" customFormat="1">
      <c r="A126" s="119"/>
      <c r="C126" s="189"/>
      <c r="D126" s="189"/>
      <c r="E126" s="345"/>
    </row>
    <row r="127" spans="1:5" s="136" customFormat="1">
      <c r="A127" s="119"/>
      <c r="C127" s="189"/>
      <c r="D127" s="189"/>
      <c r="E127" s="345"/>
    </row>
    <row r="128" spans="1:5" s="136" customFormat="1">
      <c r="A128" s="119"/>
      <c r="C128" s="189"/>
      <c r="D128" s="189"/>
      <c r="E128" s="345"/>
    </row>
    <row r="129" spans="1:5" s="136" customFormat="1">
      <c r="A129" s="119"/>
      <c r="C129" s="189"/>
      <c r="D129" s="189"/>
      <c r="E129" s="345"/>
    </row>
    <row r="130" spans="1:5" s="136" customFormat="1">
      <c r="A130" s="119"/>
      <c r="C130" s="189"/>
      <c r="D130" s="189"/>
      <c r="E130" s="345"/>
    </row>
    <row r="131" spans="1:5" s="136" customFormat="1">
      <c r="A131" s="119"/>
      <c r="C131" s="189"/>
      <c r="D131" s="189"/>
      <c r="E131" s="345"/>
    </row>
    <row r="132" spans="1:5" s="136" customFormat="1">
      <c r="A132" s="119"/>
      <c r="C132" s="189"/>
      <c r="D132" s="189"/>
      <c r="E132" s="345"/>
    </row>
    <row r="133" spans="1:5" s="136" customFormat="1">
      <c r="A133" s="119"/>
      <c r="C133" s="189"/>
      <c r="D133" s="189"/>
      <c r="E133" s="345"/>
    </row>
    <row r="134" spans="1:5" s="136" customFormat="1">
      <c r="A134" s="119"/>
      <c r="C134" s="189"/>
      <c r="D134" s="189"/>
      <c r="E134" s="345"/>
    </row>
    <row r="135" spans="1:5" s="136" customFormat="1">
      <c r="A135" s="119"/>
      <c r="C135" s="189"/>
      <c r="D135" s="189"/>
      <c r="E135" s="345"/>
    </row>
    <row r="136" spans="1:5" s="136" customFormat="1">
      <c r="A136" s="119"/>
      <c r="C136" s="189"/>
      <c r="D136" s="189"/>
      <c r="E136" s="345"/>
    </row>
    <row r="137" spans="1:5" s="136" customFormat="1">
      <c r="A137" s="119"/>
      <c r="C137" s="189"/>
      <c r="D137" s="189"/>
      <c r="E137" s="345"/>
    </row>
    <row r="138" spans="1:5" s="136" customFormat="1">
      <c r="A138" s="119"/>
      <c r="C138" s="189"/>
      <c r="D138" s="189"/>
      <c r="E138" s="345"/>
    </row>
    <row r="139" spans="1:5" s="136" customFormat="1">
      <c r="A139" s="119"/>
      <c r="C139" s="189"/>
      <c r="D139" s="189"/>
      <c r="E139" s="345"/>
    </row>
    <row r="140" spans="1:5" s="136" customFormat="1">
      <c r="A140" s="119"/>
      <c r="C140" s="189"/>
      <c r="D140" s="189"/>
      <c r="E140" s="345"/>
    </row>
    <row r="141" spans="1:5" s="136" customFormat="1">
      <c r="A141" s="119"/>
      <c r="C141" s="189"/>
      <c r="D141" s="189"/>
      <c r="E141" s="345"/>
    </row>
    <row r="142" spans="1:5" s="136" customFormat="1">
      <c r="A142" s="119"/>
      <c r="C142" s="189"/>
      <c r="D142" s="189"/>
      <c r="E142" s="345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H24"/>
  <sheetViews>
    <sheetView zoomScale="80" zoomScaleNormal="80" zoomScalePageLayoutView="80" workbookViewId="0"/>
  </sheetViews>
  <sheetFormatPr defaultColWidth="8.7109375" defaultRowHeight="15.75"/>
  <cols>
    <col min="1" max="1" width="5.140625" style="119" bestFit="1" customWidth="1"/>
    <col min="2" max="2" width="68.7109375" style="136" customWidth="1"/>
    <col min="3" max="3" width="25.7109375" style="136" bestFit="1" customWidth="1"/>
    <col min="4" max="4" width="1.5703125" style="136" customWidth="1"/>
    <col min="5" max="5" width="16.7109375" style="136" customWidth="1"/>
    <col min="6" max="6" width="1.5703125" style="136" customWidth="1"/>
    <col min="7" max="7" width="34.5703125" style="136" customWidth="1"/>
    <col min="8" max="8" width="5.140625" style="136" customWidth="1"/>
    <col min="9" max="9" width="8.7109375" style="136"/>
    <col min="10" max="10" width="20.28515625" style="136" bestFit="1" customWidth="1"/>
    <col min="11" max="16384" width="8.7109375" style="136"/>
  </cols>
  <sheetData>
    <row r="1" spans="1:8">
      <c r="E1" s="347"/>
      <c r="F1" s="347"/>
      <c r="G1" s="119"/>
      <c r="H1" s="119"/>
    </row>
    <row r="2" spans="1:8">
      <c r="B2" s="1305" t="s">
        <v>0</v>
      </c>
      <c r="C2" s="1305"/>
      <c r="D2" s="1305"/>
      <c r="E2" s="1305"/>
      <c r="F2" s="1305"/>
      <c r="G2" s="1305"/>
      <c r="H2" s="119"/>
    </row>
    <row r="3" spans="1:8">
      <c r="B3" s="1305" t="s">
        <v>723</v>
      </c>
      <c r="C3" s="1305"/>
      <c r="D3" s="1305"/>
      <c r="E3" s="1305"/>
      <c r="F3" s="1305"/>
      <c r="G3" s="1305"/>
      <c r="H3" s="119"/>
    </row>
    <row r="4" spans="1:8">
      <c r="B4" s="1305" t="s">
        <v>724</v>
      </c>
      <c r="C4" s="1305"/>
      <c r="D4" s="1305"/>
      <c r="E4" s="1305"/>
      <c r="F4" s="1305"/>
      <c r="G4" s="1305"/>
      <c r="H4" s="119"/>
    </row>
    <row r="5" spans="1:8">
      <c r="B5" s="1307" t="str">
        <f>'A. Sec.1 - Direct Maintenance'!B5</f>
        <v>Base Period &amp; True-Up Period 12 - Months Ending December 31, 2022</v>
      </c>
      <c r="C5" s="1307"/>
      <c r="D5" s="1307"/>
      <c r="E5" s="1307"/>
      <c r="F5" s="1307"/>
      <c r="G5" s="1307"/>
      <c r="H5" s="119"/>
    </row>
    <row r="6" spans="1:8">
      <c r="B6" s="1309" t="s">
        <v>3</v>
      </c>
      <c r="C6" s="1306"/>
      <c r="D6" s="1306"/>
      <c r="E6" s="1306"/>
      <c r="F6" s="1306"/>
      <c r="G6" s="1306"/>
      <c r="H6" s="119"/>
    </row>
    <row r="7" spans="1:8">
      <c r="B7" s="119"/>
      <c r="C7" s="119"/>
      <c r="D7" s="119"/>
      <c r="E7" s="119"/>
      <c r="F7" s="119"/>
      <c r="G7" s="119"/>
      <c r="H7" s="119"/>
    </row>
    <row r="8" spans="1:8">
      <c r="A8" s="119" t="s">
        <v>4</v>
      </c>
      <c r="C8" s="250" t="s">
        <v>189</v>
      </c>
      <c r="E8" s="119"/>
      <c r="F8" s="119"/>
      <c r="G8" s="119"/>
      <c r="H8" s="119" t="s">
        <v>4</v>
      </c>
    </row>
    <row r="9" spans="1:8">
      <c r="A9" s="119" t="s">
        <v>5</v>
      </c>
      <c r="B9" s="136" t="s">
        <v>186</v>
      </c>
      <c r="C9" s="1003" t="s">
        <v>191</v>
      </c>
      <c r="E9" s="1018" t="s">
        <v>7</v>
      </c>
      <c r="F9" s="348"/>
      <c r="G9" s="1018" t="s">
        <v>8</v>
      </c>
      <c r="H9" s="119" t="s">
        <v>5</v>
      </c>
    </row>
    <row r="10" spans="1:8">
      <c r="E10" s="347"/>
      <c r="F10" s="347"/>
      <c r="G10" s="119"/>
      <c r="H10" s="119"/>
    </row>
    <row r="11" spans="1:8">
      <c r="A11" s="119">
        <f>+A10+1</f>
        <v>1</v>
      </c>
      <c r="B11" s="136" t="s">
        <v>725</v>
      </c>
      <c r="C11" s="250" t="s">
        <v>988</v>
      </c>
      <c r="E11" s="349">
        <v>-264.76299999999998</v>
      </c>
      <c r="F11" s="348"/>
      <c r="G11" s="348"/>
      <c r="H11" s="119">
        <f>A11</f>
        <v>1</v>
      </c>
    </row>
    <row r="12" spans="1:8">
      <c r="A12" s="119">
        <f>+A11+1</f>
        <v>2</v>
      </c>
      <c r="C12" s="70"/>
      <c r="E12" s="347"/>
      <c r="F12" s="347"/>
      <c r="G12" s="348"/>
      <c r="H12" s="119">
        <f>+H11+1</f>
        <v>2</v>
      </c>
    </row>
    <row r="13" spans="1:8">
      <c r="A13" s="119">
        <f t="shared" ref="A13:A20" si="0">+A12+1</f>
        <v>3</v>
      </c>
      <c r="B13" s="136" t="s">
        <v>726</v>
      </c>
      <c r="C13" s="70"/>
      <c r="E13" s="347"/>
      <c r="F13" s="347"/>
      <c r="G13" s="348"/>
      <c r="H13" s="119">
        <f t="shared" ref="H13:H20" si="1">+H12+1</f>
        <v>3</v>
      </c>
    </row>
    <row r="14" spans="1:8">
      <c r="A14" s="119">
        <f t="shared" si="0"/>
        <v>4</v>
      </c>
      <c r="B14" s="18" t="s">
        <v>727</v>
      </c>
      <c r="C14" s="250"/>
      <c r="E14" s="402">
        <f>'AR-1'!G18</f>
        <v>0</v>
      </c>
      <c r="F14" s="347"/>
      <c r="G14" s="119" t="str">
        <f>"AR-1; Line "&amp;'AR-1'!A18&amp;"; Col. c"</f>
        <v>AR-1; Line 7; Col. c</v>
      </c>
      <c r="H14" s="119">
        <f t="shared" si="1"/>
        <v>4</v>
      </c>
    </row>
    <row r="15" spans="1:8">
      <c r="A15" s="119">
        <f t="shared" si="0"/>
        <v>5</v>
      </c>
      <c r="B15" s="18" t="s">
        <v>728</v>
      </c>
      <c r="C15" s="250"/>
      <c r="E15" s="402">
        <f>'AR-1'!G25</f>
        <v>0</v>
      </c>
      <c r="F15" s="347"/>
      <c r="G15" s="119" t="str">
        <f>"AR-1; Line "&amp;'AR-1'!A25&amp;"; Col. c"</f>
        <v>AR-1; Line 14; Col. c</v>
      </c>
      <c r="H15" s="119">
        <f t="shared" si="1"/>
        <v>5</v>
      </c>
    </row>
    <row r="16" spans="1:8">
      <c r="A16" s="119">
        <f t="shared" si="0"/>
        <v>6</v>
      </c>
      <c r="B16" s="18" t="s">
        <v>729</v>
      </c>
      <c r="C16" s="250"/>
      <c r="E16" s="1028">
        <f>'AR-1'!G33</f>
        <v>0</v>
      </c>
      <c r="F16" s="347"/>
      <c r="G16" s="119" t="str">
        <f>"AR-1; Line "&amp;'AR-1'!A33&amp;"; Col. c"</f>
        <v>AR-1; Line 22; Col. c</v>
      </c>
      <c r="H16" s="119">
        <f t="shared" si="1"/>
        <v>6</v>
      </c>
    </row>
    <row r="17" spans="1:8">
      <c r="A17" s="119">
        <f t="shared" si="0"/>
        <v>7</v>
      </c>
      <c r="B17" s="18" t="s">
        <v>730</v>
      </c>
      <c r="C17" s="250"/>
      <c r="E17" s="593">
        <f>SUM(E14:E16)</f>
        <v>0</v>
      </c>
      <c r="F17" s="348"/>
      <c r="G17" s="119" t="str">
        <f>"Sum Lines "&amp;A14&amp;" thru "&amp;A16</f>
        <v>Sum Lines 4 thru 6</v>
      </c>
      <c r="H17" s="119">
        <f t="shared" si="1"/>
        <v>7</v>
      </c>
    </row>
    <row r="18" spans="1:8">
      <c r="A18" s="119">
        <f t="shared" si="0"/>
        <v>8</v>
      </c>
      <c r="B18" s="18"/>
      <c r="C18" s="250"/>
      <c r="E18" s="347"/>
      <c r="F18" s="348"/>
      <c r="G18" s="348"/>
      <c r="H18" s="119">
        <f t="shared" si="1"/>
        <v>8</v>
      </c>
    </row>
    <row r="19" spans="1:8">
      <c r="A19" s="119">
        <f t="shared" si="0"/>
        <v>9</v>
      </c>
      <c r="B19" s="136" t="s">
        <v>731</v>
      </c>
      <c r="C19" s="250"/>
      <c r="E19" s="1028">
        <v>0</v>
      </c>
      <c r="F19" s="348"/>
      <c r="G19" s="119" t="str">
        <f>"Not Applicable to "&amp;Automation!B3&amp;" Base Period"</f>
        <v>Not Applicable to 2022 Base Period</v>
      </c>
      <c r="H19" s="119">
        <f t="shared" si="1"/>
        <v>9</v>
      </c>
    </row>
    <row r="20" spans="1:8">
      <c r="A20" s="119">
        <f t="shared" si="0"/>
        <v>10</v>
      </c>
      <c r="C20" s="70"/>
      <c r="E20" s="348"/>
      <c r="F20" s="348"/>
      <c r="G20" s="348"/>
      <c r="H20" s="119">
        <f t="shared" si="1"/>
        <v>10</v>
      </c>
    </row>
    <row r="21" spans="1:8" ht="19.5" thickBot="1">
      <c r="A21" s="119">
        <f t="shared" ref="A21" si="2">+A20+1</f>
        <v>11</v>
      </c>
      <c r="B21" s="136" t="s">
        <v>732</v>
      </c>
      <c r="E21" s="353">
        <f>E11+E17+E19</f>
        <v>-264.76299999999998</v>
      </c>
      <c r="F21" s="354"/>
      <c r="G21" s="119" t="str">
        <f>"Sum Lines "&amp;A11&amp;", "&amp;A17&amp;", "&amp;A19</f>
        <v>Sum Lines 1, 7, 9</v>
      </c>
      <c r="H21" s="119">
        <f t="shared" ref="H21" si="3">+H20+1</f>
        <v>11</v>
      </c>
    </row>
    <row r="22" spans="1:8" ht="16.5" thickTop="1">
      <c r="H22" s="119"/>
    </row>
    <row r="23" spans="1:8">
      <c r="H23" s="119"/>
    </row>
    <row r="24" spans="1:8" ht="18.75">
      <c r="A24" s="135">
        <v>1</v>
      </c>
      <c r="B24" s="3" t="str">
        <f>"Information on Statement AR is used in Statement AV2, Line "&amp;'Stmt AV'!A86&amp;" to calculate the Cost of Capital Rate."</f>
        <v>Information on Statement AR is used in Statement AV2, Line 7 to calculate the Cost of Capital Rate.</v>
      </c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Roman,Regular"&amp;10AR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D2A8-DB07-4474-BA2D-2E48862037CC}">
  <sheetPr>
    <pageSetUpPr fitToPage="1"/>
  </sheetPr>
  <dimension ref="A2:I36"/>
  <sheetViews>
    <sheetView zoomScale="80" zoomScaleNormal="80" zoomScaleSheetLayoutView="70" workbookViewId="0"/>
  </sheetViews>
  <sheetFormatPr defaultColWidth="8.7109375" defaultRowHeight="15.75"/>
  <cols>
    <col min="1" max="1" width="5.140625" style="250" customWidth="1"/>
    <col min="2" max="2" width="50.7109375" style="219" customWidth="1"/>
    <col min="3" max="3" width="16.710937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23.28515625" style="219" bestFit="1" customWidth="1"/>
    <col min="8" max="8" width="58.28515625" style="219" customWidth="1"/>
    <col min="9" max="9" width="5.140625" style="250" customWidth="1"/>
    <col min="10" max="16384" width="8.7109375" style="219"/>
  </cols>
  <sheetData>
    <row r="2" spans="1:9">
      <c r="B2" s="1299" t="s">
        <v>0</v>
      </c>
      <c r="C2" s="1299"/>
      <c r="D2" s="1299"/>
      <c r="E2" s="1299"/>
      <c r="F2" s="1299"/>
      <c r="G2" s="1299"/>
      <c r="H2" s="1299"/>
    </row>
    <row r="3" spans="1:9">
      <c r="B3" s="1299" t="s">
        <v>733</v>
      </c>
      <c r="C3" s="1299"/>
      <c r="D3" s="1299"/>
      <c r="E3" s="1299"/>
      <c r="F3" s="1299"/>
      <c r="G3" s="1299"/>
      <c r="H3" s="1299"/>
    </row>
    <row r="4" spans="1:9" ht="18.75">
      <c r="B4" s="1299" t="s">
        <v>889</v>
      </c>
      <c r="C4" s="1299"/>
      <c r="D4" s="1299"/>
      <c r="E4" s="1299"/>
      <c r="F4" s="1299"/>
      <c r="G4" s="1299"/>
      <c r="H4" s="1299"/>
    </row>
    <row r="5" spans="1:9">
      <c r="B5" s="1299" t="str">
        <f>"Base Period 12 Months Ending December 31, "&amp;Automation!$B$3</f>
        <v>Base Period 12 Months Ending December 31, 2022</v>
      </c>
      <c r="C5" s="1299"/>
      <c r="D5" s="1299"/>
      <c r="E5" s="1299"/>
      <c r="F5" s="1299"/>
      <c r="G5" s="1299"/>
      <c r="H5" s="1299"/>
    </row>
    <row r="6" spans="1:9" ht="15.75" customHeight="1">
      <c r="B6" s="1297" t="s">
        <v>3</v>
      </c>
      <c r="C6" s="1297"/>
      <c r="D6" s="1297"/>
      <c r="E6" s="1297"/>
      <c r="F6" s="1297"/>
      <c r="G6" s="1297"/>
      <c r="H6" s="1297"/>
    </row>
    <row r="8" spans="1:9">
      <c r="B8" s="240"/>
      <c r="C8" s="695" t="s">
        <v>77</v>
      </c>
      <c r="D8" s="695"/>
      <c r="E8" s="695" t="s">
        <v>78</v>
      </c>
      <c r="F8" s="695"/>
      <c r="G8" s="695" t="s">
        <v>734</v>
      </c>
      <c r="H8" s="695"/>
    </row>
    <row r="9" spans="1:9">
      <c r="A9" s="250" t="s">
        <v>4</v>
      </c>
      <c r="B9" s="240"/>
      <c r="C9" s="695" t="s">
        <v>343</v>
      </c>
      <c r="D9" s="695"/>
      <c r="E9" s="695" t="s">
        <v>343</v>
      </c>
      <c r="F9" s="695"/>
      <c r="G9" s="695"/>
      <c r="H9" s="695"/>
      <c r="I9" s="250" t="s">
        <v>4</v>
      </c>
    </row>
    <row r="10" spans="1:9">
      <c r="A10" s="250" t="s">
        <v>5</v>
      </c>
      <c r="B10" s="994" t="s">
        <v>262</v>
      </c>
      <c r="C10" s="1054" t="s">
        <v>345</v>
      </c>
      <c r="D10" s="1054"/>
      <c r="E10" s="1054" t="s">
        <v>346</v>
      </c>
      <c r="F10" s="1054"/>
      <c r="G10" s="994" t="s">
        <v>80</v>
      </c>
      <c r="H10" s="994" t="s">
        <v>8</v>
      </c>
      <c r="I10" s="250" t="s">
        <v>5</v>
      </c>
    </row>
    <row r="11" spans="1:9">
      <c r="B11" s="240"/>
      <c r="C11" s="841"/>
      <c r="D11" s="841"/>
      <c r="E11" s="841"/>
      <c r="F11" s="841"/>
      <c r="G11" s="486"/>
      <c r="H11" s="486"/>
    </row>
    <row r="12" spans="1:9">
      <c r="A12" s="250">
        <v>1</v>
      </c>
      <c r="B12" s="425" t="s">
        <v>735</v>
      </c>
      <c r="C12" s="842"/>
      <c r="D12" s="842"/>
      <c r="E12" s="842"/>
      <c r="F12" s="842"/>
      <c r="G12" s="486"/>
      <c r="H12" s="486"/>
      <c r="I12" s="250">
        <f>A12</f>
        <v>1</v>
      </c>
    </row>
    <row r="13" spans="1:9">
      <c r="A13" s="250">
        <f>A12+1</f>
        <v>2</v>
      </c>
      <c r="B13" s="425" t="s">
        <v>348</v>
      </c>
      <c r="C13" s="478">
        <v>0</v>
      </c>
      <c r="D13" s="478"/>
      <c r="E13" s="478">
        <v>0</v>
      </c>
      <c r="F13" s="843"/>
      <c r="G13" s="381">
        <f>SUM(C13:E13)</f>
        <v>0</v>
      </c>
      <c r="H13" s="406"/>
      <c r="I13" s="250">
        <f>I12+1</f>
        <v>2</v>
      </c>
    </row>
    <row r="14" spans="1:9">
      <c r="A14" s="250">
        <f t="shared" ref="A14:A33" si="0">A13+1</f>
        <v>3</v>
      </c>
      <c r="B14" s="425" t="s">
        <v>349</v>
      </c>
      <c r="C14" s="496">
        <v>0</v>
      </c>
      <c r="D14" s="496"/>
      <c r="E14" s="496">
        <v>0</v>
      </c>
      <c r="F14" s="496"/>
      <c r="G14" s="164">
        <f>SUM(C14:E14)</f>
        <v>0</v>
      </c>
      <c r="H14" s="406"/>
      <c r="I14" s="250">
        <f t="shared" ref="I14:I33" si="1">I13+1</f>
        <v>3</v>
      </c>
    </row>
    <row r="15" spans="1:9">
      <c r="A15" s="250">
        <f t="shared" si="0"/>
        <v>4</v>
      </c>
      <c r="B15" s="425" t="s">
        <v>350</v>
      </c>
      <c r="C15" s="496">
        <v>0</v>
      </c>
      <c r="D15" s="496"/>
      <c r="E15" s="496">
        <v>0</v>
      </c>
      <c r="F15" s="496"/>
      <c r="G15" s="164">
        <f>SUM(C15:E15)</f>
        <v>0</v>
      </c>
      <c r="H15" s="406"/>
      <c r="I15" s="250">
        <f t="shared" si="1"/>
        <v>4</v>
      </c>
    </row>
    <row r="16" spans="1:9">
      <c r="A16" s="250">
        <f t="shared" si="0"/>
        <v>5</v>
      </c>
      <c r="B16" s="425"/>
      <c r="C16" s="496">
        <v>0</v>
      </c>
      <c r="D16" s="496"/>
      <c r="E16" s="496">
        <v>0</v>
      </c>
      <c r="F16" s="164"/>
      <c r="G16" s="164">
        <f>SUM(C16:E16)</f>
        <v>0</v>
      </c>
      <c r="H16" s="164"/>
      <c r="I16" s="250">
        <f t="shared" si="1"/>
        <v>5</v>
      </c>
    </row>
    <row r="17" spans="1:9">
      <c r="A17" s="250">
        <f t="shared" si="0"/>
        <v>6</v>
      </c>
      <c r="C17" s="164">
        <v>0</v>
      </c>
      <c r="D17" s="164"/>
      <c r="E17" s="164">
        <v>0</v>
      </c>
      <c r="F17" s="164"/>
      <c r="G17" s="164">
        <f>SUM(C17:E17)</f>
        <v>0</v>
      </c>
      <c r="H17" s="164"/>
      <c r="I17" s="250">
        <f t="shared" si="1"/>
        <v>6</v>
      </c>
    </row>
    <row r="18" spans="1:9" ht="16.5" thickBot="1">
      <c r="A18" s="250">
        <f t="shared" si="0"/>
        <v>7</v>
      </c>
      <c r="B18" s="471" t="s">
        <v>351</v>
      </c>
      <c r="C18" s="844">
        <f t="shared" ref="C18:G18" si="2">SUM(C13:C17)</f>
        <v>0</v>
      </c>
      <c r="D18" s="328"/>
      <c r="E18" s="844">
        <f>SUM(E13:E17)</f>
        <v>0</v>
      </c>
      <c r="F18" s="164"/>
      <c r="G18" s="844">
        <f t="shared" si="2"/>
        <v>0</v>
      </c>
      <c r="H18" s="845" t="str">
        <f>"Sum Lines "&amp;A13&amp;" thru "&amp;A17</f>
        <v>Sum Lines 2 thru 6</v>
      </c>
      <c r="I18" s="250">
        <f t="shared" si="1"/>
        <v>7</v>
      </c>
    </row>
    <row r="19" spans="1:9" ht="16.5" thickTop="1">
      <c r="A19" s="250">
        <f t="shared" si="0"/>
        <v>8</v>
      </c>
      <c r="C19" s="846"/>
      <c r="D19" s="846"/>
      <c r="E19" s="846"/>
      <c r="F19" s="846"/>
      <c r="G19" s="846"/>
      <c r="H19" s="846"/>
      <c r="I19" s="250">
        <f t="shared" si="1"/>
        <v>8</v>
      </c>
    </row>
    <row r="20" spans="1:9">
      <c r="A20" s="250">
        <f t="shared" si="0"/>
        <v>9</v>
      </c>
      <c r="B20" s="425" t="s">
        <v>736</v>
      </c>
      <c r="C20" s="842"/>
      <c r="D20" s="842"/>
      <c r="E20" s="842"/>
      <c r="F20" s="842"/>
      <c r="G20" s="486"/>
      <c r="H20" s="486"/>
      <c r="I20" s="250">
        <f t="shared" si="1"/>
        <v>9</v>
      </c>
    </row>
    <row r="21" spans="1:9">
      <c r="A21" s="250">
        <f t="shared" si="0"/>
        <v>10</v>
      </c>
      <c r="B21" s="847" t="s">
        <v>353</v>
      </c>
      <c r="C21" s="381">
        <v>0</v>
      </c>
      <c r="D21" s="381"/>
      <c r="E21" s="381">
        <v>0</v>
      </c>
      <c r="F21" s="381"/>
      <c r="G21" s="381">
        <f>SUM(C21:E21)</f>
        <v>0</v>
      </c>
      <c r="H21" s="406"/>
      <c r="I21" s="250">
        <f t="shared" si="1"/>
        <v>10</v>
      </c>
    </row>
    <row r="22" spans="1:9">
      <c r="A22" s="250">
        <f t="shared" si="0"/>
        <v>11</v>
      </c>
      <c r="C22" s="164">
        <v>0</v>
      </c>
      <c r="D22" s="164"/>
      <c r="E22" s="164">
        <v>0</v>
      </c>
      <c r="F22" s="164"/>
      <c r="G22" s="164">
        <f>SUM(C22:E22)</f>
        <v>0</v>
      </c>
      <c r="H22" s="164"/>
      <c r="I22" s="250">
        <f t="shared" si="1"/>
        <v>11</v>
      </c>
    </row>
    <row r="23" spans="1:9">
      <c r="A23" s="250">
        <f t="shared" si="0"/>
        <v>12</v>
      </c>
      <c r="C23" s="164">
        <v>0</v>
      </c>
      <c r="D23" s="164"/>
      <c r="E23" s="164">
        <v>0</v>
      </c>
      <c r="F23" s="164"/>
      <c r="G23" s="164">
        <f>SUM(C23:E23)</f>
        <v>0</v>
      </c>
      <c r="H23" s="164"/>
      <c r="I23" s="250">
        <f t="shared" si="1"/>
        <v>12</v>
      </c>
    </row>
    <row r="24" spans="1:9">
      <c r="A24" s="250">
        <f t="shared" si="0"/>
        <v>13</v>
      </c>
      <c r="C24" s="164">
        <v>0</v>
      </c>
      <c r="D24" s="164"/>
      <c r="E24" s="164">
        <v>0</v>
      </c>
      <c r="F24" s="164"/>
      <c r="G24" s="164">
        <f>SUM(C24:E24)</f>
        <v>0</v>
      </c>
      <c r="H24" s="164"/>
      <c r="I24" s="250">
        <f t="shared" si="1"/>
        <v>13</v>
      </c>
    </row>
    <row r="25" spans="1:9" ht="16.5" thickBot="1">
      <c r="A25" s="250">
        <f t="shared" si="0"/>
        <v>14</v>
      </c>
      <c r="B25" s="471" t="s">
        <v>354</v>
      </c>
      <c r="C25" s="844">
        <f>SUM(C21:C24)</f>
        <v>0</v>
      </c>
      <c r="D25" s="328"/>
      <c r="E25" s="844">
        <f>SUM(E21:E24)</f>
        <v>0</v>
      </c>
      <c r="F25" s="164"/>
      <c r="G25" s="844">
        <f>SUM(G21:G24)</f>
        <v>0</v>
      </c>
      <c r="H25" s="845" t="str">
        <f>"Sum Lines "&amp;A21&amp;" thru "&amp;A24</f>
        <v>Sum Lines 10 thru 13</v>
      </c>
      <c r="I25" s="250">
        <f t="shared" si="1"/>
        <v>14</v>
      </c>
    </row>
    <row r="26" spans="1:9" ht="16.5" thickTop="1">
      <c r="A26" s="250">
        <f t="shared" si="0"/>
        <v>15</v>
      </c>
      <c r="I26" s="250">
        <f t="shared" si="1"/>
        <v>15</v>
      </c>
    </row>
    <row r="27" spans="1:9">
      <c r="A27" s="250">
        <f t="shared" si="0"/>
        <v>16</v>
      </c>
      <c r="B27" s="425" t="s">
        <v>737</v>
      </c>
      <c r="C27" s="842"/>
      <c r="D27" s="842"/>
      <c r="E27" s="842"/>
      <c r="F27" s="842"/>
      <c r="G27" s="486"/>
      <c r="H27" s="250"/>
      <c r="I27" s="250">
        <f t="shared" si="1"/>
        <v>16</v>
      </c>
    </row>
    <row r="28" spans="1:9">
      <c r="A28" s="250">
        <f t="shared" si="0"/>
        <v>17</v>
      </c>
      <c r="B28" s="425" t="s">
        <v>356</v>
      </c>
      <c r="C28" s="478">
        <v>0</v>
      </c>
      <c r="D28" s="478"/>
      <c r="E28" s="478">
        <v>0</v>
      </c>
      <c r="F28" s="843"/>
      <c r="G28" s="381">
        <f>SUM(C28:E28)</f>
        <v>0</v>
      </c>
      <c r="H28" s="406"/>
      <c r="I28" s="250">
        <f t="shared" si="1"/>
        <v>17</v>
      </c>
    </row>
    <row r="29" spans="1:9">
      <c r="A29" s="250">
        <f t="shared" si="0"/>
        <v>18</v>
      </c>
      <c r="B29" s="425"/>
      <c r="C29" s="496">
        <v>0</v>
      </c>
      <c r="D29" s="496"/>
      <c r="E29" s="496">
        <v>0</v>
      </c>
      <c r="F29" s="164"/>
      <c r="G29" s="164">
        <f>SUM(C29:E29)</f>
        <v>0</v>
      </c>
      <c r="H29" s="250"/>
      <c r="I29" s="250">
        <f t="shared" si="1"/>
        <v>18</v>
      </c>
    </row>
    <row r="30" spans="1:9">
      <c r="A30" s="250">
        <f t="shared" si="0"/>
        <v>19</v>
      </c>
      <c r="B30" s="425"/>
      <c r="C30" s="164">
        <v>0</v>
      </c>
      <c r="D30" s="164"/>
      <c r="E30" s="164">
        <v>0</v>
      </c>
      <c r="F30" s="164"/>
      <c r="G30" s="164">
        <f>SUM(C30:E30)</f>
        <v>0</v>
      </c>
      <c r="H30" s="164"/>
      <c r="I30" s="250">
        <f t="shared" si="1"/>
        <v>19</v>
      </c>
    </row>
    <row r="31" spans="1:9">
      <c r="A31" s="250">
        <f t="shared" si="0"/>
        <v>20</v>
      </c>
      <c r="B31" s="425"/>
      <c r="C31" s="164">
        <v>0</v>
      </c>
      <c r="D31" s="164"/>
      <c r="E31" s="164">
        <v>0</v>
      </c>
      <c r="F31" s="164"/>
      <c r="G31" s="164">
        <f>SUM(C31:E31)</f>
        <v>0</v>
      </c>
      <c r="H31" s="164"/>
      <c r="I31" s="250">
        <f t="shared" si="1"/>
        <v>20</v>
      </c>
    </row>
    <row r="32" spans="1:9">
      <c r="A32" s="250">
        <f t="shared" si="0"/>
        <v>21</v>
      </c>
      <c r="B32" s="425"/>
      <c r="C32" s="164">
        <v>0</v>
      </c>
      <c r="D32" s="164"/>
      <c r="E32" s="164">
        <v>0</v>
      </c>
      <c r="F32" s="164"/>
      <c r="G32" s="164">
        <f>SUM(C32:E32)</f>
        <v>0</v>
      </c>
      <c r="H32" s="164"/>
      <c r="I32" s="250">
        <f t="shared" si="1"/>
        <v>21</v>
      </c>
    </row>
    <row r="33" spans="1:9" ht="16.5" thickBot="1">
      <c r="A33" s="250">
        <f t="shared" si="0"/>
        <v>22</v>
      </c>
      <c r="B33" s="471" t="s">
        <v>357</v>
      </c>
      <c r="C33" s="844">
        <f t="shared" ref="C33" si="3">SUM(C28:C32)</f>
        <v>0</v>
      </c>
      <c r="D33" s="328"/>
      <c r="E33" s="844">
        <f>SUM(E28:E32)</f>
        <v>0</v>
      </c>
      <c r="F33" s="164"/>
      <c r="G33" s="844">
        <f>SUM(G28:G32)</f>
        <v>0</v>
      </c>
      <c r="H33" s="845" t="str">
        <f>"Sum Lines "&amp;A28&amp;" thru "&amp;A32</f>
        <v>Sum Lines 17 thru 21</v>
      </c>
      <c r="I33" s="250">
        <f t="shared" si="1"/>
        <v>22</v>
      </c>
    </row>
    <row r="34" spans="1:9" ht="16.5" thickTop="1"/>
    <row r="36" spans="1:9" ht="18.75">
      <c r="A36" s="377">
        <v>1</v>
      </c>
      <c r="B36" s="136" t="s">
        <v>738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71" orientation="landscape" r:id="rId1"/>
  <headerFooter scaleWithDoc="0">
    <oddFooter>&amp;C&amp;"Times New Roman,Regular"&amp;10&amp;A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158"/>
  <sheetViews>
    <sheetView tabSelected="1" zoomScale="80" zoomScaleNormal="80" zoomScalePageLayoutView="50" workbookViewId="0">
      <selection activeCell="K23" sqref="K23"/>
    </sheetView>
  </sheetViews>
  <sheetFormatPr defaultColWidth="8.7109375" defaultRowHeight="15.75"/>
  <cols>
    <col min="1" max="1" width="5.140625" style="250" customWidth="1"/>
    <col min="2" max="2" width="55.28515625" style="219" customWidth="1"/>
    <col min="3" max="4" width="15.5703125" style="219" customWidth="1"/>
    <col min="5" max="5" width="15.7109375" style="219" bestFit="1" customWidth="1"/>
    <col min="6" max="6" width="1.5703125" style="219" customWidth="1"/>
    <col min="7" max="7" width="16.7109375" style="219" customWidth="1"/>
    <col min="8" max="8" width="1.5703125" style="219" customWidth="1"/>
    <col min="9" max="9" width="38.7109375" style="440" customWidth="1"/>
    <col min="10" max="10" width="5.140625" style="219" customWidth="1"/>
    <col min="11" max="11" width="27" style="219" bestFit="1" customWidth="1"/>
    <col min="12" max="12" width="15" style="219" bestFit="1" customWidth="1"/>
    <col min="13" max="13" width="10.28515625" style="219" bestFit="1" customWidth="1"/>
    <col min="14" max="16384" width="8.7109375" style="219"/>
  </cols>
  <sheetData>
    <row r="1" spans="1:10">
      <c r="A1" s="484"/>
      <c r="G1" s="401"/>
      <c r="H1" s="401"/>
      <c r="I1" s="485"/>
      <c r="J1" s="250"/>
    </row>
    <row r="2" spans="1:10">
      <c r="B2" s="1299" t="s">
        <v>739</v>
      </c>
      <c r="C2" s="1299"/>
      <c r="D2" s="1299"/>
      <c r="E2" s="1299"/>
      <c r="F2" s="1299"/>
      <c r="G2" s="1299"/>
      <c r="H2" s="1299"/>
      <c r="I2" s="1299"/>
      <c r="J2" s="250"/>
    </row>
    <row r="3" spans="1:10">
      <c r="B3" s="1299" t="s">
        <v>740</v>
      </c>
      <c r="C3" s="1299"/>
      <c r="D3" s="1299"/>
      <c r="E3" s="1299"/>
      <c r="F3" s="1299"/>
      <c r="G3" s="1299"/>
      <c r="H3" s="1299"/>
      <c r="I3" s="1299"/>
      <c r="J3" s="250"/>
    </row>
    <row r="4" spans="1:10">
      <c r="B4" s="1299" t="s">
        <v>741</v>
      </c>
      <c r="C4" s="1299"/>
      <c r="D4" s="1299"/>
      <c r="E4" s="1299"/>
      <c r="F4" s="1299"/>
      <c r="G4" s="1299"/>
      <c r="H4" s="1299"/>
      <c r="I4" s="1299"/>
      <c r="J4" s="250"/>
    </row>
    <row r="5" spans="1:10">
      <c r="B5" s="1301" t="str">
        <f>'A. Sec.1 - Direct Maintenance'!B5</f>
        <v>Base Period &amp; True-Up Period 12 - Months Ending December 31, 2022</v>
      </c>
      <c r="C5" s="1301"/>
      <c r="D5" s="1301"/>
      <c r="E5" s="1301"/>
      <c r="F5" s="1301"/>
      <c r="G5" s="1301"/>
      <c r="H5" s="1301"/>
      <c r="I5" s="1301"/>
      <c r="J5" s="250"/>
    </row>
    <row r="6" spans="1:10">
      <c r="B6" s="1297" t="s">
        <v>3</v>
      </c>
      <c r="C6" s="1311"/>
      <c r="D6" s="1311"/>
      <c r="E6" s="1311"/>
      <c r="F6" s="1311"/>
      <c r="G6" s="1311"/>
      <c r="H6" s="1311"/>
      <c r="I6" s="1311"/>
      <c r="J6" s="250"/>
    </row>
    <row r="7" spans="1:10">
      <c r="B7" s="250"/>
      <c r="C7" s="250"/>
      <c r="D7" s="250"/>
      <c r="E7" s="250"/>
      <c r="F7" s="250"/>
      <c r="G7" s="250"/>
      <c r="H7" s="250"/>
      <c r="I7" s="486"/>
      <c r="J7" s="250"/>
    </row>
    <row r="8" spans="1:10">
      <c r="A8" s="250" t="s">
        <v>4</v>
      </c>
      <c r="B8" s="556"/>
      <c r="C8" s="556"/>
      <c r="D8" s="556"/>
      <c r="E8" s="250" t="s">
        <v>189</v>
      </c>
      <c r="F8" s="556"/>
      <c r="G8" s="556"/>
      <c r="H8" s="556"/>
      <c r="I8" s="486"/>
      <c r="J8" s="250" t="s">
        <v>4</v>
      </c>
    </row>
    <row r="9" spans="1:10">
      <c r="A9" s="250" t="s">
        <v>5</v>
      </c>
      <c r="B9" s="250"/>
      <c r="C9" s="250"/>
      <c r="D9" s="250"/>
      <c r="E9" s="1003" t="s">
        <v>191</v>
      </c>
      <c r="F9" s="250"/>
      <c r="G9" s="1004" t="s">
        <v>7</v>
      </c>
      <c r="H9" s="556"/>
      <c r="I9" s="1055" t="s">
        <v>8</v>
      </c>
      <c r="J9" s="250" t="s">
        <v>5</v>
      </c>
    </row>
    <row r="10" spans="1:10">
      <c r="B10" s="250"/>
      <c r="C10" s="250"/>
      <c r="D10" s="250"/>
      <c r="E10" s="250"/>
      <c r="F10" s="250"/>
      <c r="G10" s="250"/>
      <c r="H10" s="250"/>
      <c r="I10" s="486"/>
      <c r="J10" s="250"/>
    </row>
    <row r="11" spans="1:10">
      <c r="A11" s="250">
        <v>1</v>
      </c>
      <c r="B11" s="466" t="s">
        <v>742</v>
      </c>
      <c r="I11" s="486"/>
      <c r="J11" s="250">
        <f>A11</f>
        <v>1</v>
      </c>
    </row>
    <row r="12" spans="1:10">
      <c r="A12" s="250">
        <f>A11+1</f>
        <v>2</v>
      </c>
      <c r="B12" s="219" t="s">
        <v>743</v>
      </c>
      <c r="E12" s="250" t="s">
        <v>989</v>
      </c>
      <c r="G12" s="399">
        <v>7400000</v>
      </c>
      <c r="H12" s="556"/>
      <c r="I12" s="487"/>
      <c r="J12" s="250">
        <f>J11+1</f>
        <v>2</v>
      </c>
    </row>
    <row r="13" spans="1:10">
      <c r="A13" s="250">
        <f t="shared" ref="A13:A65" si="0">A12+1</f>
        <v>3</v>
      </c>
      <c r="B13" s="219" t="s">
        <v>744</v>
      </c>
      <c r="E13" s="250" t="s">
        <v>990</v>
      </c>
      <c r="G13" s="402">
        <v>0</v>
      </c>
      <c r="H13" s="556"/>
      <c r="I13" s="487"/>
      <c r="J13" s="250">
        <f t="shared" ref="J13:J65" si="1">J12+1</f>
        <v>3</v>
      </c>
    </row>
    <row r="14" spans="1:10">
      <c r="A14" s="250">
        <f t="shared" si="0"/>
        <v>4</v>
      </c>
      <c r="B14" s="219" t="s">
        <v>745</v>
      </c>
      <c r="E14" s="250" t="s">
        <v>991</v>
      </c>
      <c r="G14" s="402">
        <v>400000</v>
      </c>
      <c r="H14" s="556"/>
      <c r="I14" s="487"/>
      <c r="J14" s="250">
        <f t="shared" si="1"/>
        <v>4</v>
      </c>
    </row>
    <row r="15" spans="1:10">
      <c r="A15" s="250">
        <f t="shared" si="0"/>
        <v>5</v>
      </c>
      <c r="B15" s="219" t="s">
        <v>746</v>
      </c>
      <c r="E15" s="250" t="s">
        <v>992</v>
      </c>
      <c r="G15" s="402">
        <v>0</v>
      </c>
      <c r="H15" s="556"/>
      <c r="I15" s="487"/>
      <c r="J15" s="250">
        <f t="shared" si="1"/>
        <v>5</v>
      </c>
    </row>
    <row r="16" spans="1:10">
      <c r="A16" s="250">
        <f t="shared" si="0"/>
        <v>6</v>
      </c>
      <c r="B16" s="219" t="s">
        <v>747</v>
      </c>
      <c r="E16" s="250" t="s">
        <v>993</v>
      </c>
      <c r="G16" s="402">
        <v>-19901.434000000001</v>
      </c>
      <c r="H16" s="556"/>
      <c r="I16" s="487"/>
      <c r="J16" s="250">
        <f t="shared" si="1"/>
        <v>6</v>
      </c>
    </row>
    <row r="17" spans="1:10">
      <c r="A17" s="250">
        <f t="shared" si="0"/>
        <v>7</v>
      </c>
      <c r="B17" s="219" t="s">
        <v>748</v>
      </c>
      <c r="G17" s="988">
        <f>SUM(G12:G16)</f>
        <v>7780098.5659999996</v>
      </c>
      <c r="H17" s="375"/>
      <c r="I17" s="486" t="str">
        <f>"Sum Lines "&amp;A12&amp;" thru "&amp;A16</f>
        <v>Sum Lines 2 thru 6</v>
      </c>
      <c r="J17" s="250">
        <f t="shared" si="1"/>
        <v>7</v>
      </c>
    </row>
    <row r="18" spans="1:10">
      <c r="A18" s="250">
        <f t="shared" si="0"/>
        <v>8</v>
      </c>
      <c r="I18" s="486"/>
      <c r="J18" s="250">
        <f t="shared" si="1"/>
        <v>8</v>
      </c>
    </row>
    <row r="19" spans="1:10">
      <c r="A19" s="250">
        <f t="shared" si="0"/>
        <v>9</v>
      </c>
      <c r="B19" s="466" t="s">
        <v>749</v>
      </c>
      <c r="G19" s="164"/>
      <c r="H19" s="164"/>
      <c r="I19" s="486"/>
      <c r="J19" s="250">
        <f t="shared" si="1"/>
        <v>9</v>
      </c>
    </row>
    <row r="20" spans="1:10">
      <c r="A20" s="250">
        <f t="shared" si="0"/>
        <v>10</v>
      </c>
      <c r="B20" s="219" t="s">
        <v>750</v>
      </c>
      <c r="E20" s="250" t="s">
        <v>994</v>
      </c>
      <c r="G20" s="399">
        <v>279208.77100000001</v>
      </c>
      <c r="H20" s="556"/>
      <c r="I20" s="487"/>
      <c r="J20" s="250">
        <f t="shared" si="1"/>
        <v>10</v>
      </c>
    </row>
    <row r="21" spans="1:10">
      <c r="A21" s="250">
        <f t="shared" si="0"/>
        <v>11</v>
      </c>
      <c r="B21" s="219" t="s">
        <v>751</v>
      </c>
      <c r="E21" s="250" t="s">
        <v>995</v>
      </c>
      <c r="G21" s="402">
        <v>4856.66</v>
      </c>
      <c r="H21" s="556"/>
      <c r="I21" s="487"/>
      <c r="J21" s="250">
        <f t="shared" si="1"/>
        <v>11</v>
      </c>
    </row>
    <row r="22" spans="1:10">
      <c r="A22" s="250">
        <f t="shared" si="0"/>
        <v>12</v>
      </c>
      <c r="B22" s="219" t="s">
        <v>752</v>
      </c>
      <c r="E22" s="250" t="s">
        <v>996</v>
      </c>
      <c r="G22" s="402">
        <v>771.90899999999999</v>
      </c>
      <c r="H22" s="556"/>
      <c r="I22" s="487"/>
      <c r="J22" s="250">
        <f t="shared" si="1"/>
        <v>12</v>
      </c>
    </row>
    <row r="23" spans="1:10">
      <c r="A23" s="250">
        <f t="shared" si="0"/>
        <v>13</v>
      </c>
      <c r="B23" s="219" t="s">
        <v>753</v>
      </c>
      <c r="E23" s="250" t="s">
        <v>997</v>
      </c>
      <c r="G23" s="402">
        <v>0</v>
      </c>
      <c r="H23" s="556"/>
      <c r="I23" s="487"/>
      <c r="J23" s="250">
        <f t="shared" si="1"/>
        <v>13</v>
      </c>
    </row>
    <row r="24" spans="1:10">
      <c r="A24" s="250">
        <f t="shared" si="0"/>
        <v>14</v>
      </c>
      <c r="B24" s="219" t="s">
        <v>754</v>
      </c>
      <c r="E24" s="250" t="s">
        <v>998</v>
      </c>
      <c r="G24" s="402">
        <v>0</v>
      </c>
      <c r="H24" s="556"/>
      <c r="I24" s="487"/>
      <c r="J24" s="250">
        <f t="shared" si="1"/>
        <v>14</v>
      </c>
    </row>
    <row r="25" spans="1:10">
      <c r="A25" s="250">
        <f t="shared" si="0"/>
        <v>15</v>
      </c>
      <c r="B25" s="219" t="s">
        <v>755</v>
      </c>
      <c r="G25" s="1056">
        <f>SUM(G20:G24)</f>
        <v>284837.33999999997</v>
      </c>
      <c r="H25" s="405"/>
      <c r="I25" s="486" t="str">
        <f>"Sum Lines "&amp;A20&amp;" thru "&amp;A24</f>
        <v>Sum Lines 10 thru 14</v>
      </c>
      <c r="J25" s="250">
        <f t="shared" si="1"/>
        <v>15</v>
      </c>
    </row>
    <row r="26" spans="1:10">
      <c r="A26" s="250">
        <f t="shared" si="0"/>
        <v>16</v>
      </c>
      <c r="I26" s="486"/>
      <c r="J26" s="250">
        <f t="shared" si="1"/>
        <v>16</v>
      </c>
    </row>
    <row r="27" spans="1:10" ht="16.5" thickBot="1">
      <c r="A27" s="250">
        <f t="shared" si="0"/>
        <v>17</v>
      </c>
      <c r="B27" s="466" t="s">
        <v>756</v>
      </c>
      <c r="G27" s="1179">
        <f>G25/G17</f>
        <v>3.6611019459930061E-2</v>
      </c>
      <c r="H27" s="488"/>
      <c r="I27" s="486" t="str">
        <f>"Line "&amp;A25&amp;" / Line "&amp;A17</f>
        <v>Line 15 / Line 7</v>
      </c>
      <c r="J27" s="250">
        <f t="shared" si="1"/>
        <v>17</v>
      </c>
    </row>
    <row r="28" spans="1:10" ht="16.5" thickTop="1">
      <c r="A28" s="250">
        <f t="shared" si="0"/>
        <v>18</v>
      </c>
      <c r="I28" s="486"/>
      <c r="J28" s="250">
        <f t="shared" si="1"/>
        <v>18</v>
      </c>
    </row>
    <row r="29" spans="1:10">
      <c r="A29" s="250">
        <f t="shared" si="0"/>
        <v>19</v>
      </c>
      <c r="B29" s="466" t="s">
        <v>757</v>
      </c>
      <c r="I29" s="486"/>
      <c r="J29" s="250">
        <f t="shared" si="1"/>
        <v>19</v>
      </c>
    </row>
    <row r="30" spans="1:10">
      <c r="A30" s="250">
        <f t="shared" si="0"/>
        <v>20</v>
      </c>
      <c r="B30" s="219" t="s">
        <v>758</v>
      </c>
      <c r="E30" s="250" t="s">
        <v>999</v>
      </c>
      <c r="G30" s="399">
        <v>0</v>
      </c>
      <c r="H30" s="556"/>
      <c r="I30" s="487"/>
      <c r="J30" s="250">
        <f t="shared" si="1"/>
        <v>20</v>
      </c>
    </row>
    <row r="31" spans="1:10">
      <c r="A31" s="250">
        <f t="shared" si="0"/>
        <v>21</v>
      </c>
      <c r="B31" s="219" t="s">
        <v>759</v>
      </c>
      <c r="E31" s="250" t="s">
        <v>1000</v>
      </c>
      <c r="G31" s="1057">
        <v>0</v>
      </c>
      <c r="H31" s="556"/>
      <c r="I31" s="487"/>
      <c r="J31" s="250">
        <f t="shared" si="1"/>
        <v>21</v>
      </c>
    </row>
    <row r="32" spans="1:10" ht="16.5" thickBot="1">
      <c r="A32" s="250">
        <f t="shared" si="0"/>
        <v>22</v>
      </c>
      <c r="B32" s="219" t="s">
        <v>760</v>
      </c>
      <c r="G32" s="1179">
        <f>IFERROR((G31/G30),0)</f>
        <v>0</v>
      </c>
      <c r="H32" s="488"/>
      <c r="I32" s="486" t="str">
        <f>"Line "&amp;A31&amp;" / Line "&amp;A30</f>
        <v>Line 21 / Line 20</v>
      </c>
      <c r="J32" s="250">
        <f t="shared" si="1"/>
        <v>22</v>
      </c>
    </row>
    <row r="33" spans="1:12" ht="16.5" thickTop="1">
      <c r="A33" s="250">
        <f t="shared" si="0"/>
        <v>23</v>
      </c>
      <c r="I33" s="486"/>
      <c r="J33" s="250">
        <f t="shared" si="1"/>
        <v>23</v>
      </c>
    </row>
    <row r="34" spans="1:12">
      <c r="A34" s="250">
        <f t="shared" si="0"/>
        <v>24</v>
      </c>
      <c r="B34" s="466" t="s">
        <v>761</v>
      </c>
      <c r="I34" s="486"/>
      <c r="J34" s="250">
        <f t="shared" si="1"/>
        <v>24</v>
      </c>
    </row>
    <row r="35" spans="1:12">
      <c r="A35" s="250">
        <f t="shared" si="0"/>
        <v>25</v>
      </c>
      <c r="B35" s="219" t="s">
        <v>762</v>
      </c>
      <c r="E35" s="250" t="s">
        <v>1001</v>
      </c>
      <c r="G35" s="399">
        <v>9066194.9820000008</v>
      </c>
      <c r="H35" s="556"/>
      <c r="I35" s="487"/>
      <c r="J35" s="250">
        <f t="shared" si="1"/>
        <v>25</v>
      </c>
      <c r="K35" s="374"/>
      <c r="L35" s="664"/>
    </row>
    <row r="36" spans="1:12">
      <c r="A36" s="250">
        <f t="shared" si="0"/>
        <v>26</v>
      </c>
      <c r="B36" s="219" t="s">
        <v>763</v>
      </c>
      <c r="E36" s="250" t="s">
        <v>999</v>
      </c>
      <c r="G36" s="489">
        <f>-G30</f>
        <v>0</v>
      </c>
      <c r="H36" s="489"/>
      <c r="I36" s="486" t="str">
        <f>"Negative of Line "&amp;A30&amp;" Above"</f>
        <v>Negative of Line 20 Above</v>
      </c>
      <c r="J36" s="250">
        <f t="shared" si="1"/>
        <v>26</v>
      </c>
    </row>
    <row r="37" spans="1:12">
      <c r="A37" s="250">
        <f t="shared" si="0"/>
        <v>27</v>
      </c>
      <c r="B37" s="219" t="s">
        <v>764</v>
      </c>
      <c r="E37" s="250" t="s">
        <v>1002</v>
      </c>
      <c r="G37" s="402">
        <v>0</v>
      </c>
      <c r="H37" s="556"/>
      <c r="I37" s="487"/>
      <c r="J37" s="250">
        <f t="shared" si="1"/>
        <v>27</v>
      </c>
    </row>
    <row r="38" spans="1:12">
      <c r="A38" s="250">
        <f t="shared" si="0"/>
        <v>28</v>
      </c>
      <c r="B38" s="219" t="s">
        <v>765</v>
      </c>
      <c r="E38" s="250" t="s">
        <v>1003</v>
      </c>
      <c r="G38" s="402">
        <v>7252.9960000000001</v>
      </c>
      <c r="H38" s="556"/>
      <c r="I38" s="487"/>
      <c r="J38" s="250">
        <f t="shared" si="1"/>
        <v>28</v>
      </c>
    </row>
    <row r="39" spans="1:12" ht="16.5" thickBot="1">
      <c r="A39" s="250">
        <f t="shared" si="0"/>
        <v>29</v>
      </c>
      <c r="B39" s="219" t="s">
        <v>766</v>
      </c>
      <c r="G39" s="1058">
        <f>SUM(G35:G38)</f>
        <v>9073447.9780000001</v>
      </c>
      <c r="H39" s="490"/>
      <c r="I39" s="486" t="str">
        <f>"Sum Lines "&amp;A35&amp;" thru "&amp;A38</f>
        <v>Sum Lines 25 thru 28</v>
      </c>
      <c r="J39" s="250">
        <f t="shared" si="1"/>
        <v>29</v>
      </c>
    </row>
    <row r="40" spans="1:12" ht="17.25" thickTop="1" thickBot="1">
      <c r="A40" s="491">
        <f t="shared" si="0"/>
        <v>30</v>
      </c>
      <c r="B40" s="271"/>
      <c r="C40" s="271"/>
      <c r="D40" s="271"/>
      <c r="E40" s="271"/>
      <c r="F40" s="271"/>
      <c r="G40" s="271"/>
      <c r="H40" s="271"/>
      <c r="I40" s="492"/>
      <c r="J40" s="491">
        <f t="shared" si="1"/>
        <v>30</v>
      </c>
    </row>
    <row r="41" spans="1:12">
      <c r="A41" s="250">
        <f>A40+1</f>
        <v>31</v>
      </c>
      <c r="I41" s="486"/>
      <c r="J41" s="250">
        <f>J40+1</f>
        <v>31</v>
      </c>
    </row>
    <row r="42" spans="1:12" ht="16.5" thickBot="1">
      <c r="A42" s="250">
        <f>A41+1</f>
        <v>32</v>
      </c>
      <c r="B42" s="466" t="s">
        <v>902</v>
      </c>
      <c r="G42" s="1180">
        <v>0.106</v>
      </c>
      <c r="H42" s="556"/>
      <c r="I42" s="250" t="s">
        <v>767</v>
      </c>
      <c r="J42" s="250">
        <f>J41+1</f>
        <v>32</v>
      </c>
    </row>
    <row r="43" spans="1:12" ht="16.5" thickTop="1">
      <c r="A43" s="250">
        <f t="shared" si="0"/>
        <v>33</v>
      </c>
      <c r="C43" s="417" t="s">
        <v>77</v>
      </c>
      <c r="D43" s="417" t="s">
        <v>78</v>
      </c>
      <c r="E43" s="417" t="s">
        <v>340</v>
      </c>
      <c r="F43" s="417"/>
      <c r="G43" s="417" t="s">
        <v>768</v>
      </c>
      <c r="H43" s="417"/>
      <c r="I43" s="486"/>
      <c r="J43" s="250">
        <f t="shared" si="1"/>
        <v>33</v>
      </c>
    </row>
    <row r="44" spans="1:12">
      <c r="A44" s="250">
        <f t="shared" si="0"/>
        <v>34</v>
      </c>
      <c r="D44" s="250" t="s">
        <v>769</v>
      </c>
      <c r="E44" s="250" t="s">
        <v>770</v>
      </c>
      <c r="F44" s="250"/>
      <c r="G44" s="250" t="s">
        <v>771</v>
      </c>
      <c r="H44" s="250"/>
      <c r="I44" s="486"/>
      <c r="J44" s="250">
        <f t="shared" si="1"/>
        <v>34</v>
      </c>
    </row>
    <row r="45" spans="1:12" ht="18.75">
      <c r="A45" s="250">
        <f t="shared" si="0"/>
        <v>35</v>
      </c>
      <c r="B45" s="466" t="s">
        <v>772</v>
      </c>
      <c r="C45" s="1003" t="s">
        <v>571</v>
      </c>
      <c r="D45" s="1003" t="s">
        <v>773</v>
      </c>
      <c r="E45" s="1003" t="s">
        <v>774</v>
      </c>
      <c r="F45" s="1003"/>
      <c r="G45" s="1003" t="s">
        <v>775</v>
      </c>
      <c r="H45" s="250"/>
      <c r="I45" s="486"/>
      <c r="J45" s="250">
        <f t="shared" si="1"/>
        <v>35</v>
      </c>
    </row>
    <row r="46" spans="1:12">
      <c r="A46" s="250">
        <f t="shared" si="0"/>
        <v>36</v>
      </c>
      <c r="I46" s="486"/>
      <c r="J46" s="250">
        <f t="shared" si="1"/>
        <v>36</v>
      </c>
    </row>
    <row r="47" spans="1:12">
      <c r="A47" s="250">
        <f t="shared" si="0"/>
        <v>37</v>
      </c>
      <c r="B47" s="219" t="s">
        <v>776</v>
      </c>
      <c r="C47" s="478">
        <f>G17</f>
        <v>7780098.5659999996</v>
      </c>
      <c r="D47" s="493">
        <f>C47/C$50</f>
        <v>0.46162975523806166</v>
      </c>
      <c r="E47" s="494">
        <f>G27</f>
        <v>3.6611019459930061E-2</v>
      </c>
      <c r="G47" s="495">
        <f>D47*E47</f>
        <v>1.6900735952303427E-2</v>
      </c>
      <c r="H47" s="495"/>
      <c r="I47" s="486" t="str">
        <f>"Col. c = Line "&amp;A27&amp;" Above"</f>
        <v>Col. c = Line 17 Above</v>
      </c>
      <c r="J47" s="250">
        <f t="shared" si="1"/>
        <v>37</v>
      </c>
    </row>
    <row r="48" spans="1:12">
      <c r="A48" s="250">
        <f t="shared" si="0"/>
        <v>38</v>
      </c>
      <c r="B48" s="219" t="s">
        <v>777</v>
      </c>
      <c r="C48" s="496">
        <f>G30</f>
        <v>0</v>
      </c>
      <c r="D48" s="493">
        <f>C48/C$50</f>
        <v>0</v>
      </c>
      <c r="E48" s="494">
        <f>G32</f>
        <v>0</v>
      </c>
      <c r="G48" s="495">
        <f>D48*E48</f>
        <v>0</v>
      </c>
      <c r="H48" s="495"/>
      <c r="I48" s="486" t="str">
        <f>"Col. c = Line "&amp;A32&amp;" Above"</f>
        <v>Col. c = Line 22 Above</v>
      </c>
      <c r="J48" s="250">
        <f t="shared" si="1"/>
        <v>38</v>
      </c>
    </row>
    <row r="49" spans="1:10">
      <c r="A49" s="250">
        <f t="shared" si="0"/>
        <v>39</v>
      </c>
      <c r="B49" s="219" t="s">
        <v>778</v>
      </c>
      <c r="C49" s="496">
        <f>G39</f>
        <v>9073447.9780000001</v>
      </c>
      <c r="D49" s="1059">
        <f>C49/C$50</f>
        <v>0.5383702447619384</v>
      </c>
      <c r="E49" s="497">
        <f>G42</f>
        <v>0.106</v>
      </c>
      <c r="G49" s="1060">
        <f>D49*E49</f>
        <v>5.706724594476547E-2</v>
      </c>
      <c r="H49" s="488"/>
      <c r="I49" s="486" t="str">
        <f>"Col. c = Line "&amp;A42&amp;" Above"</f>
        <v>Col. c = Line 32 Above</v>
      </c>
      <c r="J49" s="250">
        <f t="shared" si="1"/>
        <v>39</v>
      </c>
    </row>
    <row r="50" spans="1:10" ht="16.5" thickBot="1">
      <c r="A50" s="250">
        <f t="shared" si="0"/>
        <v>40</v>
      </c>
      <c r="B50" s="219" t="s">
        <v>779</v>
      </c>
      <c r="C50" s="884">
        <f>SUM(C47:C49)</f>
        <v>16853546.544</v>
      </c>
      <c r="D50" s="1181">
        <f>SUM(D47:D49)</f>
        <v>1</v>
      </c>
      <c r="G50" s="1179">
        <f>SUM(G47:G49)</f>
        <v>7.3967981897068893E-2</v>
      </c>
      <c r="H50" s="488"/>
      <c r="I50" s="486" t="str">
        <f>"Sum Lines "&amp;A47&amp;" thru "&amp;A49</f>
        <v>Sum Lines 37 thru 39</v>
      </c>
      <c r="J50" s="250">
        <f t="shared" si="1"/>
        <v>40</v>
      </c>
    </row>
    <row r="51" spans="1:10" ht="16.5" thickTop="1">
      <c r="A51" s="250">
        <f t="shared" si="0"/>
        <v>41</v>
      </c>
      <c r="I51" s="486"/>
      <c r="J51" s="250">
        <f t="shared" si="1"/>
        <v>41</v>
      </c>
    </row>
    <row r="52" spans="1:10" ht="16.5" thickBot="1">
      <c r="A52" s="250">
        <f t="shared" si="0"/>
        <v>42</v>
      </c>
      <c r="B52" s="466" t="s">
        <v>780</v>
      </c>
      <c r="G52" s="1179">
        <f>G48+G49</f>
        <v>5.706724594476547E-2</v>
      </c>
      <c r="H52" s="488"/>
      <c r="I52" s="486" t="str">
        <f>"Line "&amp;A48&amp;" + Line "&amp;A49&amp;"; Col. d"</f>
        <v>Line 38 + Line 39; Col. d</v>
      </c>
      <c r="J52" s="250">
        <f t="shared" si="1"/>
        <v>42</v>
      </c>
    </row>
    <row r="53" spans="1:10" ht="17.25" thickTop="1" thickBot="1">
      <c r="A53" s="491">
        <f t="shared" si="0"/>
        <v>43</v>
      </c>
      <c r="B53" s="882"/>
      <c r="C53" s="271"/>
      <c r="D53" s="271"/>
      <c r="E53" s="271"/>
      <c r="F53" s="271"/>
      <c r="G53" s="883"/>
      <c r="H53" s="883"/>
      <c r="I53" s="492"/>
      <c r="J53" s="491">
        <f t="shared" si="1"/>
        <v>43</v>
      </c>
    </row>
    <row r="54" spans="1:10">
      <c r="A54" s="250">
        <f t="shared" si="0"/>
        <v>44</v>
      </c>
      <c r="B54" s="466"/>
      <c r="G54" s="497"/>
      <c r="H54" s="497"/>
      <c r="I54" s="486"/>
      <c r="J54" s="250">
        <f t="shared" si="1"/>
        <v>44</v>
      </c>
    </row>
    <row r="55" spans="1:10" ht="16.5" thickBot="1">
      <c r="A55" s="250">
        <f t="shared" si="0"/>
        <v>45</v>
      </c>
      <c r="B55" s="466" t="s">
        <v>781</v>
      </c>
      <c r="G55" s="1182">
        <v>0</v>
      </c>
      <c r="H55" s="497"/>
      <c r="I55" s="486" t="s">
        <v>307</v>
      </c>
      <c r="J55" s="250">
        <f t="shared" si="1"/>
        <v>45</v>
      </c>
    </row>
    <row r="56" spans="1:10" ht="16.5" thickTop="1">
      <c r="A56" s="250">
        <f t="shared" si="0"/>
        <v>46</v>
      </c>
      <c r="C56" s="417" t="s">
        <v>77</v>
      </c>
      <c r="D56" s="417" t="s">
        <v>78</v>
      </c>
      <c r="E56" s="417" t="s">
        <v>340</v>
      </c>
      <c r="F56" s="417"/>
      <c r="G56" s="417" t="s">
        <v>768</v>
      </c>
      <c r="H56" s="497"/>
      <c r="I56" s="486"/>
      <c r="J56" s="250">
        <f t="shared" si="1"/>
        <v>46</v>
      </c>
    </row>
    <row r="57" spans="1:10">
      <c r="A57" s="250">
        <f t="shared" si="0"/>
        <v>47</v>
      </c>
      <c r="D57" s="250" t="s">
        <v>769</v>
      </c>
      <c r="E57" s="250" t="s">
        <v>770</v>
      </c>
      <c r="F57" s="250"/>
      <c r="G57" s="250" t="s">
        <v>771</v>
      </c>
      <c r="H57" s="497"/>
      <c r="I57" s="486"/>
      <c r="J57" s="250">
        <f t="shared" si="1"/>
        <v>47</v>
      </c>
    </row>
    <row r="58" spans="1:10" ht="18.75">
      <c r="A58" s="250">
        <f t="shared" si="0"/>
        <v>48</v>
      </c>
      <c r="B58" s="466" t="s">
        <v>782</v>
      </c>
      <c r="C58" s="1003" t="s">
        <v>571</v>
      </c>
      <c r="D58" s="1003" t="s">
        <v>773</v>
      </c>
      <c r="E58" s="1003" t="s">
        <v>774</v>
      </c>
      <c r="F58" s="1003"/>
      <c r="G58" s="1003" t="s">
        <v>775</v>
      </c>
      <c r="H58" s="497"/>
      <c r="I58" s="486"/>
      <c r="J58" s="250">
        <f t="shared" si="1"/>
        <v>48</v>
      </c>
    </row>
    <row r="59" spans="1:10">
      <c r="A59" s="250">
        <f t="shared" si="0"/>
        <v>49</v>
      </c>
      <c r="G59" s="497"/>
      <c r="H59" s="497"/>
      <c r="I59" s="486"/>
      <c r="J59" s="250">
        <f t="shared" si="1"/>
        <v>49</v>
      </c>
    </row>
    <row r="60" spans="1:10">
      <c r="A60" s="250">
        <f t="shared" si="0"/>
        <v>50</v>
      </c>
      <c r="B60" s="219" t="s">
        <v>776</v>
      </c>
      <c r="C60" s="894">
        <v>0</v>
      </c>
      <c r="D60" s="896">
        <v>0</v>
      </c>
      <c r="E60" s="897">
        <v>0</v>
      </c>
      <c r="G60" s="495">
        <f>D60*E60</f>
        <v>0</v>
      </c>
      <c r="H60" s="497"/>
      <c r="I60" s="486" t="s">
        <v>307</v>
      </c>
      <c r="J60" s="250">
        <f t="shared" si="1"/>
        <v>50</v>
      </c>
    </row>
    <row r="61" spans="1:10">
      <c r="A61" s="250">
        <f t="shared" si="0"/>
        <v>51</v>
      </c>
      <c r="B61" s="219" t="s">
        <v>777</v>
      </c>
      <c r="C61" s="895">
        <v>0</v>
      </c>
      <c r="D61" s="896">
        <v>0</v>
      </c>
      <c r="E61" s="897">
        <v>0</v>
      </c>
      <c r="G61" s="495">
        <f>D61*E61</f>
        <v>0</v>
      </c>
      <c r="H61" s="497"/>
      <c r="I61" s="486" t="s">
        <v>307</v>
      </c>
      <c r="J61" s="250">
        <f t="shared" si="1"/>
        <v>51</v>
      </c>
    </row>
    <row r="62" spans="1:10">
      <c r="A62" s="250">
        <f t="shared" si="0"/>
        <v>52</v>
      </c>
      <c r="B62" s="219" t="s">
        <v>778</v>
      </c>
      <c r="C62" s="895">
        <v>0</v>
      </c>
      <c r="D62" s="1061">
        <v>0</v>
      </c>
      <c r="E62" s="898">
        <v>0</v>
      </c>
      <c r="G62" s="1060">
        <f>D62*E62</f>
        <v>0</v>
      </c>
      <c r="H62" s="497"/>
      <c r="I62" s="486" t="s">
        <v>307</v>
      </c>
      <c r="J62" s="250">
        <f t="shared" si="1"/>
        <v>52</v>
      </c>
    </row>
    <row r="63" spans="1:10" ht="16.5" thickBot="1">
      <c r="A63" s="250">
        <f t="shared" si="0"/>
        <v>53</v>
      </c>
      <c r="B63" s="219" t="s">
        <v>779</v>
      </c>
      <c r="C63" s="884">
        <f>SUM(C60:C62)</f>
        <v>0</v>
      </c>
      <c r="D63" s="1179">
        <f>SUM(D60:D62)</f>
        <v>0</v>
      </c>
      <c r="G63" s="1179">
        <f>SUM(G60:G62)</f>
        <v>0</v>
      </c>
      <c r="H63" s="497"/>
      <c r="I63" s="486" t="str">
        <f>"Sum Lines "&amp;A60&amp;" thru "&amp;A62</f>
        <v>Sum Lines 50 thru 52</v>
      </c>
      <c r="J63" s="250">
        <f t="shared" si="1"/>
        <v>53</v>
      </c>
    </row>
    <row r="64" spans="1:10" ht="16.5" thickTop="1">
      <c r="A64" s="250">
        <f t="shared" si="0"/>
        <v>54</v>
      </c>
      <c r="H64" s="497"/>
      <c r="I64" s="486"/>
      <c r="J64" s="250">
        <f t="shared" si="1"/>
        <v>54</v>
      </c>
    </row>
    <row r="65" spans="1:10" ht="16.5" thickBot="1">
      <c r="A65" s="250">
        <f t="shared" si="0"/>
        <v>55</v>
      </c>
      <c r="B65" s="466" t="s">
        <v>783</v>
      </c>
      <c r="G65" s="1179">
        <f>G61+G62</f>
        <v>0</v>
      </c>
      <c r="H65" s="497"/>
      <c r="I65" s="486" t="str">
        <f>"Line "&amp;A61&amp;" + Line "&amp;A62&amp;"; Col. d"</f>
        <v>Line 51 + Line 52; Col. d</v>
      </c>
      <c r="J65" s="250">
        <f t="shared" si="1"/>
        <v>55</v>
      </c>
    </row>
    <row r="66" spans="1:10" ht="16.5" thickTop="1">
      <c r="B66" s="466"/>
      <c r="G66" s="497"/>
      <c r="H66" s="497"/>
      <c r="I66" s="486"/>
      <c r="J66" s="250"/>
    </row>
    <row r="67" spans="1:10">
      <c r="B67" s="466"/>
      <c r="G67" s="497"/>
      <c r="H67" s="497"/>
      <c r="I67" s="486"/>
      <c r="J67" s="250"/>
    </row>
    <row r="68" spans="1:10" ht="18.75">
      <c r="A68" s="482">
        <v>1</v>
      </c>
      <c r="B68" s="3" t="s">
        <v>784</v>
      </c>
      <c r="G68" s="401"/>
      <c r="H68" s="401"/>
      <c r="J68" s="250" t="s">
        <v>186</v>
      </c>
    </row>
    <row r="69" spans="1:10" ht="18.75">
      <c r="A69" s="931"/>
      <c r="B69" s="814"/>
      <c r="G69" s="401"/>
      <c r="H69" s="401"/>
      <c r="J69" s="250"/>
    </row>
    <row r="70" spans="1:10" ht="18.75">
      <c r="A70" s="482"/>
      <c r="B70" s="3"/>
      <c r="D70" s="250"/>
      <c r="G70" s="401"/>
      <c r="H70" s="401"/>
      <c r="J70" s="250"/>
    </row>
    <row r="71" spans="1:10">
      <c r="B71" s="1299" t="s">
        <v>739</v>
      </c>
      <c r="C71" s="1299"/>
      <c r="D71" s="1299"/>
      <c r="E71" s="1299"/>
      <c r="F71" s="1299"/>
      <c r="G71" s="1299"/>
      <c r="H71" s="1299"/>
      <c r="I71" s="1299"/>
      <c r="J71" s="250"/>
    </row>
    <row r="72" spans="1:10">
      <c r="B72" s="1299" t="s">
        <v>740</v>
      </c>
      <c r="C72" s="1299"/>
      <c r="D72" s="1299"/>
      <c r="E72" s="1299"/>
      <c r="F72" s="1299"/>
      <c r="G72" s="1299"/>
      <c r="H72" s="1299"/>
      <c r="I72" s="1299"/>
      <c r="J72" s="250"/>
    </row>
    <row r="73" spans="1:10">
      <c r="B73" s="1299" t="s">
        <v>741</v>
      </c>
      <c r="C73" s="1299"/>
      <c r="D73" s="1299"/>
      <c r="E73" s="1299"/>
      <c r="F73" s="1299"/>
      <c r="G73" s="1299"/>
      <c r="H73" s="1299"/>
      <c r="I73" s="1299"/>
      <c r="J73" s="250"/>
    </row>
    <row r="74" spans="1:10">
      <c r="B74" s="1301" t="str">
        <f>B5</f>
        <v>Base Period &amp; True-Up Period 12 - Months Ending December 31, 2022</v>
      </c>
      <c r="C74" s="1301"/>
      <c r="D74" s="1301"/>
      <c r="E74" s="1301"/>
      <c r="F74" s="1301"/>
      <c r="G74" s="1301"/>
      <c r="H74" s="1301"/>
      <c r="I74" s="1301"/>
      <c r="J74" s="250"/>
    </row>
    <row r="75" spans="1:10">
      <c r="B75" s="1297" t="s">
        <v>3</v>
      </c>
      <c r="C75" s="1311"/>
      <c r="D75" s="1311"/>
      <c r="E75" s="1311"/>
      <c r="F75" s="1311"/>
      <c r="G75" s="1311"/>
      <c r="H75" s="1311"/>
      <c r="I75" s="1311"/>
      <c r="J75" s="250"/>
    </row>
    <row r="76" spans="1:10">
      <c r="B76" s="250"/>
      <c r="C76" s="250"/>
      <c r="D76" s="250"/>
      <c r="E76" s="250"/>
      <c r="F76" s="250"/>
      <c r="G76" s="250"/>
      <c r="H76" s="250"/>
      <c r="I76" s="486"/>
      <c r="J76" s="250"/>
    </row>
    <row r="77" spans="1:10">
      <c r="A77" s="250" t="s">
        <v>4</v>
      </c>
      <c r="B77" s="556"/>
      <c r="C77" s="556"/>
      <c r="D77" s="556"/>
      <c r="E77" s="556"/>
      <c r="F77" s="556"/>
      <c r="G77" s="556"/>
      <c r="H77" s="556"/>
      <c r="I77" s="486"/>
      <c r="J77" s="250" t="s">
        <v>4</v>
      </c>
    </row>
    <row r="78" spans="1:10">
      <c r="A78" s="250" t="s">
        <v>5</v>
      </c>
      <c r="B78" s="250"/>
      <c r="C78" s="250"/>
      <c r="D78" s="250"/>
      <c r="E78" s="250"/>
      <c r="F78" s="250"/>
      <c r="G78" s="1003" t="s">
        <v>7</v>
      </c>
      <c r="H78" s="556"/>
      <c r="I78" s="1055" t="s">
        <v>8</v>
      </c>
      <c r="J78" s="250" t="s">
        <v>5</v>
      </c>
    </row>
    <row r="79" spans="1:10">
      <c r="G79" s="250"/>
      <c r="H79" s="250"/>
      <c r="I79" s="486"/>
      <c r="J79" s="250"/>
    </row>
    <row r="80" spans="1:10" ht="18.75">
      <c r="A80" s="250">
        <v>1</v>
      </c>
      <c r="B80" s="466" t="s">
        <v>785</v>
      </c>
      <c r="E80" s="556"/>
      <c r="F80" s="556"/>
      <c r="G80" s="400"/>
      <c r="H80" s="400"/>
      <c r="I80" s="486"/>
      <c r="J80" s="250">
        <v>1</v>
      </c>
    </row>
    <row r="81" spans="1:13">
      <c r="A81" s="250">
        <f>A80+1</f>
        <v>2</v>
      </c>
      <c r="B81" s="498"/>
      <c r="E81" s="556"/>
      <c r="F81" s="556"/>
      <c r="G81" s="400"/>
      <c r="H81" s="400"/>
      <c r="I81" s="486"/>
      <c r="J81" s="250">
        <f>J80+1</f>
        <v>2</v>
      </c>
    </row>
    <row r="82" spans="1:13">
      <c r="A82" s="250">
        <f>A81+1</f>
        <v>3</v>
      </c>
      <c r="B82" s="466" t="s">
        <v>786</v>
      </c>
      <c r="E82" s="556"/>
      <c r="F82" s="556"/>
      <c r="G82" s="400"/>
      <c r="H82" s="400"/>
      <c r="I82" s="486"/>
      <c r="J82" s="250">
        <f>J81+1</f>
        <v>3</v>
      </c>
    </row>
    <row r="83" spans="1:13">
      <c r="A83" s="250">
        <f>A82+1</f>
        <v>4</v>
      </c>
      <c r="B83" s="556"/>
      <c r="C83" s="556"/>
      <c r="D83" s="556"/>
      <c r="E83" s="556"/>
      <c r="F83" s="556"/>
      <c r="G83" s="400"/>
      <c r="H83" s="400"/>
      <c r="I83" s="486"/>
      <c r="J83" s="250">
        <f>J82+1</f>
        <v>4</v>
      </c>
    </row>
    <row r="84" spans="1:13">
      <c r="A84" s="250">
        <f t="shared" ref="A84:A110" si="2">A83+1</f>
        <v>5</v>
      </c>
      <c r="B84" s="425" t="s">
        <v>787</v>
      </c>
      <c r="C84" s="556"/>
      <c r="D84" s="556"/>
      <c r="E84" s="556"/>
      <c r="F84" s="556"/>
      <c r="G84" s="400"/>
      <c r="H84" s="400"/>
      <c r="I84" s="499"/>
      <c r="J84" s="250">
        <f t="shared" ref="J84:J110" si="3">J83+1</f>
        <v>5</v>
      </c>
    </row>
    <row r="85" spans="1:13">
      <c r="A85" s="250">
        <f t="shared" si="2"/>
        <v>6</v>
      </c>
      <c r="B85" s="219" t="s">
        <v>788</v>
      </c>
      <c r="D85" s="556"/>
      <c r="E85" s="556"/>
      <c r="F85" s="556"/>
      <c r="G85" s="500">
        <f>G52</f>
        <v>5.706724594476547E-2</v>
      </c>
      <c r="H85" s="556"/>
      <c r="I85" s="486" t="str">
        <f>"AV1; Line "&amp;A52</f>
        <v>AV1; Line 42</v>
      </c>
      <c r="J85" s="250">
        <f t="shared" si="3"/>
        <v>6</v>
      </c>
      <c r="L85" s="250"/>
    </row>
    <row r="86" spans="1:13">
      <c r="A86" s="250">
        <f t="shared" si="2"/>
        <v>7</v>
      </c>
      <c r="B86" s="219" t="s">
        <v>789</v>
      </c>
      <c r="D86" s="556"/>
      <c r="E86" s="556"/>
      <c r="F86" s="556"/>
      <c r="G86" s="501">
        <f>-'Stmt AR'!E21</f>
        <v>264.76299999999998</v>
      </c>
      <c r="H86" s="556"/>
      <c r="I86" s="486" t="str">
        <f>"Negative of Statement AR; Line "&amp;'Stmt AR'!A21</f>
        <v>Negative of Statement AR; Line 11</v>
      </c>
      <c r="J86" s="250">
        <f t="shared" si="3"/>
        <v>7</v>
      </c>
      <c r="L86" s="250"/>
    </row>
    <row r="87" spans="1:13" ht="18.75">
      <c r="A87" s="250">
        <f t="shared" si="2"/>
        <v>8</v>
      </c>
      <c r="B87" s="219" t="s">
        <v>790</v>
      </c>
      <c r="D87" s="556"/>
      <c r="E87" s="556"/>
      <c r="F87" s="556"/>
      <c r="G87" s="502">
        <f>'AV-2A'!C58</f>
        <v>10188.034820000003</v>
      </c>
      <c r="H87" s="556"/>
      <c r="I87" s="485" t="str">
        <f>"AV-2A; Line "&amp;'AV-2A'!A58&amp;""</f>
        <v>AV-2A; Line 46</v>
      </c>
      <c r="J87" s="250">
        <f t="shared" si="3"/>
        <v>8</v>
      </c>
      <c r="L87" s="556"/>
    </row>
    <row r="88" spans="1:13">
      <c r="A88" s="250">
        <f t="shared" si="2"/>
        <v>9</v>
      </c>
      <c r="B88" s="219" t="s">
        <v>791</v>
      </c>
      <c r="D88" s="556"/>
      <c r="E88" s="503"/>
      <c r="F88" s="556"/>
      <c r="G88" s="474">
        <f>'AV-4'!C36</f>
        <v>4929562.3004639708</v>
      </c>
      <c r="H88" s="556"/>
      <c r="I88" s="485" t="str">
        <f>"AV-4; Page 1; Line "&amp;'AV-4'!A36</f>
        <v>AV-4; Page 1; Line 26</v>
      </c>
      <c r="J88" s="250">
        <f t="shared" si="3"/>
        <v>9</v>
      </c>
    </row>
    <row r="89" spans="1:13">
      <c r="A89" s="250">
        <f t="shared" si="2"/>
        <v>10</v>
      </c>
      <c r="B89" s="219" t="s">
        <v>792</v>
      </c>
      <c r="D89" s="504"/>
      <c r="E89" s="556"/>
      <c r="F89" s="556"/>
      <c r="G89" s="1062">
        <v>0.21</v>
      </c>
      <c r="H89" s="556"/>
      <c r="I89" s="486" t="s">
        <v>793</v>
      </c>
      <c r="J89" s="250">
        <f t="shared" si="3"/>
        <v>10</v>
      </c>
      <c r="M89" s="505"/>
    </row>
    <row r="90" spans="1:13">
      <c r="A90" s="250">
        <f t="shared" si="2"/>
        <v>11</v>
      </c>
      <c r="G90" s="250"/>
      <c r="H90" s="250"/>
      <c r="J90" s="250">
        <f t="shared" si="3"/>
        <v>11</v>
      </c>
    </row>
    <row r="91" spans="1:13">
      <c r="A91" s="250">
        <f t="shared" si="2"/>
        <v>12</v>
      </c>
      <c r="B91" s="219" t="s">
        <v>794</v>
      </c>
      <c r="D91" s="556"/>
      <c r="E91" s="556"/>
      <c r="F91" s="556"/>
      <c r="G91" s="506">
        <f>(((G85)+(G87/G88))*G89-(G86/G88))/(1-G89)</f>
        <v>1.5651169665698062E-2</v>
      </c>
      <c r="H91" s="506"/>
      <c r="I91" s="486" t="s">
        <v>795</v>
      </c>
      <c r="J91" s="250">
        <f t="shared" si="3"/>
        <v>12</v>
      </c>
      <c r="M91" s="507"/>
    </row>
    <row r="92" spans="1:13">
      <c r="A92" s="250">
        <f t="shared" si="2"/>
        <v>13</v>
      </c>
      <c r="B92" s="508" t="s">
        <v>796</v>
      </c>
      <c r="G92" s="250"/>
      <c r="H92" s="250"/>
      <c r="J92" s="250">
        <f t="shared" si="3"/>
        <v>13</v>
      </c>
    </row>
    <row r="93" spans="1:13">
      <c r="A93" s="250">
        <f t="shared" si="2"/>
        <v>14</v>
      </c>
      <c r="G93" s="250"/>
      <c r="H93" s="250"/>
      <c r="J93" s="250">
        <f t="shared" si="3"/>
        <v>14</v>
      </c>
    </row>
    <row r="94" spans="1:13">
      <c r="A94" s="250">
        <f t="shared" si="2"/>
        <v>15</v>
      </c>
      <c r="B94" s="466" t="s">
        <v>797</v>
      </c>
      <c r="C94" s="556"/>
      <c r="D94" s="556"/>
      <c r="E94" s="556"/>
      <c r="F94" s="556"/>
      <c r="G94" s="509"/>
      <c r="H94" s="509"/>
      <c r="I94" s="510"/>
      <c r="J94" s="250">
        <f t="shared" si="3"/>
        <v>15</v>
      </c>
      <c r="L94" s="511"/>
    </row>
    <row r="95" spans="1:13">
      <c r="A95" s="250">
        <f t="shared" si="2"/>
        <v>16</v>
      </c>
      <c r="B95" s="471"/>
      <c r="C95" s="556"/>
      <c r="D95" s="556"/>
      <c r="E95" s="556"/>
      <c r="F95" s="556"/>
      <c r="G95" s="509"/>
      <c r="H95" s="509"/>
      <c r="I95" s="512"/>
      <c r="J95" s="250">
        <f t="shared" si="3"/>
        <v>16</v>
      </c>
      <c r="L95" s="556"/>
    </row>
    <row r="96" spans="1:13">
      <c r="A96" s="250">
        <f t="shared" si="2"/>
        <v>17</v>
      </c>
      <c r="B96" s="425" t="s">
        <v>787</v>
      </c>
      <c r="C96" s="556"/>
      <c r="D96" s="556"/>
      <c r="E96" s="556"/>
      <c r="F96" s="556"/>
      <c r="G96" s="509"/>
      <c r="H96" s="509"/>
      <c r="I96" s="512"/>
      <c r="J96" s="250">
        <f t="shared" si="3"/>
        <v>17</v>
      </c>
      <c r="L96" s="556"/>
    </row>
    <row r="97" spans="1:13">
      <c r="A97" s="250">
        <f t="shared" si="2"/>
        <v>18</v>
      </c>
      <c r="B97" s="219" t="s">
        <v>788</v>
      </c>
      <c r="D97" s="556"/>
      <c r="E97" s="556"/>
      <c r="F97" s="556"/>
      <c r="G97" s="493">
        <f>G85</f>
        <v>5.706724594476547E-2</v>
      </c>
      <c r="H97" s="493"/>
      <c r="I97" s="486" t="str">
        <f>"Line "&amp;A85&amp;" Above"</f>
        <v>Line 6 Above</v>
      </c>
      <c r="J97" s="250">
        <f t="shared" si="3"/>
        <v>18</v>
      </c>
      <c r="L97" s="250"/>
    </row>
    <row r="98" spans="1:13">
      <c r="A98" s="250">
        <f t="shared" si="2"/>
        <v>19</v>
      </c>
      <c r="B98" s="219" t="s">
        <v>798</v>
      </c>
      <c r="D98" s="556"/>
      <c r="E98" s="556"/>
      <c r="F98" s="556"/>
      <c r="G98" s="351">
        <f>G87</f>
        <v>10188.034820000003</v>
      </c>
      <c r="H98" s="351"/>
      <c r="I98" s="486" t="str">
        <f>"Line "&amp;A87&amp;" Above"</f>
        <v>Line 8 Above</v>
      </c>
      <c r="J98" s="250">
        <f t="shared" si="3"/>
        <v>19</v>
      </c>
      <c r="L98" s="250"/>
    </row>
    <row r="99" spans="1:13">
      <c r="A99" s="250">
        <f t="shared" si="2"/>
        <v>20</v>
      </c>
      <c r="B99" s="219" t="s">
        <v>799</v>
      </c>
      <c r="D99" s="556"/>
      <c r="E99" s="556"/>
      <c r="F99" s="556"/>
      <c r="G99" s="513">
        <f>G88</f>
        <v>4929562.3004639708</v>
      </c>
      <c r="H99" s="513"/>
      <c r="I99" s="486" t="str">
        <f>"Line "&amp;A88&amp;" Above"</f>
        <v>Line 9 Above</v>
      </c>
      <c r="J99" s="250">
        <f t="shared" si="3"/>
        <v>20</v>
      </c>
      <c r="L99" s="250"/>
    </row>
    <row r="100" spans="1:13">
      <c r="A100" s="250">
        <f t="shared" si="2"/>
        <v>21</v>
      </c>
      <c r="B100" s="219" t="s">
        <v>800</v>
      </c>
      <c r="D100" s="556"/>
      <c r="E100" s="556"/>
      <c r="F100" s="556"/>
      <c r="G100" s="514">
        <f>G91</f>
        <v>1.5651169665698062E-2</v>
      </c>
      <c r="H100" s="514"/>
      <c r="I100" s="486" t="str">
        <f>"Line "&amp;A91&amp;" Above"</f>
        <v>Line 12 Above</v>
      </c>
      <c r="J100" s="250">
        <f t="shared" si="3"/>
        <v>21</v>
      </c>
    </row>
    <row r="101" spans="1:13">
      <c r="A101" s="250">
        <f t="shared" si="2"/>
        <v>22</v>
      </c>
      <c r="B101" s="219" t="s">
        <v>801</v>
      </c>
      <c r="D101" s="556"/>
      <c r="E101" s="556"/>
      <c r="F101" s="556"/>
      <c r="G101" s="1063" t="s">
        <v>802</v>
      </c>
      <c r="H101" s="556"/>
      <c r="I101" s="486" t="s">
        <v>803</v>
      </c>
      <c r="J101" s="250">
        <f t="shared" si="3"/>
        <v>22</v>
      </c>
    </row>
    <row r="102" spans="1:13">
      <c r="A102" s="250">
        <f t="shared" si="2"/>
        <v>23</v>
      </c>
      <c r="B102" s="240"/>
      <c r="D102" s="556"/>
      <c r="E102" s="556"/>
      <c r="F102" s="556"/>
      <c r="G102" s="515"/>
      <c r="H102" s="515"/>
      <c r="I102" s="512"/>
      <c r="J102" s="250">
        <f t="shared" si="3"/>
        <v>23</v>
      </c>
    </row>
    <row r="103" spans="1:13">
      <c r="A103" s="250">
        <f t="shared" si="2"/>
        <v>24</v>
      </c>
      <c r="B103" s="219" t="s">
        <v>804</v>
      </c>
      <c r="C103" s="250"/>
      <c r="D103" s="250"/>
      <c r="E103" s="556"/>
      <c r="F103" s="556"/>
      <c r="G103" s="1064">
        <f>((G97)+(G98/G99)+G91)*G101/(1-G101)</f>
        <v>7.2520910093310017E-3</v>
      </c>
      <c r="H103" s="516"/>
      <c r="I103" s="486" t="s">
        <v>805</v>
      </c>
      <c r="J103" s="250">
        <f t="shared" si="3"/>
        <v>24</v>
      </c>
    </row>
    <row r="104" spans="1:13">
      <c r="A104" s="250">
        <f t="shared" si="2"/>
        <v>25</v>
      </c>
      <c r="B104" s="508" t="s">
        <v>806</v>
      </c>
      <c r="G104" s="250"/>
      <c r="H104" s="250"/>
      <c r="I104" s="486"/>
      <c r="J104" s="250">
        <f t="shared" si="3"/>
        <v>25</v>
      </c>
      <c r="L104" s="250"/>
    </row>
    <row r="105" spans="1:13">
      <c r="A105" s="250">
        <f t="shared" si="2"/>
        <v>26</v>
      </c>
      <c r="G105" s="250"/>
      <c r="H105" s="250"/>
      <c r="I105" s="486"/>
      <c r="J105" s="250">
        <f t="shared" si="3"/>
        <v>26</v>
      </c>
      <c r="L105" s="250"/>
    </row>
    <row r="106" spans="1:13">
      <c r="A106" s="250">
        <f t="shared" si="2"/>
        <v>27</v>
      </c>
      <c r="B106" s="466" t="s">
        <v>807</v>
      </c>
      <c r="G106" s="506">
        <f>G103+G91</f>
        <v>2.2903260675029062E-2</v>
      </c>
      <c r="H106" s="506"/>
      <c r="I106" s="486" t="str">
        <f>"Line "&amp;A91&amp;" + Line "&amp;A103</f>
        <v>Line 12 + Line 24</v>
      </c>
      <c r="J106" s="250">
        <f t="shared" si="3"/>
        <v>27</v>
      </c>
      <c r="L106" s="250"/>
    </row>
    <row r="107" spans="1:13">
      <c r="A107" s="250">
        <f t="shared" si="2"/>
        <v>28</v>
      </c>
      <c r="G107" s="250"/>
      <c r="H107" s="250"/>
      <c r="I107" s="486"/>
      <c r="J107" s="250">
        <f t="shared" si="3"/>
        <v>28</v>
      </c>
      <c r="L107" s="250"/>
    </row>
    <row r="108" spans="1:13">
      <c r="A108" s="250">
        <f t="shared" si="2"/>
        <v>29</v>
      </c>
      <c r="B108" s="466" t="s">
        <v>808</v>
      </c>
      <c r="G108" s="1065">
        <f>G50</f>
        <v>7.3967981897068893E-2</v>
      </c>
      <c r="H108" s="556"/>
      <c r="I108" s="486" t="str">
        <f>"AV1; Line "&amp;A50</f>
        <v>AV1; Line 40</v>
      </c>
      <c r="J108" s="250">
        <f t="shared" si="3"/>
        <v>29</v>
      </c>
      <c r="L108" s="250"/>
    </row>
    <row r="109" spans="1:13">
      <c r="A109" s="250">
        <f t="shared" si="2"/>
        <v>30</v>
      </c>
      <c r="G109" s="493"/>
      <c r="H109" s="493"/>
      <c r="I109" s="486"/>
      <c r="J109" s="250">
        <f t="shared" si="3"/>
        <v>30</v>
      </c>
      <c r="L109" s="250"/>
    </row>
    <row r="110" spans="1:13" ht="19.5" thickBot="1">
      <c r="A110" s="250">
        <f t="shared" si="2"/>
        <v>31</v>
      </c>
      <c r="B110" s="466" t="s">
        <v>809</v>
      </c>
      <c r="G110" s="1183">
        <f>G106+G108</f>
        <v>9.6871242572097949E-2</v>
      </c>
      <c r="H110" s="516"/>
      <c r="I110" s="486" t="str">
        <f>"Line "&amp;A106&amp;" + Line "&amp;A108</f>
        <v>Line 27 + Line 29</v>
      </c>
      <c r="J110" s="250">
        <f t="shared" si="3"/>
        <v>31</v>
      </c>
      <c r="L110" s="517"/>
      <c r="M110" s="507"/>
    </row>
    <row r="111" spans="1:13" ht="16.5" thickTop="1">
      <c r="B111" s="466"/>
      <c r="G111" s="518"/>
      <c r="H111" s="518"/>
      <c r="I111" s="486"/>
      <c r="J111" s="250"/>
      <c r="L111" s="517"/>
      <c r="M111" s="507"/>
    </row>
    <row r="112" spans="1:13">
      <c r="B112" s="466"/>
      <c r="G112" s="518"/>
      <c r="H112" s="518"/>
      <c r="I112" s="486"/>
      <c r="J112" s="250"/>
      <c r="L112" s="517"/>
      <c r="M112" s="507"/>
    </row>
    <row r="113" spans="1:13" ht="18.75">
      <c r="A113" s="409">
        <v>1</v>
      </c>
      <c r="B113" s="3" t="s">
        <v>810</v>
      </c>
      <c r="G113" s="518"/>
      <c r="H113" s="518"/>
      <c r="I113" s="486"/>
      <c r="J113" s="250"/>
      <c r="L113" s="517"/>
      <c r="M113" s="507"/>
    </row>
    <row r="114" spans="1:13" ht="18.75">
      <c r="A114" s="409"/>
      <c r="B114" s="3"/>
      <c r="G114" s="518"/>
      <c r="H114" s="518"/>
      <c r="I114" s="486"/>
      <c r="J114" s="250"/>
      <c r="L114" s="517"/>
      <c r="M114" s="507"/>
    </row>
    <row r="115" spans="1:13">
      <c r="A115" s="519"/>
      <c r="B115" s="240"/>
      <c r="C115" s="520"/>
      <c r="D115" s="520"/>
      <c r="E115" s="520"/>
      <c r="F115" s="520"/>
      <c r="G115" s="521"/>
      <c r="H115" s="521"/>
      <c r="I115" s="522"/>
      <c r="J115" s="250"/>
    </row>
    <row r="116" spans="1:13">
      <c r="B116" s="1299" t="s">
        <v>0</v>
      </c>
      <c r="C116" s="1299"/>
      <c r="D116" s="1299"/>
      <c r="E116" s="1299"/>
      <c r="F116" s="1299"/>
      <c r="G116" s="1299"/>
      <c r="H116" s="1299"/>
      <c r="I116" s="1299"/>
    </row>
    <row r="117" spans="1:13">
      <c r="B117" s="1299" t="s">
        <v>740</v>
      </c>
      <c r="C117" s="1299"/>
      <c r="D117" s="1299"/>
      <c r="E117" s="1299"/>
      <c r="F117" s="1299"/>
      <c r="G117" s="1299"/>
      <c r="H117" s="1299"/>
      <c r="I117" s="1299"/>
    </row>
    <row r="118" spans="1:13">
      <c r="B118" s="1299" t="s">
        <v>741</v>
      </c>
      <c r="C118" s="1299"/>
      <c r="D118" s="1299"/>
      <c r="E118" s="1299"/>
      <c r="F118" s="1299"/>
      <c r="G118" s="1299"/>
      <c r="H118" s="1299"/>
      <c r="I118" s="1299"/>
    </row>
    <row r="119" spans="1:13">
      <c r="B119" s="1301" t="str">
        <f>B5</f>
        <v>Base Period &amp; True-Up Period 12 - Months Ending December 31, 2022</v>
      </c>
      <c r="C119" s="1301"/>
      <c r="D119" s="1301"/>
      <c r="E119" s="1301"/>
      <c r="F119" s="1301"/>
      <c r="G119" s="1301"/>
      <c r="H119" s="1301"/>
      <c r="I119" s="1301"/>
    </row>
    <row r="120" spans="1:13">
      <c r="B120" s="1297" t="s">
        <v>3</v>
      </c>
      <c r="C120" s="1311"/>
      <c r="D120" s="1311"/>
      <c r="E120" s="1311"/>
      <c r="F120" s="1311"/>
      <c r="G120" s="1311"/>
      <c r="H120" s="1311"/>
      <c r="I120" s="1311"/>
    </row>
    <row r="122" spans="1:13">
      <c r="A122" s="250" t="s">
        <v>4</v>
      </c>
      <c r="B122" s="556"/>
      <c r="C122" s="556"/>
      <c r="D122" s="556"/>
      <c r="E122" s="556"/>
      <c r="F122" s="556"/>
      <c r="G122" s="556"/>
      <c r="H122" s="556"/>
      <c r="I122" s="486"/>
      <c r="J122" s="250" t="s">
        <v>4</v>
      </c>
    </row>
    <row r="123" spans="1:13">
      <c r="A123" s="250" t="s">
        <v>5</v>
      </c>
      <c r="B123" s="250"/>
      <c r="C123" s="250"/>
      <c r="D123" s="250"/>
      <c r="E123" s="250"/>
      <c r="F123" s="250"/>
      <c r="G123" s="1003" t="s">
        <v>7</v>
      </c>
      <c r="H123" s="556"/>
      <c r="I123" s="1055" t="s">
        <v>8</v>
      </c>
      <c r="J123" s="250" t="s">
        <v>5</v>
      </c>
    </row>
    <row r="125" spans="1:13" ht="18.75">
      <c r="A125" s="250">
        <v>1</v>
      </c>
      <c r="B125" s="466" t="s">
        <v>811</v>
      </c>
      <c r="J125" s="250">
        <v>1</v>
      </c>
    </row>
    <row r="126" spans="1:13">
      <c r="A126" s="250">
        <f>A125+1</f>
        <v>2</v>
      </c>
      <c r="B126" s="498"/>
      <c r="J126" s="250">
        <f>J125+1</f>
        <v>2</v>
      </c>
    </row>
    <row r="127" spans="1:13">
      <c r="A127" s="250">
        <f>A126+1</f>
        <v>3</v>
      </c>
      <c r="B127" s="466" t="s">
        <v>786</v>
      </c>
      <c r="J127" s="250">
        <f>J126+1</f>
        <v>3</v>
      </c>
    </row>
    <row r="128" spans="1:13">
      <c r="A128" s="250">
        <f>A127+1</f>
        <v>4</v>
      </c>
      <c r="B128" s="556"/>
      <c r="J128" s="250">
        <f>J127+1</f>
        <v>4</v>
      </c>
    </row>
    <row r="129" spans="1:10">
      <c r="A129" s="250">
        <f t="shared" ref="A129:A155" si="4">A128+1</f>
        <v>5</v>
      </c>
      <c r="B129" s="425" t="s">
        <v>787</v>
      </c>
      <c r="J129" s="250">
        <f t="shared" ref="J129:J155" si="5">J128+1</f>
        <v>5</v>
      </c>
    </row>
    <row r="130" spans="1:10">
      <c r="A130" s="250">
        <f t="shared" si="4"/>
        <v>6</v>
      </c>
      <c r="B130" s="219" t="str">
        <f>B85</f>
        <v xml:space="preserve">     A = Sum of Preferred Stock and Return on Equity Component</v>
      </c>
      <c r="G130" s="500">
        <f>G65</f>
        <v>0</v>
      </c>
      <c r="I130" s="486" t="str">
        <f>"AV1; Line "&amp;A65</f>
        <v>AV1; Line 55</v>
      </c>
      <c r="J130" s="250">
        <f t="shared" si="5"/>
        <v>6</v>
      </c>
    </row>
    <row r="131" spans="1:10">
      <c r="A131" s="250">
        <f t="shared" si="4"/>
        <v>7</v>
      </c>
      <c r="B131" s="219" t="str">
        <f>B86</f>
        <v xml:space="preserve">     B = Transmission Total Federal Tax Adjustments</v>
      </c>
      <c r="G131" s="885">
        <v>0</v>
      </c>
      <c r="I131" s="485" t="s">
        <v>307</v>
      </c>
      <c r="J131" s="250">
        <f t="shared" si="5"/>
        <v>7</v>
      </c>
    </row>
    <row r="132" spans="1:10">
      <c r="A132" s="250">
        <f t="shared" si="4"/>
        <v>8</v>
      </c>
      <c r="B132" s="219" t="s">
        <v>812</v>
      </c>
      <c r="G132" s="899">
        <v>0</v>
      </c>
      <c r="I132" s="485" t="s">
        <v>307</v>
      </c>
      <c r="J132" s="250">
        <f t="shared" si="5"/>
        <v>8</v>
      </c>
    </row>
    <row r="133" spans="1:10">
      <c r="A133" s="250">
        <f t="shared" si="4"/>
        <v>9</v>
      </c>
      <c r="B133" s="219" t="s">
        <v>813</v>
      </c>
      <c r="G133" s="899">
        <v>0</v>
      </c>
      <c r="I133" s="485" t="s">
        <v>307</v>
      </c>
      <c r="J133" s="250">
        <f t="shared" si="5"/>
        <v>9</v>
      </c>
    </row>
    <row r="134" spans="1:10">
      <c r="A134" s="250">
        <f t="shared" si="4"/>
        <v>10</v>
      </c>
      <c r="B134" s="219" t="str">
        <f>B89</f>
        <v xml:space="preserve">     FT = Federal Income Tax Rate for Rate Effective Period</v>
      </c>
      <c r="G134" s="1066">
        <f>G89</f>
        <v>0.21</v>
      </c>
      <c r="I134" s="486" t="str">
        <f>"AV2; Line "&amp;A89</f>
        <v>AV2; Line 10</v>
      </c>
      <c r="J134" s="250">
        <f t="shared" si="5"/>
        <v>10</v>
      </c>
    </row>
    <row r="135" spans="1:10">
      <c r="A135" s="250">
        <f t="shared" si="4"/>
        <v>11</v>
      </c>
      <c r="G135" s="250"/>
      <c r="J135" s="250">
        <f t="shared" si="5"/>
        <v>11</v>
      </c>
    </row>
    <row r="136" spans="1:10">
      <c r="A136" s="250">
        <f t="shared" si="4"/>
        <v>12</v>
      </c>
      <c r="B136" s="219" t="s">
        <v>814</v>
      </c>
      <c r="G136" s="506">
        <f>IFERROR((((G130)+(G132/G133))*G134-(G131/G133))/(1-G134),0)</f>
        <v>0</v>
      </c>
      <c r="I136" s="486" t="s">
        <v>815</v>
      </c>
      <c r="J136" s="250">
        <f t="shared" si="5"/>
        <v>12</v>
      </c>
    </row>
    <row r="137" spans="1:10">
      <c r="A137" s="250">
        <f t="shared" si="4"/>
        <v>13</v>
      </c>
      <c r="B137" s="508" t="s">
        <v>796</v>
      </c>
      <c r="G137" s="886"/>
      <c r="J137" s="250">
        <f t="shared" si="5"/>
        <v>13</v>
      </c>
    </row>
    <row r="138" spans="1:10">
      <c r="A138" s="250">
        <f t="shared" si="4"/>
        <v>14</v>
      </c>
      <c r="G138" s="250"/>
      <c r="J138" s="250">
        <f t="shared" si="5"/>
        <v>14</v>
      </c>
    </row>
    <row r="139" spans="1:10">
      <c r="A139" s="250">
        <f t="shared" si="4"/>
        <v>15</v>
      </c>
      <c r="B139" s="466" t="s">
        <v>797</v>
      </c>
      <c r="G139" s="509"/>
      <c r="I139" s="510"/>
      <c r="J139" s="250">
        <f t="shared" si="5"/>
        <v>15</v>
      </c>
    </row>
    <row r="140" spans="1:10">
      <c r="A140" s="250">
        <f t="shared" si="4"/>
        <v>16</v>
      </c>
      <c r="B140" s="471"/>
      <c r="G140" s="509"/>
      <c r="I140" s="499"/>
      <c r="J140" s="250">
        <f t="shared" si="5"/>
        <v>16</v>
      </c>
    </row>
    <row r="141" spans="1:10">
      <c r="A141" s="250">
        <f t="shared" si="4"/>
        <v>17</v>
      </c>
      <c r="B141" s="425" t="s">
        <v>787</v>
      </c>
      <c r="G141" s="509"/>
      <c r="I141" s="499"/>
      <c r="J141" s="250">
        <f t="shared" si="5"/>
        <v>17</v>
      </c>
    </row>
    <row r="142" spans="1:10">
      <c r="A142" s="250">
        <f t="shared" si="4"/>
        <v>18</v>
      </c>
      <c r="B142" s="219" t="str">
        <f>B97</f>
        <v xml:space="preserve">     A = Sum of Preferred Stock and Return on Equity Component</v>
      </c>
      <c r="G142" s="493">
        <f>G130</f>
        <v>0</v>
      </c>
      <c r="I142" s="486" t="str">
        <f>"Line "&amp;A130&amp;" Above"</f>
        <v>Line 6 Above</v>
      </c>
      <c r="J142" s="250">
        <f t="shared" si="5"/>
        <v>18</v>
      </c>
    </row>
    <row r="143" spans="1:10">
      <c r="A143" s="250">
        <f t="shared" si="4"/>
        <v>19</v>
      </c>
      <c r="B143" s="219" t="str">
        <f>B98</f>
        <v xml:space="preserve">     B = Equity AFUDC Component of Transmission Depreciation Expense</v>
      </c>
      <c r="G143" s="351">
        <f>G132</f>
        <v>0</v>
      </c>
      <c r="I143" s="486" t="str">
        <f>"Line "&amp;A132&amp;" Above"</f>
        <v>Line 8 Above</v>
      </c>
      <c r="J143" s="250">
        <f t="shared" si="5"/>
        <v>19</v>
      </c>
    </row>
    <row r="144" spans="1:10">
      <c r="A144" s="250">
        <f t="shared" si="4"/>
        <v>20</v>
      </c>
      <c r="B144" s="219" t="s">
        <v>816</v>
      </c>
      <c r="G144" s="351">
        <f>G133</f>
        <v>0</v>
      </c>
      <c r="I144" s="486" t="str">
        <f>"Line "&amp;A133&amp;" Above"</f>
        <v>Line 9 Above</v>
      </c>
      <c r="J144" s="250">
        <f t="shared" si="5"/>
        <v>20</v>
      </c>
    </row>
    <row r="145" spans="1:10">
      <c r="A145" s="250">
        <f t="shared" si="4"/>
        <v>21</v>
      </c>
      <c r="B145" s="219" t="str">
        <f>B100</f>
        <v xml:space="preserve">     FT = Federal Income Tax Expense</v>
      </c>
      <c r="G145" s="514">
        <f>G136</f>
        <v>0</v>
      </c>
      <c r="I145" s="486" t="str">
        <f>"Line "&amp;A136&amp;" Above"</f>
        <v>Line 12 Above</v>
      </c>
      <c r="J145" s="250">
        <f t="shared" si="5"/>
        <v>21</v>
      </c>
    </row>
    <row r="146" spans="1:10">
      <c r="A146" s="250">
        <f t="shared" si="4"/>
        <v>22</v>
      </c>
      <c r="B146" s="219" t="str">
        <f>B101</f>
        <v xml:space="preserve">     ST = State Income Tax Rate for Rate Effective Period</v>
      </c>
      <c r="G146" s="1067" t="str">
        <f>G101</f>
        <v>8.84%</v>
      </c>
      <c r="I146" s="486" t="str">
        <f>"AV2; Line "&amp;A101</f>
        <v>AV2; Line 22</v>
      </c>
      <c r="J146" s="250">
        <f t="shared" si="5"/>
        <v>22</v>
      </c>
    </row>
    <row r="147" spans="1:10">
      <c r="A147" s="250">
        <f t="shared" si="4"/>
        <v>23</v>
      </c>
      <c r="B147" s="240"/>
      <c r="G147" s="515"/>
      <c r="I147" s="512"/>
      <c r="J147" s="250">
        <f t="shared" si="5"/>
        <v>23</v>
      </c>
    </row>
    <row r="148" spans="1:10">
      <c r="A148" s="250">
        <f t="shared" si="4"/>
        <v>24</v>
      </c>
      <c r="B148" s="219" t="s">
        <v>804</v>
      </c>
      <c r="G148" s="1064">
        <f>IFERROR(((G142)+(G143/G144)+G136)*G146/(1-G146),0)</f>
        <v>0</v>
      </c>
      <c r="I148" s="486" t="s">
        <v>805</v>
      </c>
      <c r="J148" s="250">
        <f t="shared" si="5"/>
        <v>24</v>
      </c>
    </row>
    <row r="149" spans="1:10">
      <c r="A149" s="250">
        <f t="shared" si="4"/>
        <v>25</v>
      </c>
      <c r="B149" s="508" t="s">
        <v>806</v>
      </c>
      <c r="G149" s="250"/>
      <c r="I149" s="486"/>
      <c r="J149" s="250">
        <f t="shared" si="5"/>
        <v>25</v>
      </c>
    </row>
    <row r="150" spans="1:10">
      <c r="A150" s="250">
        <f t="shared" si="4"/>
        <v>26</v>
      </c>
      <c r="G150" s="250"/>
      <c r="I150" s="486"/>
      <c r="J150" s="250">
        <f t="shared" si="5"/>
        <v>26</v>
      </c>
    </row>
    <row r="151" spans="1:10">
      <c r="A151" s="250">
        <f t="shared" si="4"/>
        <v>27</v>
      </c>
      <c r="B151" s="466" t="s">
        <v>807</v>
      </c>
      <c r="G151" s="506">
        <f>G148+G136</f>
        <v>0</v>
      </c>
      <c r="I151" s="486" t="str">
        <f>"Line "&amp;A136&amp;" + Line "&amp;A148</f>
        <v>Line 12 + Line 24</v>
      </c>
      <c r="J151" s="250">
        <f t="shared" si="5"/>
        <v>27</v>
      </c>
    </row>
    <row r="152" spans="1:10">
      <c r="A152" s="250">
        <f t="shared" si="4"/>
        <v>28</v>
      </c>
      <c r="G152" s="250"/>
      <c r="I152" s="486"/>
      <c r="J152" s="250">
        <f t="shared" si="5"/>
        <v>28</v>
      </c>
    </row>
    <row r="153" spans="1:10">
      <c r="A153" s="250">
        <f t="shared" si="4"/>
        <v>29</v>
      </c>
      <c r="B153" s="466" t="s">
        <v>817</v>
      </c>
      <c r="G153" s="1068">
        <f>G63</f>
        <v>0</v>
      </c>
      <c r="I153" s="486" t="str">
        <f>"AV1; Line "&amp;A63</f>
        <v>AV1; Line 53</v>
      </c>
      <c r="J153" s="250">
        <f t="shared" si="5"/>
        <v>29</v>
      </c>
    </row>
    <row r="154" spans="1:10">
      <c r="A154" s="250">
        <f t="shared" si="4"/>
        <v>30</v>
      </c>
      <c r="G154" s="250"/>
      <c r="I154" s="486"/>
      <c r="J154" s="250">
        <f t="shared" si="5"/>
        <v>30</v>
      </c>
    </row>
    <row r="155" spans="1:10" ht="19.5" thickBot="1">
      <c r="A155" s="250">
        <f t="shared" si="4"/>
        <v>31</v>
      </c>
      <c r="B155" s="466" t="s">
        <v>818</v>
      </c>
      <c r="G155" s="1184">
        <f>G151+G153</f>
        <v>0</v>
      </c>
      <c r="I155" s="486" t="str">
        <f>"Line "&amp;A151&amp;" + Line "&amp;A153</f>
        <v>Line 27 + Line 29</v>
      </c>
      <c r="J155" s="250">
        <f t="shared" si="5"/>
        <v>31</v>
      </c>
    </row>
    <row r="156" spans="1:10" ht="16.5" thickTop="1"/>
    <row r="158" spans="1:10" ht="18.75">
      <c r="A158" s="482"/>
      <c r="B158" s="3"/>
    </row>
  </sheetData>
  <mergeCells count="15">
    <mergeCell ref="B116:I116"/>
    <mergeCell ref="B117:I117"/>
    <mergeCell ref="B118:I118"/>
    <mergeCell ref="B119:I119"/>
    <mergeCell ref="B120:I120"/>
    <mergeCell ref="B71:I71"/>
    <mergeCell ref="B72:I72"/>
    <mergeCell ref="B73:I73"/>
    <mergeCell ref="B74:I74"/>
    <mergeCell ref="B75:I75"/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6" fitToHeight="0" orientation="portrait" r:id="rId1"/>
  <headerFooter scaleWithDoc="0">
    <oddFooter>&amp;C&amp;"Times New Roman,Regular"&amp;10AV&amp;P</oddFooter>
  </headerFooter>
  <rowBreaks count="2" manualBreakCount="2">
    <brk id="69" max="9" man="1"/>
    <brk id="114" max="9" man="1"/>
  </rowBreaks>
  <colBreaks count="1" manualBreakCount="1">
    <brk id="10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2:D73"/>
  <sheetViews>
    <sheetView topLeftCell="A36" zoomScale="80" zoomScaleNormal="80" zoomScalePageLayoutView="80" workbookViewId="0"/>
  </sheetViews>
  <sheetFormatPr defaultColWidth="8.7109375" defaultRowHeight="15.75"/>
  <cols>
    <col min="1" max="1" width="5.140625" style="4" customWidth="1"/>
    <col min="2" max="2" width="62.28515625" style="3" customWidth="1"/>
    <col min="3" max="3" width="35.7109375" style="3" customWidth="1"/>
    <col min="4" max="4" width="5.140625" style="4" customWidth="1"/>
    <col min="5" max="16384" width="8.7109375" style="3"/>
  </cols>
  <sheetData>
    <row r="2" spans="1:4" ht="15.75" customHeight="1">
      <c r="B2" s="1324" t="s">
        <v>0</v>
      </c>
      <c r="C2" s="1324"/>
    </row>
    <row r="3" spans="1:4" ht="15.75" customHeight="1">
      <c r="B3" s="1299" t="s">
        <v>819</v>
      </c>
      <c r="C3" s="1299"/>
    </row>
    <row r="4" spans="1:4" ht="15.75" customHeight="1">
      <c r="B4" s="1324" t="str">
        <f>"For Completed Transmission Capital Projects from 2001 Through "&amp;Automation!B3</f>
        <v>For Completed Transmission Capital Projects from 2001 Through 2022</v>
      </c>
      <c r="C4" s="1324"/>
    </row>
    <row r="5" spans="1:4">
      <c r="B5" s="1299" t="str">
        <f>"Applicable to the "&amp;Automation!B3&amp;" Cycle "&amp;Automation!B2&amp;" Base Period &amp; True-Up Period"</f>
        <v>Applicable to the 2022 Cycle 6 Base Period &amp; True-Up Period</v>
      </c>
      <c r="C5" s="1299"/>
      <c r="D5" s="250"/>
    </row>
    <row r="6" spans="1:4" ht="15.75" customHeight="1">
      <c r="B6" s="1324" t="str">
        <f>" 12 Months Ending December 31, "&amp;Automation!$B$3</f>
        <v xml:space="preserve"> 12 Months Ending December 31, 2022</v>
      </c>
      <c r="C6" s="1324"/>
    </row>
    <row r="7" spans="1:4" ht="17.649999999999999" customHeight="1">
      <c r="B7" s="1323">
        <v>-1000</v>
      </c>
      <c r="C7" s="1323"/>
      <c r="D7" s="5"/>
    </row>
    <row r="8" spans="1:4" ht="17.649999999999999" customHeight="1" thickBot="1">
      <c r="B8" s="1098"/>
      <c r="C8" s="1098"/>
      <c r="D8" s="5"/>
    </row>
    <row r="9" spans="1:4" ht="17.649999999999999" customHeight="1">
      <c r="B9" s="559"/>
      <c r="C9" s="561" t="s">
        <v>820</v>
      </c>
      <c r="D9" s="5"/>
    </row>
    <row r="10" spans="1:4" ht="17.649999999999999" customHeight="1">
      <c r="A10" s="775" t="s">
        <v>4</v>
      </c>
      <c r="B10" s="560"/>
      <c r="C10" s="1069" t="s">
        <v>821</v>
      </c>
      <c r="D10" s="775" t="s">
        <v>4</v>
      </c>
    </row>
    <row r="11" spans="1:4" ht="19.5" thickBot="1">
      <c r="A11" s="776" t="s">
        <v>5</v>
      </c>
      <c r="B11" s="1070" t="s">
        <v>822</v>
      </c>
      <c r="C11" s="558" t="s">
        <v>823</v>
      </c>
      <c r="D11" s="777" t="s">
        <v>5</v>
      </c>
    </row>
    <row r="12" spans="1:4">
      <c r="A12" s="3"/>
      <c r="B12" s="557"/>
      <c r="C12" s="524"/>
      <c r="D12" s="3"/>
    </row>
    <row r="13" spans="1:4">
      <c r="A13" s="778">
        <v>1</v>
      </c>
      <c r="B13" s="6">
        <v>2001</v>
      </c>
      <c r="C13" s="992">
        <v>65.810519999999968</v>
      </c>
      <c r="D13" s="779">
        <f>A13</f>
        <v>1</v>
      </c>
    </row>
    <row r="14" spans="1:4">
      <c r="A14" s="253">
        <f>A13+1</f>
        <v>2</v>
      </c>
      <c r="B14" s="6"/>
      <c r="C14" s="1071"/>
      <c r="D14" s="282">
        <f>D13+1</f>
        <v>2</v>
      </c>
    </row>
    <row r="15" spans="1:4">
      <c r="A15" s="253">
        <f t="shared" ref="A15:A63" si="0">A14+1</f>
        <v>3</v>
      </c>
      <c r="B15" s="6">
        <v>2002</v>
      </c>
      <c r="C15" s="909">
        <v>7.111749999999998</v>
      </c>
      <c r="D15" s="282">
        <f t="shared" ref="D15:D63" si="1">D14+1</f>
        <v>3</v>
      </c>
    </row>
    <row r="16" spans="1:4">
      <c r="A16" s="253">
        <f t="shared" si="0"/>
        <v>4</v>
      </c>
      <c r="B16" s="6"/>
      <c r="C16" s="1072"/>
      <c r="D16" s="282">
        <f t="shared" si="1"/>
        <v>4</v>
      </c>
    </row>
    <row r="17" spans="1:4" ht="16.5" thickBot="1">
      <c r="A17" s="253">
        <f t="shared" si="0"/>
        <v>5</v>
      </c>
      <c r="B17" s="1073">
        <v>2003</v>
      </c>
      <c r="C17" s="668">
        <v>34.298859999999998</v>
      </c>
      <c r="D17" s="282">
        <f t="shared" si="1"/>
        <v>5</v>
      </c>
    </row>
    <row r="18" spans="1:4">
      <c r="A18" s="253">
        <f t="shared" si="0"/>
        <v>6</v>
      </c>
      <c r="B18" s="1074"/>
      <c r="C18" s="540"/>
      <c r="D18" s="282">
        <f t="shared" si="1"/>
        <v>6</v>
      </c>
    </row>
    <row r="19" spans="1:4">
      <c r="A19" s="253">
        <f t="shared" si="0"/>
        <v>7</v>
      </c>
      <c r="B19" s="6">
        <v>2004</v>
      </c>
      <c r="C19" s="909">
        <v>44.722540000000002</v>
      </c>
      <c r="D19" s="282">
        <f t="shared" si="1"/>
        <v>7</v>
      </c>
    </row>
    <row r="20" spans="1:4">
      <c r="A20" s="253">
        <f t="shared" si="0"/>
        <v>8</v>
      </c>
      <c r="B20" s="6"/>
      <c r="C20" s="909"/>
      <c r="D20" s="282">
        <f t="shared" si="1"/>
        <v>8</v>
      </c>
    </row>
    <row r="21" spans="1:4">
      <c r="A21" s="253">
        <f t="shared" si="0"/>
        <v>9</v>
      </c>
      <c r="B21" s="6">
        <v>2005</v>
      </c>
      <c r="C21" s="909">
        <v>61.974159999999998</v>
      </c>
      <c r="D21" s="282">
        <f t="shared" si="1"/>
        <v>9</v>
      </c>
    </row>
    <row r="22" spans="1:4">
      <c r="A22" s="253">
        <f t="shared" si="0"/>
        <v>10</v>
      </c>
      <c r="B22" s="6"/>
      <c r="C22" s="909"/>
      <c r="D22" s="282">
        <f t="shared" si="1"/>
        <v>10</v>
      </c>
    </row>
    <row r="23" spans="1:4" ht="16.5" thickBot="1">
      <c r="A23" s="253">
        <f t="shared" si="0"/>
        <v>11</v>
      </c>
      <c r="B23" s="1073">
        <v>2006</v>
      </c>
      <c r="C23" s="909">
        <v>113.58306999999999</v>
      </c>
      <c r="D23" s="282">
        <f t="shared" si="1"/>
        <v>11</v>
      </c>
    </row>
    <row r="24" spans="1:4">
      <c r="A24" s="253">
        <f t="shared" si="0"/>
        <v>12</v>
      </c>
      <c r="B24" s="1074"/>
      <c r="C24" s="540"/>
      <c r="D24" s="282">
        <f t="shared" si="1"/>
        <v>12</v>
      </c>
    </row>
    <row r="25" spans="1:4">
      <c r="A25" s="253">
        <f t="shared" si="0"/>
        <v>13</v>
      </c>
      <c r="B25" s="6">
        <v>2007</v>
      </c>
      <c r="C25" s="909">
        <v>362.58635000000032</v>
      </c>
      <c r="D25" s="282">
        <f t="shared" si="1"/>
        <v>13</v>
      </c>
    </row>
    <row r="26" spans="1:4">
      <c r="A26" s="253">
        <f t="shared" si="0"/>
        <v>14</v>
      </c>
      <c r="B26" s="6"/>
      <c r="C26" s="909"/>
      <c r="D26" s="282">
        <f t="shared" si="1"/>
        <v>14</v>
      </c>
    </row>
    <row r="27" spans="1:4">
      <c r="A27" s="253">
        <f t="shared" si="0"/>
        <v>15</v>
      </c>
      <c r="B27" s="6">
        <v>2008</v>
      </c>
      <c r="C27" s="909">
        <v>355.21767999999975</v>
      </c>
      <c r="D27" s="282">
        <f t="shared" si="1"/>
        <v>15</v>
      </c>
    </row>
    <row r="28" spans="1:4">
      <c r="A28" s="253">
        <f t="shared" si="0"/>
        <v>16</v>
      </c>
      <c r="B28" s="6"/>
      <c r="C28" s="909"/>
      <c r="D28" s="282">
        <f t="shared" si="1"/>
        <v>16</v>
      </c>
    </row>
    <row r="29" spans="1:4" ht="16.5" thickBot="1">
      <c r="A29" s="253">
        <f t="shared" si="0"/>
        <v>17</v>
      </c>
      <c r="B29" s="1073">
        <v>2009</v>
      </c>
      <c r="C29" s="668">
        <v>97.124660000000006</v>
      </c>
      <c r="D29" s="282">
        <f t="shared" si="1"/>
        <v>17</v>
      </c>
    </row>
    <row r="30" spans="1:4">
      <c r="A30" s="253">
        <f t="shared" si="0"/>
        <v>18</v>
      </c>
      <c r="B30" s="6"/>
      <c r="C30" s="909"/>
      <c r="D30" s="282">
        <f t="shared" si="1"/>
        <v>18</v>
      </c>
    </row>
    <row r="31" spans="1:4">
      <c r="A31" s="253">
        <f t="shared" si="0"/>
        <v>19</v>
      </c>
      <c r="B31" s="6">
        <v>2010</v>
      </c>
      <c r="C31" s="909">
        <v>134.73924999999991</v>
      </c>
      <c r="D31" s="282">
        <f t="shared" si="1"/>
        <v>19</v>
      </c>
    </row>
    <row r="32" spans="1:4">
      <c r="A32" s="253">
        <f t="shared" si="0"/>
        <v>20</v>
      </c>
      <c r="B32" s="6"/>
      <c r="C32" s="909"/>
      <c r="D32" s="282">
        <f t="shared" si="1"/>
        <v>20</v>
      </c>
    </row>
    <row r="33" spans="1:4">
      <c r="A33" s="253">
        <f t="shared" si="0"/>
        <v>21</v>
      </c>
      <c r="B33" s="6">
        <v>2011</v>
      </c>
      <c r="C33" s="909">
        <v>168.84127999999998</v>
      </c>
      <c r="D33" s="282">
        <f t="shared" si="1"/>
        <v>21</v>
      </c>
    </row>
    <row r="34" spans="1:4">
      <c r="A34" s="253">
        <f t="shared" si="0"/>
        <v>22</v>
      </c>
      <c r="B34" s="6"/>
      <c r="C34" s="909"/>
      <c r="D34" s="282">
        <f t="shared" si="1"/>
        <v>22</v>
      </c>
    </row>
    <row r="35" spans="1:4" ht="16.5" thickBot="1">
      <c r="A35" s="253">
        <f t="shared" si="0"/>
        <v>23</v>
      </c>
      <c r="B35" s="1073">
        <v>2012</v>
      </c>
      <c r="C35" s="668">
        <v>1617.4501199999997</v>
      </c>
      <c r="D35" s="282">
        <f t="shared" si="1"/>
        <v>23</v>
      </c>
    </row>
    <row r="36" spans="1:4">
      <c r="A36" s="253">
        <f t="shared" si="0"/>
        <v>24</v>
      </c>
      <c r="B36" s="6"/>
      <c r="C36" s="909"/>
      <c r="D36" s="282">
        <f t="shared" si="1"/>
        <v>24</v>
      </c>
    </row>
    <row r="37" spans="1:4">
      <c r="A37" s="253">
        <f t="shared" si="0"/>
        <v>25</v>
      </c>
      <c r="B37" s="6">
        <v>2013</v>
      </c>
      <c r="C37" s="909">
        <v>1309.8404</v>
      </c>
      <c r="D37" s="282">
        <f t="shared" si="1"/>
        <v>25</v>
      </c>
    </row>
    <row r="38" spans="1:4">
      <c r="A38" s="253">
        <f t="shared" si="0"/>
        <v>26</v>
      </c>
      <c r="B38" s="6"/>
      <c r="C38" s="909"/>
      <c r="D38" s="282">
        <f t="shared" si="1"/>
        <v>26</v>
      </c>
    </row>
    <row r="39" spans="1:4">
      <c r="A39" s="253">
        <f t="shared" si="0"/>
        <v>27</v>
      </c>
      <c r="B39" s="6">
        <v>2014</v>
      </c>
      <c r="C39" s="909">
        <v>171.98855000000015</v>
      </c>
      <c r="D39" s="282">
        <f t="shared" si="1"/>
        <v>27</v>
      </c>
    </row>
    <row r="40" spans="1:4">
      <c r="A40" s="253">
        <f t="shared" si="0"/>
        <v>28</v>
      </c>
      <c r="B40" s="6"/>
      <c r="C40" s="909"/>
      <c r="D40" s="282">
        <f t="shared" si="1"/>
        <v>28</v>
      </c>
    </row>
    <row r="41" spans="1:4" ht="16.5" thickBot="1">
      <c r="A41" s="253">
        <f t="shared" si="0"/>
        <v>29</v>
      </c>
      <c r="B41" s="912">
        <v>2015</v>
      </c>
      <c r="C41" s="668">
        <v>235.17088000000015</v>
      </c>
      <c r="D41" s="282">
        <f t="shared" si="1"/>
        <v>29</v>
      </c>
    </row>
    <row r="42" spans="1:4">
      <c r="A42" s="253">
        <f t="shared" si="0"/>
        <v>30</v>
      </c>
      <c r="B42" s="6"/>
      <c r="C42" s="909"/>
      <c r="D42" s="282">
        <f t="shared" si="1"/>
        <v>30</v>
      </c>
    </row>
    <row r="43" spans="1:4">
      <c r="A43" s="253">
        <f t="shared" si="0"/>
        <v>31</v>
      </c>
      <c r="B43" s="6">
        <v>2016</v>
      </c>
      <c r="C43" s="909">
        <v>417.11558000000042</v>
      </c>
      <c r="D43" s="282">
        <f t="shared" si="1"/>
        <v>31</v>
      </c>
    </row>
    <row r="44" spans="1:4">
      <c r="A44" s="253">
        <f t="shared" si="0"/>
        <v>32</v>
      </c>
      <c r="B44" s="6"/>
      <c r="C44" s="909"/>
      <c r="D44" s="282">
        <f t="shared" si="1"/>
        <v>32</v>
      </c>
    </row>
    <row r="45" spans="1:4">
      <c r="A45" s="253">
        <f t="shared" si="0"/>
        <v>33</v>
      </c>
      <c r="B45" s="6">
        <v>2017</v>
      </c>
      <c r="C45" s="909">
        <v>929.83380999999997</v>
      </c>
      <c r="D45" s="282">
        <f t="shared" si="1"/>
        <v>33</v>
      </c>
    </row>
    <row r="46" spans="1:4">
      <c r="A46" s="253">
        <f t="shared" si="0"/>
        <v>34</v>
      </c>
      <c r="B46" s="6"/>
      <c r="C46" s="909"/>
      <c r="D46" s="282">
        <f t="shared" si="1"/>
        <v>34</v>
      </c>
    </row>
    <row r="47" spans="1:4" ht="16.5" thickBot="1">
      <c r="A47" s="253">
        <f t="shared" si="0"/>
        <v>35</v>
      </c>
      <c r="B47" s="926">
        <v>2018</v>
      </c>
      <c r="C47" s="927">
        <v>1056.3686800000014</v>
      </c>
      <c r="D47" s="282">
        <f t="shared" si="1"/>
        <v>35</v>
      </c>
    </row>
    <row r="48" spans="1:4">
      <c r="A48" s="253">
        <f t="shared" si="0"/>
        <v>36</v>
      </c>
      <c r="B48" s="910"/>
      <c r="C48" s="911"/>
      <c r="D48" s="282">
        <f t="shared" si="1"/>
        <v>36</v>
      </c>
    </row>
    <row r="49" spans="1:4">
      <c r="A49" s="253">
        <f t="shared" si="0"/>
        <v>37</v>
      </c>
      <c r="B49" s="910">
        <v>2019</v>
      </c>
      <c r="C49" s="911">
        <v>606.25522000000001</v>
      </c>
      <c r="D49" s="282">
        <f t="shared" si="1"/>
        <v>37</v>
      </c>
    </row>
    <row r="50" spans="1:4">
      <c r="A50" s="253">
        <f t="shared" si="0"/>
        <v>38</v>
      </c>
      <c r="B50" s="910"/>
      <c r="C50" s="911"/>
      <c r="D50" s="282">
        <f t="shared" si="1"/>
        <v>38</v>
      </c>
    </row>
    <row r="51" spans="1:4">
      <c r="A51" s="253">
        <f t="shared" si="0"/>
        <v>39</v>
      </c>
      <c r="B51" s="910">
        <v>2020</v>
      </c>
      <c r="C51" s="911">
        <v>945.91189999999995</v>
      </c>
      <c r="D51" s="282">
        <f t="shared" si="1"/>
        <v>39</v>
      </c>
    </row>
    <row r="52" spans="1:4">
      <c r="A52" s="253">
        <f t="shared" si="0"/>
        <v>40</v>
      </c>
      <c r="B52" s="910"/>
      <c r="C52" s="911"/>
      <c r="D52" s="282">
        <f t="shared" si="1"/>
        <v>40</v>
      </c>
    </row>
    <row r="53" spans="1:4" ht="16.5" thickBot="1">
      <c r="A53" s="253">
        <f t="shared" si="0"/>
        <v>41</v>
      </c>
      <c r="B53" s="926">
        <v>2021</v>
      </c>
      <c r="C53" s="927">
        <v>1066.472009999999</v>
      </c>
      <c r="D53" s="282">
        <f t="shared" si="1"/>
        <v>41</v>
      </c>
    </row>
    <row r="54" spans="1:4">
      <c r="A54" s="253">
        <f t="shared" si="0"/>
        <v>42</v>
      </c>
      <c r="B54" s="910"/>
      <c r="C54" s="911"/>
      <c r="D54" s="282">
        <f t="shared" si="1"/>
        <v>42</v>
      </c>
    </row>
    <row r="55" spans="1:4">
      <c r="A55" s="253">
        <f t="shared" si="0"/>
        <v>43</v>
      </c>
      <c r="B55" s="910">
        <v>2022</v>
      </c>
      <c r="C55" s="911">
        <v>385.61754999999999</v>
      </c>
      <c r="D55" s="282">
        <f t="shared" si="1"/>
        <v>43</v>
      </c>
    </row>
    <row r="56" spans="1:4">
      <c r="A56" s="253">
        <f t="shared" si="0"/>
        <v>44</v>
      </c>
      <c r="B56" s="6"/>
      <c r="C56" s="1075"/>
      <c r="D56" s="282">
        <f t="shared" si="1"/>
        <v>44</v>
      </c>
    </row>
    <row r="57" spans="1:4">
      <c r="A57" s="253">
        <f t="shared" si="0"/>
        <v>45</v>
      </c>
      <c r="B57" s="6"/>
      <c r="C57" s="1076"/>
      <c r="D57" s="282">
        <f t="shared" si="1"/>
        <v>45</v>
      </c>
    </row>
    <row r="58" spans="1:4">
      <c r="A58" s="253">
        <f t="shared" si="0"/>
        <v>46</v>
      </c>
      <c r="B58" s="6" t="s">
        <v>80</v>
      </c>
      <c r="C58" s="1077">
        <f>SUM(C13:C57)</f>
        <v>10188.034820000003</v>
      </c>
      <c r="D58" s="282">
        <f t="shared" si="1"/>
        <v>46</v>
      </c>
    </row>
    <row r="59" spans="1:4">
      <c r="A59" s="253">
        <f t="shared" si="0"/>
        <v>47</v>
      </c>
      <c r="B59" s="6"/>
      <c r="C59" s="1077"/>
      <c r="D59" s="282">
        <f t="shared" si="1"/>
        <v>47</v>
      </c>
    </row>
    <row r="60" spans="1:4">
      <c r="A60" s="253">
        <f t="shared" si="0"/>
        <v>48</v>
      </c>
      <c r="B60" s="6" t="s">
        <v>824</v>
      </c>
      <c r="C60" s="1078">
        <f>-'AV-2B'!C19</f>
        <v>-56.027447560000006</v>
      </c>
      <c r="D60" s="282">
        <f t="shared" si="1"/>
        <v>48</v>
      </c>
    </row>
    <row r="61" spans="1:4">
      <c r="A61" s="253">
        <f t="shared" si="0"/>
        <v>49</v>
      </c>
      <c r="B61" s="6"/>
      <c r="C61" s="1077"/>
      <c r="D61" s="282">
        <f t="shared" si="1"/>
        <v>49</v>
      </c>
    </row>
    <row r="62" spans="1:4" ht="32.25" thickBot="1">
      <c r="A62" s="253">
        <f t="shared" si="0"/>
        <v>50</v>
      </c>
      <c r="B62" s="780" t="s">
        <v>825</v>
      </c>
      <c r="C62" s="781">
        <f>SUM(C58:C60)</f>
        <v>10132.007372440003</v>
      </c>
      <c r="D62" s="282">
        <f t="shared" si="1"/>
        <v>50</v>
      </c>
    </row>
    <row r="63" spans="1:4" ht="17.25" thickTop="1" thickBot="1">
      <c r="A63" s="253">
        <f t="shared" si="0"/>
        <v>51</v>
      </c>
      <c r="B63" s="1079"/>
      <c r="C63" s="782"/>
      <c r="D63" s="282">
        <f t="shared" si="1"/>
        <v>51</v>
      </c>
    </row>
    <row r="66" spans="1:2" ht="18.75">
      <c r="A66" s="409">
        <v>1</v>
      </c>
      <c r="B66" s="6" t="s">
        <v>826</v>
      </c>
    </row>
    <row r="67" spans="1:2" ht="18.75">
      <c r="A67" s="409"/>
      <c r="B67" s="3" t="s">
        <v>827</v>
      </c>
    </row>
    <row r="68" spans="1:2" ht="18.75">
      <c r="A68" s="409"/>
      <c r="B68" s="6" t="s">
        <v>828</v>
      </c>
    </row>
    <row r="69" spans="1:2">
      <c r="A69" s="3"/>
      <c r="B69" s="6"/>
    </row>
    <row r="70" spans="1:2">
      <c r="A70" s="3"/>
    </row>
    <row r="71" spans="1:2">
      <c r="A71" s="3"/>
    </row>
    <row r="73" spans="1:2" ht="18.75">
      <c r="A73" s="67"/>
    </row>
  </sheetData>
  <mergeCells count="6">
    <mergeCell ref="B7:C7"/>
    <mergeCell ref="B2:C2"/>
    <mergeCell ref="B3:C3"/>
    <mergeCell ref="B4:C4"/>
    <mergeCell ref="B5:C5"/>
    <mergeCell ref="B6:C6"/>
  </mergeCells>
  <printOptions horizontalCentered="1"/>
  <pageMargins left="0.5" right="0.5" top="0.5" bottom="0.5" header="0.25" footer="0.25"/>
  <pageSetup scale="67" orientation="portrait" r:id="rId1"/>
  <headerFooter scaleWithDoc="0">
    <oddFooter>&amp;C&amp;"Times New Roman,Regular"&amp;10&amp;A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28"/>
  <sheetViews>
    <sheetView zoomScale="80" zoomScaleNormal="80" zoomScalePageLayoutView="80" workbookViewId="0"/>
  </sheetViews>
  <sheetFormatPr defaultColWidth="8.7109375" defaultRowHeight="15.75"/>
  <cols>
    <col min="1" max="1" width="5.140625" style="219" bestFit="1" customWidth="1"/>
    <col min="2" max="2" width="83.140625" style="219" bestFit="1" customWidth="1"/>
    <col min="3" max="3" width="18.5703125" style="219" customWidth="1"/>
    <col min="4" max="4" width="34.5703125" style="219" customWidth="1"/>
    <col min="5" max="5" width="5.140625" style="250" bestFit="1" customWidth="1"/>
    <col min="6" max="16384" width="8.7109375" style="219"/>
  </cols>
  <sheetData>
    <row r="1" spans="1:5">
      <c r="A1" s="250"/>
    </row>
    <row r="2" spans="1:5">
      <c r="B2" s="1299" t="s">
        <v>0</v>
      </c>
      <c r="C2" s="1299"/>
      <c r="D2" s="1299"/>
      <c r="E2" s="556"/>
    </row>
    <row r="3" spans="1:5">
      <c r="B3" s="1299" t="str">
        <f>"TO"&amp;Automation!$B$1&amp;"-Cycle "&amp;Automation!$B$2&amp;" Annual Transmission Formula Filing"</f>
        <v>TO5-Cycle 6 Annual Transmission Formula Filing</v>
      </c>
      <c r="C3" s="1299"/>
      <c r="D3" s="1299"/>
      <c r="E3" s="556"/>
    </row>
    <row r="4" spans="1:5">
      <c r="B4" s="1299" t="s">
        <v>829</v>
      </c>
      <c r="C4" s="1299"/>
      <c r="D4" s="1299"/>
      <c r="E4" s="556"/>
    </row>
    <row r="5" spans="1:5">
      <c r="B5" s="1299" t="str">
        <f>" 12 Months Ending December 31, "&amp;Automation!$B$3</f>
        <v xml:space="preserve"> 12 Months Ending December 31, 2022</v>
      </c>
      <c r="C5" s="1299"/>
      <c r="D5" s="1299"/>
    </row>
    <row r="6" spans="1:5">
      <c r="B6" s="1325">
        <v>-1000</v>
      </c>
      <c r="C6" s="1325"/>
      <c r="D6" s="1325"/>
      <c r="E6" s="398"/>
    </row>
    <row r="7" spans="1:5" ht="16.5" thickBot="1">
      <c r="A7" s="250"/>
      <c r="C7" s="250"/>
    </row>
    <row r="8" spans="1:5">
      <c r="A8" s="250" t="s">
        <v>4</v>
      </c>
      <c r="B8" s="783"/>
      <c r="C8" s="784"/>
      <c r="D8" s="785"/>
      <c r="E8" s="250" t="s">
        <v>4</v>
      </c>
    </row>
    <row r="9" spans="1:5" ht="16.5" thickBot="1">
      <c r="A9" s="250" t="s">
        <v>5</v>
      </c>
      <c r="B9" s="786" t="s">
        <v>262</v>
      </c>
      <c r="C9" s="787" t="s">
        <v>7</v>
      </c>
      <c r="D9" s="788" t="s">
        <v>8</v>
      </c>
      <c r="E9" s="250" t="s">
        <v>5</v>
      </c>
    </row>
    <row r="10" spans="1:5">
      <c r="A10" s="556"/>
      <c r="B10" s="789"/>
      <c r="C10" s="252"/>
      <c r="D10" s="1080"/>
      <c r="E10" s="556"/>
    </row>
    <row r="11" spans="1:5">
      <c r="A11" s="250">
        <v>1</v>
      </c>
      <c r="B11" s="790" t="s">
        <v>830</v>
      </c>
      <c r="C11" s="176">
        <v>2282.4870000000001</v>
      </c>
      <c r="D11" s="277"/>
      <c r="E11" s="250">
        <f>A11</f>
        <v>1</v>
      </c>
    </row>
    <row r="12" spans="1:5">
      <c r="A12" s="250">
        <f>A11+1</f>
        <v>2</v>
      </c>
      <c r="B12" s="790"/>
      <c r="C12" s="176"/>
      <c r="D12" s="277"/>
      <c r="E12" s="250">
        <f>E11+1</f>
        <v>2</v>
      </c>
    </row>
    <row r="13" spans="1:5">
      <c r="A13" s="250">
        <f t="shared" ref="A13:A28" si="0">A12+1</f>
        <v>3</v>
      </c>
      <c r="B13" s="790" t="s">
        <v>831</v>
      </c>
      <c r="C13" s="1081">
        <v>0.73640000000000005</v>
      </c>
      <c r="D13" s="277"/>
      <c r="E13" s="250">
        <f t="shared" ref="E13:E28" si="1">E12+1</f>
        <v>3</v>
      </c>
    </row>
    <row r="14" spans="1:5">
      <c r="A14" s="250">
        <f t="shared" si="0"/>
        <v>4</v>
      </c>
      <c r="B14" s="790"/>
      <c r="C14" s="791"/>
      <c r="D14" s="277"/>
      <c r="E14" s="250">
        <f t="shared" si="1"/>
        <v>4</v>
      </c>
    </row>
    <row r="15" spans="1:5">
      <c r="A15" s="250">
        <f t="shared" si="0"/>
        <v>5</v>
      </c>
      <c r="B15" s="790" t="s">
        <v>900</v>
      </c>
      <c r="C15" s="177">
        <f>C11*C13</f>
        <v>1680.8234268000001</v>
      </c>
      <c r="D15" s="253" t="str">
        <f>"Line "&amp;A11&amp;" x Line "&amp;A13</f>
        <v>Line 1 x Line 3</v>
      </c>
      <c r="E15" s="250">
        <f t="shared" si="1"/>
        <v>5</v>
      </c>
    </row>
    <row r="16" spans="1:5">
      <c r="A16" s="250">
        <f t="shared" si="0"/>
        <v>6</v>
      </c>
      <c r="B16" s="790"/>
      <c r="C16" s="792"/>
      <c r="D16" s="253"/>
      <c r="E16" s="250">
        <f t="shared" si="1"/>
        <v>6</v>
      </c>
    </row>
    <row r="17" spans="1:5">
      <c r="A17" s="250">
        <f t="shared" si="0"/>
        <v>7</v>
      </c>
      <c r="B17" s="790" t="s">
        <v>832</v>
      </c>
      <c r="C17" s="1082">
        <f>1/30</f>
        <v>3.3333333333333333E-2</v>
      </c>
      <c r="D17" s="253" t="s">
        <v>833</v>
      </c>
      <c r="E17" s="250">
        <f t="shared" si="1"/>
        <v>7</v>
      </c>
    </row>
    <row r="18" spans="1:5">
      <c r="A18" s="250">
        <f t="shared" si="0"/>
        <v>8</v>
      </c>
      <c r="B18" s="790"/>
      <c r="C18" s="793"/>
      <c r="D18" s="253"/>
      <c r="E18" s="250">
        <f t="shared" si="1"/>
        <v>8</v>
      </c>
    </row>
    <row r="19" spans="1:5" ht="16.5" thickBot="1">
      <c r="A19" s="250">
        <f t="shared" si="0"/>
        <v>9</v>
      </c>
      <c r="B19" s="794" t="s">
        <v>834</v>
      </c>
      <c r="C19" s="317">
        <f>C15*C17</f>
        <v>56.027447560000006</v>
      </c>
      <c r="D19" s="253" t="str">
        <f>"Line "&amp;A15&amp;" x Line "&amp;A17</f>
        <v>Line 5 x Line 7</v>
      </c>
      <c r="E19" s="250">
        <f t="shared" si="1"/>
        <v>9</v>
      </c>
    </row>
    <row r="20" spans="1:5" ht="16.5" thickTop="1">
      <c r="A20" s="250">
        <f t="shared" si="0"/>
        <v>10</v>
      </c>
      <c r="B20" s="790"/>
      <c r="C20" s="795"/>
      <c r="D20" s="277"/>
      <c r="E20" s="250">
        <f t="shared" si="1"/>
        <v>10</v>
      </c>
    </row>
    <row r="21" spans="1:5">
      <c r="A21" s="250">
        <f t="shared" si="0"/>
        <v>11</v>
      </c>
      <c r="B21" s="790" t="s">
        <v>835</v>
      </c>
      <c r="C21" s="1214">
        <v>0.27983599999999997</v>
      </c>
      <c r="D21" s="277"/>
      <c r="E21" s="250">
        <f t="shared" si="1"/>
        <v>11</v>
      </c>
    </row>
    <row r="22" spans="1:5">
      <c r="A22" s="250">
        <f t="shared" si="0"/>
        <v>12</v>
      </c>
      <c r="B22" s="790"/>
      <c r="C22" s="796"/>
      <c r="D22" s="277"/>
      <c r="E22" s="250">
        <f t="shared" si="1"/>
        <v>12</v>
      </c>
    </row>
    <row r="23" spans="1:5">
      <c r="A23" s="250">
        <f t="shared" si="0"/>
        <v>13</v>
      </c>
      <c r="B23" s="790" t="s">
        <v>836</v>
      </c>
      <c r="C23" s="177">
        <f>C19*C21</f>
        <v>15.678496815400161</v>
      </c>
      <c r="D23" s="253" t="str">
        <f>"Line "&amp;A19&amp;" x Line "&amp;A21</f>
        <v>Line 9 x Line 11</v>
      </c>
      <c r="E23" s="250">
        <f t="shared" si="1"/>
        <v>13</v>
      </c>
    </row>
    <row r="24" spans="1:5">
      <c r="A24" s="250">
        <f t="shared" si="0"/>
        <v>14</v>
      </c>
      <c r="B24" s="790"/>
      <c r="C24" s="796"/>
      <c r="D24" s="277"/>
      <c r="E24" s="250">
        <f t="shared" si="1"/>
        <v>14</v>
      </c>
    </row>
    <row r="25" spans="1:5">
      <c r="A25" s="250">
        <f t="shared" si="0"/>
        <v>15</v>
      </c>
      <c r="B25" s="790" t="s">
        <v>837</v>
      </c>
      <c r="C25" s="1215">
        <v>1.3885726029071155</v>
      </c>
      <c r="D25" s="277"/>
      <c r="E25" s="250">
        <f t="shared" si="1"/>
        <v>15</v>
      </c>
    </row>
    <row r="26" spans="1:5">
      <c r="A26" s="250">
        <f t="shared" si="0"/>
        <v>16</v>
      </c>
      <c r="B26" s="790"/>
      <c r="C26" s="796"/>
      <c r="D26" s="277"/>
      <c r="E26" s="250">
        <f t="shared" si="1"/>
        <v>16</v>
      </c>
    </row>
    <row r="27" spans="1:5" ht="16.5" thickBot="1">
      <c r="A27" s="250">
        <f t="shared" si="0"/>
        <v>17</v>
      </c>
      <c r="B27" s="794" t="s">
        <v>838</v>
      </c>
      <c r="C27" s="317">
        <f>C23*C25</f>
        <v>21.770731132631123</v>
      </c>
      <c r="D27" s="253" t="str">
        <f>"Line "&amp;A23&amp;" x Line "&amp;A25</f>
        <v>Line 13 x Line 15</v>
      </c>
      <c r="E27" s="250">
        <f t="shared" si="1"/>
        <v>17</v>
      </c>
    </row>
    <row r="28" spans="1:5" ht="17.25" thickTop="1" thickBot="1">
      <c r="A28" s="250">
        <f t="shared" si="0"/>
        <v>18</v>
      </c>
      <c r="B28" s="797"/>
      <c r="C28" s="768"/>
      <c r="D28" s="274"/>
      <c r="E28" s="250">
        <f t="shared" si="1"/>
        <v>18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86" orientation="landscape" r:id="rId1"/>
  <headerFooter scaleWithDoc="0">
    <oddFooter>&amp;C&amp;"Times New Roman,Regular"&amp;10&amp;A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H85"/>
  <sheetViews>
    <sheetView zoomScale="80" zoomScaleNormal="80" zoomScalePageLayoutView="53" workbookViewId="0"/>
  </sheetViews>
  <sheetFormatPr defaultColWidth="8.7109375" defaultRowHeight="15.75"/>
  <cols>
    <col min="1" max="1" width="5.140625" style="104" customWidth="1"/>
    <col min="2" max="2" width="83" style="13" customWidth="1"/>
    <col min="3" max="3" width="16.7109375" style="13" customWidth="1"/>
    <col min="4" max="4" width="1.5703125" style="13" customWidth="1"/>
    <col min="5" max="5" width="38.7109375" style="13" customWidth="1"/>
    <col min="6" max="6" width="5.140625" style="104" customWidth="1"/>
    <col min="7" max="16384" width="8.7109375" style="13"/>
  </cols>
  <sheetData>
    <row r="1" spans="1:6">
      <c r="A1" s="119"/>
      <c r="B1" s="63"/>
      <c r="C1" s="68"/>
      <c r="D1" s="68"/>
      <c r="E1" s="77"/>
      <c r="F1" s="119"/>
    </row>
    <row r="2" spans="1:6">
      <c r="A2" s="119"/>
      <c r="B2" s="1286" t="s">
        <v>0</v>
      </c>
      <c r="C2" s="1326"/>
      <c r="D2" s="1326"/>
      <c r="E2" s="1326"/>
      <c r="F2" s="119"/>
    </row>
    <row r="3" spans="1:6">
      <c r="A3" s="119" t="s">
        <v>186</v>
      </c>
      <c r="B3" s="1286" t="s">
        <v>839</v>
      </c>
      <c r="C3" s="1326"/>
      <c r="D3" s="1326"/>
      <c r="E3" s="1326"/>
      <c r="F3" s="119" t="s">
        <v>186</v>
      </c>
    </row>
    <row r="4" spans="1:6">
      <c r="A4" s="119"/>
      <c r="B4" s="1327" t="str">
        <f>'A. Sec.1 - Direct Maintenance'!B5</f>
        <v>Base Period &amp; True-Up Period 12 - Months Ending December 31, 2022</v>
      </c>
      <c r="C4" s="1328"/>
      <c r="D4" s="1328"/>
      <c r="E4" s="1328"/>
      <c r="F4" s="119"/>
    </row>
    <row r="5" spans="1:6">
      <c r="A5" s="119"/>
      <c r="B5" s="1315" t="s">
        <v>3</v>
      </c>
      <c r="C5" s="1326"/>
      <c r="D5" s="1326"/>
      <c r="E5" s="1326"/>
      <c r="F5" s="119"/>
    </row>
    <row r="6" spans="1:6">
      <c r="A6" s="119"/>
      <c r="B6" s="1099"/>
      <c r="C6" s="63"/>
      <c r="D6" s="63"/>
      <c r="E6" s="63"/>
      <c r="F6" s="119"/>
    </row>
    <row r="7" spans="1:6">
      <c r="A7" s="119" t="s">
        <v>4</v>
      </c>
      <c r="B7" s="63"/>
      <c r="C7" s="69"/>
      <c r="D7" s="69"/>
      <c r="E7" s="77"/>
      <c r="F7" s="119" t="s">
        <v>4</v>
      </c>
    </row>
    <row r="8" spans="1:6">
      <c r="A8" s="119" t="s">
        <v>5</v>
      </c>
      <c r="B8" s="63" t="s">
        <v>186</v>
      </c>
      <c r="C8" s="1083" t="s">
        <v>7</v>
      </c>
      <c r="D8" s="69"/>
      <c r="E8" s="1084" t="s">
        <v>8</v>
      </c>
      <c r="F8" s="119" t="s">
        <v>5</v>
      </c>
    </row>
    <row r="9" spans="1:6">
      <c r="A9" s="119"/>
      <c r="B9" s="20" t="s">
        <v>840</v>
      </c>
      <c r="C9" s="72"/>
      <c r="D9" s="69"/>
      <c r="E9" s="77"/>
      <c r="F9" s="119"/>
    </row>
    <row r="10" spans="1:6">
      <c r="A10" s="119"/>
      <c r="B10" s="71"/>
      <c r="C10" s="72"/>
      <c r="D10" s="69"/>
      <c r="E10" s="77"/>
      <c r="F10" s="119"/>
    </row>
    <row r="11" spans="1:6">
      <c r="A11" s="119">
        <v>1</v>
      </c>
      <c r="B11" s="20" t="s">
        <v>841</v>
      </c>
      <c r="C11" s="72"/>
      <c r="D11" s="72"/>
      <c r="E11" s="77"/>
      <c r="F11" s="119">
        <f>A11</f>
        <v>1</v>
      </c>
    </row>
    <row r="12" spans="1:6">
      <c r="A12" s="119">
        <f>A11+1</f>
        <v>2</v>
      </c>
      <c r="B12" s="17" t="s">
        <v>842</v>
      </c>
      <c r="C12" s="638">
        <f>C75</f>
        <v>5767143.3852746151</v>
      </c>
      <c r="D12" s="53"/>
      <c r="E12" s="70" t="str">
        <f>"Page 2; Line "&amp;A75</f>
        <v>Page 2; Line 16</v>
      </c>
      <c r="F12" s="119">
        <f>F11+1</f>
        <v>2</v>
      </c>
    </row>
    <row r="13" spans="1:6">
      <c r="A13" s="119">
        <f t="shared" ref="A13:A48" si="0">A12+1</f>
        <v>3</v>
      </c>
      <c r="B13" s="17" t="s">
        <v>200</v>
      </c>
      <c r="C13" s="370">
        <f>C76</f>
        <v>3108.1208784789978</v>
      </c>
      <c r="D13" s="549"/>
      <c r="E13" s="70" t="str">
        <f>"Page 2; Line "&amp;A76</f>
        <v>Page 2; Line 17</v>
      </c>
      <c r="F13" s="119">
        <f t="shared" ref="F13:F48" si="1">F12+1</f>
        <v>3</v>
      </c>
    </row>
    <row r="14" spans="1:6">
      <c r="A14" s="119">
        <f t="shared" si="0"/>
        <v>4</v>
      </c>
      <c r="B14" s="17" t="s">
        <v>201</v>
      </c>
      <c r="C14" s="370">
        <f>C77</f>
        <v>32085.084204969364</v>
      </c>
      <c r="D14" s="549"/>
      <c r="E14" s="70" t="str">
        <f>"Page 2; Line "&amp;A77</f>
        <v>Page 2; Line 18</v>
      </c>
      <c r="F14" s="119">
        <f t="shared" si="1"/>
        <v>4</v>
      </c>
    </row>
    <row r="15" spans="1:6">
      <c r="A15" s="119">
        <f t="shared" si="0"/>
        <v>5</v>
      </c>
      <c r="B15" s="17" t="s">
        <v>843</v>
      </c>
      <c r="C15" s="1085">
        <f>C78</f>
        <v>90550.451087320849</v>
      </c>
      <c r="D15" s="549"/>
      <c r="E15" s="70" t="str">
        <f>"Page 2; Line "&amp;A78</f>
        <v>Page 2; Line 19</v>
      </c>
      <c r="F15" s="119">
        <f t="shared" si="1"/>
        <v>5</v>
      </c>
    </row>
    <row r="16" spans="1:6">
      <c r="A16" s="119">
        <f t="shared" si="0"/>
        <v>6</v>
      </c>
      <c r="B16" s="17" t="s">
        <v>844</v>
      </c>
      <c r="C16" s="1086">
        <f>SUM(C12:C15)</f>
        <v>5892887.0414453847</v>
      </c>
      <c r="D16" s="76"/>
      <c r="E16" s="70" t="str">
        <f>"Sum Lines "&amp;A12&amp;" thru "&amp;A15</f>
        <v>Sum Lines 2 thru 5</v>
      </c>
      <c r="F16" s="119">
        <f t="shared" si="1"/>
        <v>6</v>
      </c>
    </row>
    <row r="17" spans="1:6">
      <c r="A17" s="119">
        <f t="shared" si="0"/>
        <v>7</v>
      </c>
      <c r="B17" s="16"/>
      <c r="C17" s="650"/>
      <c r="D17" s="73"/>
      <c r="E17" s="77"/>
      <c r="F17" s="119">
        <f t="shared" si="1"/>
        <v>7</v>
      </c>
    </row>
    <row r="18" spans="1:6">
      <c r="A18" s="119">
        <f t="shared" si="0"/>
        <v>8</v>
      </c>
      <c r="B18" s="20" t="s">
        <v>845</v>
      </c>
      <c r="C18" s="650"/>
      <c r="D18" s="73"/>
      <c r="E18" s="77"/>
      <c r="F18" s="119">
        <f t="shared" si="1"/>
        <v>8</v>
      </c>
    </row>
    <row r="19" spans="1:6">
      <c r="A19" s="119">
        <f t="shared" si="0"/>
        <v>9</v>
      </c>
      <c r="B19" s="17" t="s">
        <v>846</v>
      </c>
      <c r="C19" s="651">
        <f>'Stmt AG'!E11</f>
        <v>0</v>
      </c>
      <c r="D19" s="69"/>
      <c r="E19" s="70" t="str">
        <f>"Statement AG; Line "&amp;'Stmt AG'!A11</f>
        <v>Statement AG; Line 1</v>
      </c>
      <c r="F19" s="119">
        <f t="shared" si="1"/>
        <v>9</v>
      </c>
    </row>
    <row r="20" spans="1:6">
      <c r="A20" s="119">
        <f t="shared" si="0"/>
        <v>10</v>
      </c>
      <c r="B20" s="17" t="s">
        <v>847</v>
      </c>
      <c r="C20" s="849">
        <f>'Stmt Misc.'!E12</f>
        <v>0</v>
      </c>
      <c r="D20" s="69"/>
      <c r="E20" s="70" t="str">
        <f>"Statement Misc.; Line "&amp;'Stmt Misc.'!A12</f>
        <v>Statement Misc.; Line 3</v>
      </c>
      <c r="F20" s="119">
        <f t="shared" si="1"/>
        <v>10</v>
      </c>
    </row>
    <row r="21" spans="1:6">
      <c r="A21" s="119">
        <f t="shared" si="0"/>
        <v>11</v>
      </c>
      <c r="B21" s="17" t="s">
        <v>848</v>
      </c>
      <c r="C21" s="1087">
        <f>C19+C20</f>
        <v>0</v>
      </c>
      <c r="D21" s="562"/>
      <c r="E21" s="70" t="str">
        <f>"Line "&amp;A19&amp;" + Line "&amp;A20</f>
        <v>Line 9 + Line 10</v>
      </c>
      <c r="F21" s="119">
        <f t="shared" si="1"/>
        <v>11</v>
      </c>
    </row>
    <row r="22" spans="1:6">
      <c r="A22" s="119">
        <f t="shared" si="0"/>
        <v>12</v>
      </c>
      <c r="B22" s="17"/>
      <c r="C22" s="652"/>
      <c r="D22" s="68"/>
      <c r="E22" s="77"/>
      <c r="F22" s="119">
        <f t="shared" si="1"/>
        <v>12</v>
      </c>
    </row>
    <row r="23" spans="1:6">
      <c r="A23" s="119">
        <f t="shared" si="0"/>
        <v>13</v>
      </c>
      <c r="B23" s="20" t="s">
        <v>849</v>
      </c>
      <c r="C23" s="650"/>
      <c r="D23" s="73"/>
      <c r="E23" s="77"/>
      <c r="F23" s="119">
        <f t="shared" si="1"/>
        <v>13</v>
      </c>
    </row>
    <row r="24" spans="1:6">
      <c r="A24" s="119">
        <f t="shared" si="0"/>
        <v>14</v>
      </c>
      <c r="B24" s="16" t="s">
        <v>850</v>
      </c>
      <c r="C24" s="653">
        <f>'Stmt AF'!I17</f>
        <v>-1064083.96966762</v>
      </c>
      <c r="D24" s="69"/>
      <c r="E24" s="70" t="str">
        <f>"Statement AF; Line "&amp;'Stmt AF'!A17</f>
        <v>Statement AF; Line 7</v>
      </c>
      <c r="F24" s="119">
        <f t="shared" si="1"/>
        <v>14</v>
      </c>
    </row>
    <row r="25" spans="1:6">
      <c r="A25" s="119">
        <f t="shared" si="0"/>
        <v>15</v>
      </c>
      <c r="B25" s="16" t="s">
        <v>851</v>
      </c>
      <c r="C25" s="654">
        <f>'Stmt AF'!I21</f>
        <v>0</v>
      </c>
      <c r="D25" s="69"/>
      <c r="E25" s="70" t="str">
        <f>"Statement AF; Line "&amp;'Stmt AF'!A21</f>
        <v>Statement AF; Line 11</v>
      </c>
      <c r="F25" s="119">
        <f t="shared" si="1"/>
        <v>15</v>
      </c>
    </row>
    <row r="26" spans="1:6">
      <c r="A26" s="119">
        <f t="shared" si="0"/>
        <v>16</v>
      </c>
      <c r="B26" s="17" t="s">
        <v>852</v>
      </c>
      <c r="C26" s="1086">
        <f>SUM(C24:C25)</f>
        <v>-1064083.96966762</v>
      </c>
      <c r="D26" s="76"/>
      <c r="E26" s="70" t="str">
        <f>"Line "&amp;A24&amp;" + Line "&amp;A25</f>
        <v>Line 14 + Line 15</v>
      </c>
      <c r="F26" s="119">
        <f t="shared" si="1"/>
        <v>16</v>
      </c>
    </row>
    <row r="27" spans="1:6">
      <c r="A27" s="119">
        <f t="shared" si="0"/>
        <v>17</v>
      </c>
      <c r="B27" s="63"/>
      <c r="C27" s="655"/>
      <c r="D27" s="74"/>
      <c r="E27" s="77"/>
      <c r="F27" s="119">
        <f t="shared" si="1"/>
        <v>17</v>
      </c>
    </row>
    <row r="28" spans="1:6">
      <c r="A28" s="119">
        <f t="shared" si="0"/>
        <v>18</v>
      </c>
      <c r="B28" s="20" t="s">
        <v>853</v>
      </c>
      <c r="C28" s="655"/>
      <c r="D28" s="74"/>
      <c r="E28" s="77"/>
      <c r="F28" s="119">
        <f t="shared" si="1"/>
        <v>18</v>
      </c>
    </row>
    <row r="29" spans="1:6">
      <c r="A29" s="119">
        <f t="shared" si="0"/>
        <v>19</v>
      </c>
      <c r="B29" s="17" t="s">
        <v>854</v>
      </c>
      <c r="C29" s="638">
        <f>'Stmt AL'!G15</f>
        <v>45624.288656641125</v>
      </c>
      <c r="D29" s="69"/>
      <c r="E29" s="70" t="str">
        <f>"Statement AL; Line "&amp;'Stmt AL'!A15</f>
        <v>Statement AL; Line 5</v>
      </c>
      <c r="F29" s="119">
        <f t="shared" si="1"/>
        <v>19</v>
      </c>
    </row>
    <row r="30" spans="1:6">
      <c r="A30" s="119">
        <f t="shared" si="0"/>
        <v>20</v>
      </c>
      <c r="B30" s="17" t="s">
        <v>855</v>
      </c>
      <c r="C30" s="370">
        <f>'Stmt AL'!G19</f>
        <v>43749.253540576785</v>
      </c>
      <c r="D30" s="69"/>
      <c r="E30" s="70" t="str">
        <f>"Statement AL; Line "&amp;'Stmt AL'!A19</f>
        <v>Statement AL; Line 9</v>
      </c>
      <c r="F30" s="119">
        <f t="shared" si="1"/>
        <v>20</v>
      </c>
    </row>
    <row r="31" spans="1:6">
      <c r="A31" s="119">
        <f t="shared" si="0"/>
        <v>21</v>
      </c>
      <c r="B31" s="17" t="s">
        <v>856</v>
      </c>
      <c r="C31" s="1085">
        <f>'Stmt AL'!E29</f>
        <v>11385.686488987936</v>
      </c>
      <c r="D31" s="69"/>
      <c r="E31" s="70" t="str">
        <f>"Statement AL; Line "&amp;'Stmt AL'!A29</f>
        <v>Statement AL; Line 19</v>
      </c>
      <c r="F31" s="119">
        <f t="shared" si="1"/>
        <v>21</v>
      </c>
    </row>
    <row r="32" spans="1:6">
      <c r="A32" s="119">
        <f t="shared" si="0"/>
        <v>22</v>
      </c>
      <c r="B32" s="17" t="s">
        <v>857</v>
      </c>
      <c r="C32" s="1086">
        <f>SUM(C29:C31)</f>
        <v>100759.22868620584</v>
      </c>
      <c r="D32" s="76"/>
      <c r="E32" s="70" t="str">
        <f>"Sum Lines "&amp;A29&amp;" thru "&amp;A31</f>
        <v>Sum Lines 19 thru 21</v>
      </c>
      <c r="F32" s="119">
        <f t="shared" si="1"/>
        <v>22</v>
      </c>
    </row>
    <row r="33" spans="1:6">
      <c r="A33" s="119">
        <f t="shared" si="0"/>
        <v>23</v>
      </c>
      <c r="B33" s="57"/>
      <c r="C33" s="656"/>
      <c r="D33" s="75"/>
      <c r="E33" s="77"/>
      <c r="F33" s="119">
        <f t="shared" si="1"/>
        <v>23</v>
      </c>
    </row>
    <row r="34" spans="1:6">
      <c r="A34" s="119">
        <f t="shared" si="0"/>
        <v>24</v>
      </c>
      <c r="B34" s="17" t="s">
        <v>858</v>
      </c>
      <c r="C34" s="1088">
        <f>'Stmt Misc.'!E14</f>
        <v>0</v>
      </c>
      <c r="D34" s="69"/>
      <c r="E34" s="70" t="str">
        <f>"Statement Misc.; Line "&amp;'Stmt Misc.'!A14</f>
        <v>Statement Misc.; Line 5</v>
      </c>
      <c r="F34" s="119">
        <f t="shared" si="1"/>
        <v>24</v>
      </c>
    </row>
    <row r="35" spans="1:6">
      <c r="A35" s="119">
        <f t="shared" si="0"/>
        <v>25</v>
      </c>
      <c r="B35" s="17"/>
      <c r="C35" s="656"/>
      <c r="D35" s="75"/>
      <c r="E35" s="77"/>
      <c r="F35" s="119">
        <f t="shared" si="1"/>
        <v>25</v>
      </c>
    </row>
    <row r="36" spans="1:6" ht="16.5" thickBot="1">
      <c r="A36" s="119">
        <f t="shared" si="0"/>
        <v>26</v>
      </c>
      <c r="B36" s="17" t="s">
        <v>859</v>
      </c>
      <c r="C36" s="1185">
        <f>C16+C21+C26+C32+C34</f>
        <v>4929562.3004639708</v>
      </c>
      <c r="D36" s="76"/>
      <c r="E36" s="70" t="str">
        <f>"Sum Lines "&amp;A16&amp;", "&amp;A21&amp;", "&amp;A26&amp;", "&amp;A32&amp;", "&amp;A34</f>
        <v>Sum Lines 6, 11, 16, 22, 24</v>
      </c>
      <c r="F36" s="119">
        <f t="shared" si="1"/>
        <v>26</v>
      </c>
    </row>
    <row r="37" spans="1:6" ht="16.5" thickTop="1">
      <c r="A37" s="119">
        <f t="shared" si="0"/>
        <v>27</v>
      </c>
      <c r="B37" s="57"/>
      <c r="C37" s="657"/>
      <c r="D37" s="76"/>
      <c r="E37" s="77"/>
      <c r="F37" s="119">
        <f t="shared" si="1"/>
        <v>27</v>
      </c>
    </row>
    <row r="38" spans="1:6">
      <c r="A38" s="119">
        <f t="shared" si="0"/>
        <v>28</v>
      </c>
      <c r="B38" s="20" t="s">
        <v>860</v>
      </c>
      <c r="C38" s="657"/>
      <c r="D38" s="76"/>
      <c r="E38" s="77"/>
      <c r="F38" s="119">
        <f t="shared" si="1"/>
        <v>28</v>
      </c>
    </row>
    <row r="39" spans="1:6">
      <c r="A39" s="119">
        <f t="shared" si="0"/>
        <v>29</v>
      </c>
      <c r="B39" s="17" t="s">
        <v>861</v>
      </c>
      <c r="C39" s="880">
        <v>0</v>
      </c>
      <c r="D39" s="878"/>
      <c r="E39" s="70" t="s">
        <v>307</v>
      </c>
      <c r="F39" s="119">
        <f t="shared" si="1"/>
        <v>29</v>
      </c>
    </row>
    <row r="40" spans="1:6">
      <c r="A40" s="119">
        <f t="shared" si="0"/>
        <v>30</v>
      </c>
      <c r="B40" s="17" t="s">
        <v>862</v>
      </c>
      <c r="C40" s="900">
        <v>0</v>
      </c>
      <c r="D40" s="69"/>
      <c r="E40" s="70" t="s">
        <v>307</v>
      </c>
      <c r="F40" s="119">
        <f t="shared" si="1"/>
        <v>30</v>
      </c>
    </row>
    <row r="41" spans="1:6">
      <c r="A41" s="119">
        <f t="shared" si="0"/>
        <v>31</v>
      </c>
      <c r="B41" s="16" t="s">
        <v>863</v>
      </c>
      <c r="C41" s="879">
        <f>C39+C40</f>
        <v>0</v>
      </c>
      <c r="D41" s="76"/>
      <c r="E41" s="70" t="str">
        <f>"Line "&amp;A39&amp;" + Line "&amp;A40</f>
        <v>Line 29 + Line 30</v>
      </c>
      <c r="F41" s="119">
        <f t="shared" si="1"/>
        <v>31</v>
      </c>
    </row>
    <row r="42" spans="1:6">
      <c r="A42" s="119">
        <f t="shared" si="0"/>
        <v>32</v>
      </c>
      <c r="B42" s="57"/>
      <c r="C42" s="657"/>
      <c r="D42" s="76"/>
      <c r="E42" s="77"/>
      <c r="F42" s="119">
        <f t="shared" si="1"/>
        <v>32</v>
      </c>
    </row>
    <row r="43" spans="1:6">
      <c r="A43" s="119">
        <f t="shared" si="0"/>
        <v>33</v>
      </c>
      <c r="B43" s="20" t="s">
        <v>864</v>
      </c>
      <c r="C43" s="657"/>
      <c r="D43" s="76"/>
      <c r="E43" s="77"/>
      <c r="F43" s="119">
        <f t="shared" si="1"/>
        <v>33</v>
      </c>
    </row>
    <row r="44" spans="1:6">
      <c r="A44" s="119">
        <f t="shared" si="0"/>
        <v>34</v>
      </c>
      <c r="B44" s="17" t="s">
        <v>865</v>
      </c>
      <c r="C44" s="880">
        <v>0</v>
      </c>
      <c r="D44" s="69"/>
      <c r="E44" s="70" t="s">
        <v>307</v>
      </c>
      <c r="F44" s="119">
        <f t="shared" si="1"/>
        <v>34</v>
      </c>
    </row>
    <row r="45" spans="1:6">
      <c r="A45" s="119">
        <f t="shared" si="0"/>
        <v>35</v>
      </c>
      <c r="B45" s="16" t="s">
        <v>866</v>
      </c>
      <c r="C45" s="1089">
        <v>0</v>
      </c>
      <c r="D45" s="69"/>
      <c r="E45" s="70" t="s">
        <v>307</v>
      </c>
      <c r="F45" s="119">
        <f t="shared" si="1"/>
        <v>35</v>
      </c>
    </row>
    <row r="46" spans="1:6">
      <c r="A46" s="119">
        <f t="shared" si="0"/>
        <v>36</v>
      </c>
      <c r="B46" s="16" t="s">
        <v>867</v>
      </c>
      <c r="C46" s="879">
        <f>C44+C45</f>
        <v>0</v>
      </c>
      <c r="D46" s="76"/>
      <c r="E46" s="70" t="str">
        <f>"Line "&amp;A44&amp;" + Line "&amp;A45</f>
        <v>Line 34 + Line 35</v>
      </c>
      <c r="F46" s="119">
        <f t="shared" si="1"/>
        <v>36</v>
      </c>
    </row>
    <row r="47" spans="1:6">
      <c r="A47" s="119">
        <f t="shared" si="0"/>
        <v>37</v>
      </c>
      <c r="B47" s="57"/>
      <c r="C47" s="657"/>
      <c r="D47" s="76"/>
      <c r="E47" s="77"/>
      <c r="F47" s="119">
        <f t="shared" si="1"/>
        <v>37</v>
      </c>
    </row>
    <row r="48" spans="1:6" ht="16.5" thickBot="1">
      <c r="A48" s="119">
        <f t="shared" si="0"/>
        <v>38</v>
      </c>
      <c r="B48" s="20" t="s">
        <v>868</v>
      </c>
      <c r="C48" s="1186">
        <v>0</v>
      </c>
      <c r="D48" s="69"/>
      <c r="E48" s="70" t="s">
        <v>307</v>
      </c>
      <c r="F48" s="119">
        <f t="shared" si="1"/>
        <v>38</v>
      </c>
    </row>
    <row r="49" spans="1:8" ht="16.5" thickTop="1">
      <c r="A49" s="119"/>
      <c r="B49" s="57"/>
      <c r="C49" s="657"/>
      <c r="D49" s="76"/>
      <c r="E49" s="77"/>
      <c r="F49" s="119"/>
    </row>
    <row r="50" spans="1:8">
      <c r="A50" s="119"/>
      <c r="B50" s="77"/>
      <c r="C50" s="63"/>
      <c r="D50" s="63"/>
      <c r="E50" s="63"/>
      <c r="F50" s="119"/>
    </row>
    <row r="51" spans="1:8">
      <c r="A51" s="119"/>
      <c r="B51" s="1286" t="str">
        <f>B2</f>
        <v>SAN DIEGO GAS &amp; ELECTRIC COMPANY</v>
      </c>
      <c r="C51" s="1326"/>
      <c r="D51" s="1326"/>
      <c r="E51" s="1326"/>
      <c r="F51" s="119"/>
    </row>
    <row r="52" spans="1:8">
      <c r="A52" s="119"/>
      <c r="B52" s="1286" t="str">
        <f>B3</f>
        <v xml:space="preserve">Derivation of End Use Transmission Rate Base </v>
      </c>
      <c r="C52" s="1326"/>
      <c r="D52" s="1326"/>
      <c r="E52" s="1326"/>
      <c r="F52" s="119"/>
    </row>
    <row r="53" spans="1:8">
      <c r="A53" s="119"/>
      <c r="B53" s="1327" t="str">
        <f>B4</f>
        <v>Base Period &amp; True-Up Period 12 - Months Ending December 31, 2022</v>
      </c>
      <c r="C53" s="1328"/>
      <c r="D53" s="1328"/>
      <c r="E53" s="1328"/>
      <c r="F53" s="119"/>
    </row>
    <row r="54" spans="1:8">
      <c r="A54" s="119"/>
      <c r="B54" s="1315" t="s">
        <v>3</v>
      </c>
      <c r="C54" s="1326"/>
      <c r="D54" s="1326"/>
      <c r="E54" s="1326"/>
      <c r="F54" s="119"/>
    </row>
    <row r="55" spans="1:8">
      <c r="A55" s="119"/>
      <c r="B55" s="1099"/>
      <c r="C55" s="63"/>
      <c r="D55" s="63"/>
      <c r="E55" s="63"/>
      <c r="F55" s="119"/>
    </row>
    <row r="56" spans="1:8">
      <c r="A56" s="119" t="s">
        <v>4</v>
      </c>
      <c r="B56" s="1099"/>
      <c r="C56" s="63"/>
      <c r="D56" s="63"/>
      <c r="E56" s="63"/>
      <c r="F56" s="119"/>
    </row>
    <row r="57" spans="1:8">
      <c r="A57" s="119" t="s">
        <v>5</v>
      </c>
      <c r="B57" s="1099"/>
      <c r="C57" s="63"/>
      <c r="D57" s="63"/>
      <c r="E57" s="63"/>
      <c r="F57" s="119"/>
    </row>
    <row r="58" spans="1:8">
      <c r="A58" s="119"/>
      <c r="B58" s="20" t="s">
        <v>869</v>
      </c>
      <c r="C58" s="63"/>
      <c r="D58" s="63"/>
      <c r="E58" s="63"/>
      <c r="F58" s="119"/>
    </row>
    <row r="59" spans="1:8">
      <c r="A59" s="119"/>
      <c r="B59" s="71"/>
      <c r="C59" s="69"/>
      <c r="D59" s="69"/>
      <c r="E59" s="77"/>
      <c r="F59" s="119"/>
    </row>
    <row r="60" spans="1:8">
      <c r="A60" s="119">
        <v>1</v>
      </c>
      <c r="B60" s="20" t="s">
        <v>870</v>
      </c>
      <c r="C60" s="69"/>
      <c r="D60" s="69"/>
      <c r="E60" s="77"/>
      <c r="F60" s="119">
        <f t="shared" ref="F60:F84" si="2">A60</f>
        <v>1</v>
      </c>
    </row>
    <row r="61" spans="1:8">
      <c r="A61" s="119">
        <v>2</v>
      </c>
      <c r="B61" s="17" t="s">
        <v>842</v>
      </c>
      <c r="C61" s="658">
        <f>'Stmt AD'!I21</f>
        <v>7503381.1074746149</v>
      </c>
      <c r="D61" s="69"/>
      <c r="E61" s="70" t="str">
        <f>"Statement AD; Line "&amp;'Stmt AD'!A21</f>
        <v>Statement AD; Line 11</v>
      </c>
      <c r="F61" s="119">
        <f t="shared" si="2"/>
        <v>2</v>
      </c>
      <c r="G61" s="105"/>
      <c r="H61" s="106"/>
    </row>
    <row r="62" spans="1:8">
      <c r="A62" s="119">
        <v>3</v>
      </c>
      <c r="B62" s="17" t="s">
        <v>871</v>
      </c>
      <c r="C62" s="659">
        <f>'Stmt AD'!I37</f>
        <v>15567.22699102287</v>
      </c>
      <c r="D62" s="69"/>
      <c r="E62" s="70" t="str">
        <f>"Statement AD; Line "&amp;'Stmt AD'!A37</f>
        <v>Statement AD; Line 27</v>
      </c>
      <c r="F62" s="119">
        <f t="shared" si="2"/>
        <v>3</v>
      </c>
      <c r="G62" s="105"/>
      <c r="H62" s="106"/>
    </row>
    <row r="63" spans="1:8">
      <c r="A63" s="119">
        <v>4</v>
      </c>
      <c r="B63" s="17" t="s">
        <v>201</v>
      </c>
      <c r="C63" s="659">
        <f>'Stmt AD'!I39</f>
        <v>55713.882123291965</v>
      </c>
      <c r="D63" s="69"/>
      <c r="E63" s="70" t="str">
        <f>"Statement AD; Line "&amp;'Stmt AD'!A39</f>
        <v>Statement AD; Line 29</v>
      </c>
      <c r="F63" s="119">
        <f t="shared" si="2"/>
        <v>4</v>
      </c>
      <c r="G63" s="105"/>
      <c r="H63" s="107"/>
    </row>
    <row r="64" spans="1:8">
      <c r="A64" s="119">
        <v>5</v>
      </c>
      <c r="B64" s="17" t="s">
        <v>843</v>
      </c>
      <c r="C64" s="1090">
        <f>'Stmt AD'!I41</f>
        <v>156288.03692994633</v>
      </c>
      <c r="D64" s="69"/>
      <c r="E64" s="70" t="str">
        <f>"Statement AD; Line "&amp;'Stmt AD'!A41</f>
        <v>Statement AD; Line 31</v>
      </c>
      <c r="F64" s="119">
        <f t="shared" si="2"/>
        <v>5</v>
      </c>
      <c r="G64" s="106"/>
      <c r="H64" s="106"/>
    </row>
    <row r="65" spans="1:8">
      <c r="A65" s="119">
        <v>6</v>
      </c>
      <c r="B65" s="17" t="s">
        <v>872</v>
      </c>
      <c r="C65" s="1086">
        <f>SUM(C61:C64)</f>
        <v>7730950.2535188766</v>
      </c>
      <c r="D65" s="76"/>
      <c r="E65" s="70" t="str">
        <f>"Sum Lines "&amp;A61&amp;" thru "&amp;A64</f>
        <v>Sum Lines 2 thru 5</v>
      </c>
      <c r="F65" s="119">
        <f t="shared" si="2"/>
        <v>6</v>
      </c>
      <c r="G65" s="105"/>
      <c r="H65" s="106"/>
    </row>
    <row r="66" spans="1:8">
      <c r="A66" s="119">
        <v>7</v>
      </c>
      <c r="B66" s="16"/>
      <c r="C66" s="660"/>
      <c r="D66" s="69"/>
      <c r="E66" s="77"/>
      <c r="F66" s="119">
        <f t="shared" si="2"/>
        <v>7</v>
      </c>
      <c r="G66" s="106"/>
      <c r="H66" s="106"/>
    </row>
    <row r="67" spans="1:8">
      <c r="A67" s="119">
        <v>8</v>
      </c>
      <c r="B67" s="19" t="s">
        <v>873</v>
      </c>
      <c r="C67" s="660"/>
      <c r="D67" s="69"/>
      <c r="E67" s="77"/>
      <c r="F67" s="119">
        <f t="shared" si="2"/>
        <v>8</v>
      </c>
      <c r="G67" s="106"/>
      <c r="H67" s="106"/>
    </row>
    <row r="68" spans="1:8">
      <c r="A68" s="119">
        <v>9</v>
      </c>
      <c r="B68" s="16" t="s">
        <v>874</v>
      </c>
      <c r="C68" s="658">
        <f>'Stmt AE'!I11</f>
        <v>1736237.7221999997</v>
      </c>
      <c r="D68" s="69"/>
      <c r="E68" s="70" t="str">
        <f>"Statement AE; Line "&amp;'Stmt AE'!A11</f>
        <v>Statement AE; Line 1</v>
      </c>
      <c r="F68" s="119">
        <f t="shared" si="2"/>
        <v>9</v>
      </c>
      <c r="G68" s="106"/>
      <c r="H68" s="106"/>
    </row>
    <row r="69" spans="1:8">
      <c r="A69" s="119">
        <v>10</v>
      </c>
      <c r="B69" s="16" t="s">
        <v>302</v>
      </c>
      <c r="C69" s="659">
        <f>'Stmt AE'!I21</f>
        <v>12459.106112543872</v>
      </c>
      <c r="D69" s="69"/>
      <c r="E69" s="70" t="str">
        <f>"Statement AE; Line "&amp;'Stmt AE'!A21</f>
        <v>Statement AE; Line 11</v>
      </c>
      <c r="F69" s="119">
        <f t="shared" si="2"/>
        <v>10</v>
      </c>
      <c r="G69" s="106"/>
      <c r="H69" s="106"/>
    </row>
    <row r="70" spans="1:8">
      <c r="A70" s="119">
        <v>11</v>
      </c>
      <c r="B70" s="16" t="s">
        <v>875</v>
      </c>
      <c r="C70" s="659">
        <f>'Stmt AE'!I23</f>
        <v>23628.797918322602</v>
      </c>
      <c r="D70" s="69"/>
      <c r="E70" s="70" t="str">
        <f>"Statement AE; Line "&amp;'Stmt AE'!A23</f>
        <v>Statement AE; Line 13</v>
      </c>
      <c r="F70" s="119">
        <f t="shared" si="2"/>
        <v>11</v>
      </c>
      <c r="G70" s="106"/>
      <c r="H70" s="106"/>
    </row>
    <row r="71" spans="1:8">
      <c r="A71" s="119">
        <v>12</v>
      </c>
      <c r="B71" s="16" t="s">
        <v>876</v>
      </c>
      <c r="C71" s="1090">
        <f>'Stmt AE'!I25</f>
        <v>65737.585842625485</v>
      </c>
      <c r="D71" s="69"/>
      <c r="E71" s="70" t="str">
        <f>"Statement AE; Line "&amp;'Stmt AE'!A25</f>
        <v>Statement AE; Line 15</v>
      </c>
      <c r="F71" s="119">
        <f t="shared" si="2"/>
        <v>12</v>
      </c>
      <c r="G71" s="106"/>
      <c r="H71" s="106"/>
    </row>
    <row r="72" spans="1:8">
      <c r="A72" s="119">
        <v>13</v>
      </c>
      <c r="B72" s="564" t="s">
        <v>305</v>
      </c>
      <c r="C72" s="1086">
        <f>SUM(C68:C71)</f>
        <v>1838063.2120734917</v>
      </c>
      <c r="D72" s="76"/>
      <c r="E72" s="70" t="str">
        <f>"Sum Lines "&amp;A68&amp;" thru "&amp;A71</f>
        <v>Sum Lines 9 thru 12</v>
      </c>
      <c r="F72" s="119">
        <f t="shared" si="2"/>
        <v>13</v>
      </c>
      <c r="G72" s="106"/>
      <c r="H72" s="106"/>
    </row>
    <row r="73" spans="1:8">
      <c r="A73" s="119">
        <v>14</v>
      </c>
      <c r="B73" s="564"/>
      <c r="C73" s="655"/>
      <c r="D73" s="74"/>
      <c r="E73" s="77"/>
      <c r="F73" s="119">
        <f t="shared" si="2"/>
        <v>14</v>
      </c>
      <c r="G73" s="106"/>
      <c r="H73" s="106"/>
    </row>
    <row r="74" spans="1:8">
      <c r="A74" s="119">
        <v>15</v>
      </c>
      <c r="B74" s="20" t="s">
        <v>841</v>
      </c>
      <c r="C74" s="655"/>
      <c r="D74" s="74"/>
      <c r="E74" s="77"/>
      <c r="F74" s="119">
        <f t="shared" si="2"/>
        <v>15</v>
      </c>
      <c r="G74" s="106"/>
      <c r="H74" s="106"/>
    </row>
    <row r="75" spans="1:8">
      <c r="A75" s="119">
        <v>16</v>
      </c>
      <c r="B75" s="17" t="s">
        <v>842</v>
      </c>
      <c r="C75" s="661">
        <f>C61-C68</f>
        <v>5767143.3852746151</v>
      </c>
      <c r="D75" s="78"/>
      <c r="E75" s="70" t="str">
        <f>"Line "&amp;A61&amp;" Minus Line "&amp;A68</f>
        <v>Line 2 Minus Line 9</v>
      </c>
      <c r="F75" s="119">
        <f t="shared" si="2"/>
        <v>16</v>
      </c>
      <c r="G75" s="106"/>
      <c r="H75" s="106"/>
    </row>
    <row r="76" spans="1:8">
      <c r="A76" s="119">
        <v>17</v>
      </c>
      <c r="B76" s="17" t="s">
        <v>200</v>
      </c>
      <c r="C76" s="662">
        <f>C62-C69</f>
        <v>3108.1208784789978</v>
      </c>
      <c r="D76" s="79"/>
      <c r="E76" s="70" t="str">
        <f>"Line "&amp;A62&amp;" Minus Line "&amp;A69</f>
        <v>Line 3 Minus Line 10</v>
      </c>
      <c r="F76" s="119">
        <f t="shared" si="2"/>
        <v>17</v>
      </c>
      <c r="G76" s="106"/>
      <c r="H76" s="106"/>
    </row>
    <row r="77" spans="1:8">
      <c r="A77" s="119">
        <v>18</v>
      </c>
      <c r="B77" s="17" t="s">
        <v>201</v>
      </c>
      <c r="C77" s="662">
        <f>C63-C70</f>
        <v>32085.084204969364</v>
      </c>
      <c r="D77" s="79"/>
      <c r="E77" s="70" t="str">
        <f>"Line "&amp;A63&amp;" Minus Line "&amp;A70</f>
        <v>Line 4 Minus Line 11</v>
      </c>
      <c r="F77" s="119">
        <f t="shared" si="2"/>
        <v>18</v>
      </c>
    </row>
    <row r="78" spans="1:8">
      <c r="A78" s="119">
        <v>19</v>
      </c>
      <c r="B78" s="17" t="s">
        <v>843</v>
      </c>
      <c r="C78" s="1091">
        <f>C64-C71</f>
        <v>90550.451087320849</v>
      </c>
      <c r="D78" s="563"/>
      <c r="E78" s="70" t="str">
        <f>"Line "&amp;A64&amp;" Minus Line "&amp;A71</f>
        <v>Line 5 Minus Line 12</v>
      </c>
      <c r="F78" s="119">
        <f t="shared" si="2"/>
        <v>19</v>
      </c>
    </row>
    <row r="79" spans="1:8" ht="16.5" thickBot="1">
      <c r="A79" s="119">
        <v>20</v>
      </c>
      <c r="B79" s="16" t="s">
        <v>844</v>
      </c>
      <c r="C79" s="1092">
        <f>SUM(C75:C78)</f>
        <v>5892887.0414453847</v>
      </c>
      <c r="D79" s="76"/>
      <c r="E79" s="70" t="str">
        <f>"Sum Lines "&amp;A75&amp;" thru "&amp;A78</f>
        <v>Sum Lines 16 thru 19</v>
      </c>
      <c r="F79" s="119">
        <f t="shared" si="2"/>
        <v>20</v>
      </c>
    </row>
    <row r="80" spans="1:8" ht="16.5" thickTop="1">
      <c r="A80" s="119">
        <v>21</v>
      </c>
      <c r="B80" s="57"/>
      <c r="C80" s="76"/>
      <c r="D80" s="76"/>
      <c r="E80" s="77"/>
      <c r="F80" s="119">
        <f t="shared" si="2"/>
        <v>21</v>
      </c>
    </row>
    <row r="81" spans="1:6">
      <c r="A81" s="119">
        <v>22</v>
      </c>
      <c r="B81" s="20" t="s">
        <v>877</v>
      </c>
      <c r="C81" s="76"/>
      <c r="D81" s="76"/>
      <c r="E81" s="77"/>
      <c r="F81" s="119">
        <f t="shared" si="2"/>
        <v>22</v>
      </c>
    </row>
    <row r="82" spans="1:6">
      <c r="A82" s="119">
        <v>23</v>
      </c>
      <c r="B82" s="17" t="s">
        <v>878</v>
      </c>
      <c r="C82" s="880">
        <v>0</v>
      </c>
      <c r="D82" s="76"/>
      <c r="E82" s="70" t="s">
        <v>307</v>
      </c>
      <c r="F82" s="119">
        <f t="shared" si="2"/>
        <v>23</v>
      </c>
    </row>
    <row r="83" spans="1:6">
      <c r="A83" s="119">
        <v>24</v>
      </c>
      <c r="B83" s="16" t="s">
        <v>879</v>
      </c>
      <c r="C83" s="1089">
        <v>0</v>
      </c>
      <c r="D83" s="76"/>
      <c r="E83" s="70" t="s">
        <v>307</v>
      </c>
      <c r="F83" s="119">
        <f t="shared" si="2"/>
        <v>24</v>
      </c>
    </row>
    <row r="84" spans="1:6" ht="16.5" thickBot="1">
      <c r="A84" s="119">
        <v>25</v>
      </c>
      <c r="B84" s="17" t="s">
        <v>880</v>
      </c>
      <c r="C84" s="1185">
        <f>C82-C83</f>
        <v>0</v>
      </c>
      <c r="D84" s="76"/>
      <c r="E84" s="70" t="str">
        <f>"Line "&amp;A82&amp;" Minus Line "&amp;A83</f>
        <v>Line 23 Minus Line 24</v>
      </c>
      <c r="F84" s="119">
        <f t="shared" si="2"/>
        <v>25</v>
      </c>
    </row>
    <row r="85" spans="1:6" ht="16.5" thickTop="1">
      <c r="A85" s="119"/>
    </row>
  </sheetData>
  <mergeCells count="8">
    <mergeCell ref="B54:E54"/>
    <mergeCell ref="B51:E51"/>
    <mergeCell ref="B52:E52"/>
    <mergeCell ref="B53:E53"/>
    <mergeCell ref="B2:E2"/>
    <mergeCell ref="B3:E3"/>
    <mergeCell ref="B4:E4"/>
    <mergeCell ref="B5:E5"/>
  </mergeCells>
  <printOptions horizontalCentered="1"/>
  <pageMargins left="0.5" right="0.5" top="0.5" bottom="0.5" header="0.25" footer="0.25"/>
  <pageSetup scale="63" fitToHeight="0" orientation="portrait" r:id="rId1"/>
  <headerFooter scaleWithDoc="0">
    <oddFooter>&amp;C&amp;"Times New Roman,Regular"&amp;10&amp;A
Page &amp;P of 2</oddFooter>
    <evenFooter>&amp;C&amp;"Times New Roman,Regular"&amp;10&amp;A
Page 1 of 2</evenFooter>
  </headerFooter>
  <rowBreaks count="1" manualBreakCount="1">
    <brk id="49" max="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6FA1-8676-4431-815B-9111972684D6}">
  <sheetPr>
    <pageSetUpPr fitToPage="1"/>
  </sheetPr>
  <dimension ref="A1:H20"/>
  <sheetViews>
    <sheetView zoomScale="80" zoomScaleNormal="80" zoomScaleSheetLayoutView="70" workbookViewId="0"/>
  </sheetViews>
  <sheetFormatPr defaultColWidth="8.7109375" defaultRowHeight="15.75"/>
  <cols>
    <col min="1" max="1" width="5.140625" style="250" customWidth="1"/>
    <col min="2" max="2" width="50.7109375" style="219" customWidth="1"/>
    <col min="3" max="3" width="21.140625" style="219" customWidth="1"/>
    <col min="4" max="4" width="1.5703125" style="219" customWidth="1"/>
    <col min="5" max="5" width="16.7109375" style="219" customWidth="1"/>
    <col min="6" max="6" width="1.5703125" style="219" customWidth="1"/>
    <col min="7" max="7" width="36.42578125" style="219" customWidth="1"/>
    <col min="8" max="8" width="5.140625" style="219" customWidth="1"/>
    <col min="9" max="9" width="8.7109375" style="219"/>
    <col min="10" max="10" width="20.28515625" style="219" bestFit="1" customWidth="1"/>
    <col min="11" max="16384" width="8.7109375" style="219"/>
  </cols>
  <sheetData>
    <row r="1" spans="1:8">
      <c r="E1" s="401"/>
      <c r="F1" s="401"/>
      <c r="G1" s="250"/>
      <c r="H1" s="250"/>
    </row>
    <row r="2" spans="1:8">
      <c r="B2" s="1299" t="s">
        <v>0</v>
      </c>
      <c r="C2" s="1299"/>
      <c r="D2" s="1299"/>
      <c r="E2" s="1299"/>
      <c r="F2" s="1299"/>
      <c r="G2" s="1299"/>
      <c r="H2" s="250"/>
    </row>
    <row r="3" spans="1:8">
      <c r="B3" s="1299" t="s">
        <v>881</v>
      </c>
      <c r="C3" s="1299"/>
      <c r="D3" s="1299"/>
      <c r="E3" s="1329"/>
      <c r="F3" s="1329"/>
      <c r="G3" s="1329"/>
      <c r="H3" s="250"/>
    </row>
    <row r="4" spans="1:8">
      <c r="B4" s="1301" t="str">
        <f>'A. Sec.1 - Direct Maintenance'!B5</f>
        <v>Base Period &amp; True-Up Period 12 - Months Ending December 31, 2022</v>
      </c>
      <c r="C4" s="1301"/>
      <c r="D4" s="1301"/>
      <c r="E4" s="1301"/>
      <c r="F4" s="1301"/>
      <c r="G4" s="1301"/>
      <c r="H4" s="250"/>
    </row>
    <row r="5" spans="1:8">
      <c r="B5" s="1297" t="s">
        <v>3</v>
      </c>
      <c r="C5" s="1311"/>
      <c r="D5" s="1311"/>
      <c r="E5" s="1311"/>
      <c r="F5" s="1311"/>
      <c r="G5" s="1311"/>
      <c r="H5" s="250"/>
    </row>
    <row r="6" spans="1:8">
      <c r="B6" s="250"/>
      <c r="C6" s="250"/>
      <c r="D6" s="250"/>
      <c r="E6" s="250"/>
      <c r="F6" s="250"/>
      <c r="G6" s="250"/>
      <c r="H6" s="250"/>
    </row>
    <row r="7" spans="1:8">
      <c r="A7" s="250" t="s">
        <v>4</v>
      </c>
      <c r="B7" s="848"/>
      <c r="C7" s="250" t="s">
        <v>189</v>
      </c>
      <c r="D7" s="556"/>
      <c r="E7" s="556"/>
      <c r="F7" s="556"/>
      <c r="G7" s="250"/>
      <c r="H7" s="250" t="s">
        <v>4</v>
      </c>
    </row>
    <row r="8" spans="1:8">
      <c r="A8" s="250" t="s">
        <v>5</v>
      </c>
      <c r="B8" s="250"/>
      <c r="C8" s="1003" t="s">
        <v>191</v>
      </c>
      <c r="D8" s="556"/>
      <c r="E8" s="1003" t="s">
        <v>7</v>
      </c>
      <c r="F8" s="556"/>
      <c r="G8" s="1003" t="s">
        <v>8</v>
      </c>
      <c r="H8" s="250" t="s">
        <v>5</v>
      </c>
    </row>
    <row r="9" spans="1:8">
      <c r="C9" s="250"/>
      <c r="D9" s="250"/>
      <c r="F9" s="556"/>
      <c r="H9" s="250"/>
    </row>
    <row r="10" spans="1:8" ht="16.5" thickBot="1">
      <c r="A10" s="250">
        <v>1</v>
      </c>
      <c r="B10" s="425" t="s">
        <v>882</v>
      </c>
      <c r="C10" s="250"/>
      <c r="D10" s="250"/>
      <c r="E10" s="1186">
        <v>0</v>
      </c>
      <c r="F10" s="556"/>
      <c r="G10" s="250" t="s">
        <v>307</v>
      </c>
      <c r="H10" s="250">
        <f>A10</f>
        <v>1</v>
      </c>
    </row>
    <row r="11" spans="1:8" ht="16.5" thickTop="1">
      <c r="A11" s="250">
        <f t="shared" ref="A11:A16" si="0">A10+1</f>
        <v>2</v>
      </c>
      <c r="C11" s="250"/>
      <c r="D11" s="250"/>
      <c r="F11" s="556"/>
      <c r="H11" s="119">
        <f>H10+1</f>
        <v>2</v>
      </c>
    </row>
    <row r="12" spans="1:8" ht="19.5" thickBot="1">
      <c r="A12" s="250">
        <f t="shared" si="0"/>
        <v>3</v>
      </c>
      <c r="B12" s="425" t="s">
        <v>883</v>
      </c>
      <c r="E12" s="1187">
        <v>0</v>
      </c>
      <c r="F12" s="556"/>
      <c r="G12" s="250"/>
      <c r="H12" s="119">
        <f t="shared" ref="H12:H16" si="1">H11+1</f>
        <v>3</v>
      </c>
    </row>
    <row r="13" spans="1:8" ht="16.5" thickTop="1">
      <c r="A13" s="250">
        <f t="shared" si="0"/>
        <v>4</v>
      </c>
      <c r="F13" s="556"/>
      <c r="H13" s="119">
        <f t="shared" si="1"/>
        <v>4</v>
      </c>
    </row>
    <row r="14" spans="1:8" ht="19.5" thickBot="1">
      <c r="A14" s="250">
        <f t="shared" si="0"/>
        <v>5</v>
      </c>
      <c r="B14" s="425" t="s">
        <v>884</v>
      </c>
      <c r="E14" s="1187">
        <v>0</v>
      </c>
      <c r="F14" s="556"/>
      <c r="G14" s="250"/>
      <c r="H14" s="119">
        <f t="shared" si="1"/>
        <v>5</v>
      </c>
    </row>
    <row r="15" spans="1:8" ht="16.5" thickTop="1">
      <c r="A15" s="250">
        <f t="shared" si="0"/>
        <v>6</v>
      </c>
      <c r="B15" s="425"/>
      <c r="E15" s="881"/>
      <c r="F15" s="556"/>
      <c r="G15" s="250"/>
      <c r="H15" s="119">
        <f t="shared" si="1"/>
        <v>6</v>
      </c>
    </row>
    <row r="16" spans="1:8" ht="16.5" thickBot="1">
      <c r="A16" s="250">
        <f t="shared" si="0"/>
        <v>7</v>
      </c>
      <c r="B16" s="425" t="s">
        <v>865</v>
      </c>
      <c r="E16" s="1186">
        <v>0</v>
      </c>
      <c r="F16" s="556"/>
      <c r="G16" s="250" t="s">
        <v>307</v>
      </c>
      <c r="H16" s="119">
        <f t="shared" si="1"/>
        <v>7</v>
      </c>
    </row>
    <row r="17" spans="1:8" ht="16.5" thickTop="1">
      <c r="H17" s="250"/>
    </row>
    <row r="18" spans="1:8">
      <c r="H18" s="250"/>
    </row>
    <row r="19" spans="1:8" ht="18.75">
      <c r="A19" s="482">
        <v>1</v>
      </c>
      <c r="B19" s="219" t="s">
        <v>1005</v>
      </c>
      <c r="H19" s="250"/>
    </row>
    <row r="20" spans="1:8">
      <c r="B20" s="219" t="s">
        <v>1004</v>
      </c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Roman,Regular"&amp;10Misc.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topLeftCell="A15" zoomScale="80" zoomScaleNormal="80" workbookViewId="0"/>
  </sheetViews>
  <sheetFormatPr defaultColWidth="8.7109375" defaultRowHeight="15.75"/>
  <cols>
    <col min="1" max="1" width="5.140625" style="250" customWidth="1"/>
    <col min="2" max="2" width="69.140625" style="3" customWidth="1"/>
    <col min="3" max="3" width="14.7109375" style="3" customWidth="1"/>
    <col min="4" max="4" width="50.7109375" style="3" bestFit="1" customWidth="1"/>
    <col min="5" max="5" width="5.140625" style="250" customWidth="1"/>
    <col min="6" max="16384" width="8.7109375" style="3"/>
  </cols>
  <sheetData>
    <row r="1" spans="1:7">
      <c r="A1" s="567"/>
      <c r="B1" s="77"/>
      <c r="C1" s="77"/>
      <c r="D1" s="77"/>
      <c r="E1" s="567"/>
    </row>
    <row r="2" spans="1:7">
      <c r="A2" s="567"/>
      <c r="B2" s="1286" t="str">
        <f>'Summary of Cost Components'!B2:D2</f>
        <v>SAN DIEGO GAS &amp; ELECTRIC COMPANY</v>
      </c>
      <c r="C2" s="1286"/>
      <c r="D2" s="1286"/>
      <c r="E2" s="567"/>
    </row>
    <row r="3" spans="1:7">
      <c r="B3" s="1286" t="s">
        <v>1</v>
      </c>
      <c r="C3" s="1286"/>
      <c r="D3" s="1286"/>
      <c r="E3" s="109"/>
    </row>
    <row r="4" spans="1:7">
      <c r="B4" s="1286" t="s">
        <v>153</v>
      </c>
      <c r="C4" s="1286"/>
      <c r="D4" s="1286"/>
      <c r="E4" s="109"/>
    </row>
    <row r="5" spans="1:7">
      <c r="A5" s="567"/>
      <c r="B5" s="1285" t="str">
        <f>"Rate Effective Period January 1, "&amp;Automation!B3+1 &amp;" to December 31, "&amp;Automation!B3+1</f>
        <v>Rate Effective Period January 1, 2023 to December 31, 2023</v>
      </c>
      <c r="C5" s="1285"/>
      <c r="D5" s="1285"/>
      <c r="E5" s="567"/>
    </row>
    <row r="6" spans="1:7">
      <c r="B6" s="1287" t="s">
        <v>3</v>
      </c>
      <c r="C6" s="1286"/>
      <c r="D6" s="1286"/>
      <c r="E6" s="109"/>
    </row>
    <row r="7" spans="1:7" ht="16.5" thickBot="1">
      <c r="A7" s="567"/>
      <c r="B7" s="77"/>
      <c r="C7" s="63"/>
      <c r="D7" s="63"/>
      <c r="E7" s="567"/>
    </row>
    <row r="8" spans="1:7">
      <c r="A8" s="568" t="s">
        <v>4</v>
      </c>
      <c r="B8" s="541"/>
      <c r="C8" s="542"/>
      <c r="D8" s="543"/>
      <c r="E8" s="569" t="s">
        <v>4</v>
      </c>
    </row>
    <row r="9" spans="1:7">
      <c r="A9" s="568" t="s">
        <v>5</v>
      </c>
      <c r="B9" s="960" t="s">
        <v>6</v>
      </c>
      <c r="C9" s="960" t="s">
        <v>7</v>
      </c>
      <c r="D9" s="961" t="s">
        <v>8</v>
      </c>
      <c r="E9" s="569" t="s">
        <v>5</v>
      </c>
    </row>
    <row r="10" spans="1:7">
      <c r="A10" s="568"/>
      <c r="B10" s="934"/>
      <c r="C10" s="56"/>
      <c r="D10" s="88"/>
      <c r="E10" s="569"/>
    </row>
    <row r="11" spans="1:7">
      <c r="A11" s="568">
        <v>1</v>
      </c>
      <c r="B11" s="17" t="s">
        <v>9</v>
      </c>
      <c r="C11" s="860">
        <v>0</v>
      </c>
      <c r="D11" s="730" t="str">
        <f>"Cycle "&amp;Automation!B2-1&amp;"; Summary of Cost Components; Line 1"</f>
        <v>Cycle 5; Summary of Cost Components; Line 1</v>
      </c>
      <c r="E11" s="569">
        <f>A11</f>
        <v>1</v>
      </c>
      <c r="G11" s="706"/>
    </row>
    <row r="12" spans="1:7">
      <c r="A12" s="568">
        <f>A11+1</f>
        <v>2</v>
      </c>
      <c r="B12" s="16"/>
      <c r="C12" s="833"/>
      <c r="D12" s="86"/>
      <c r="E12" s="569">
        <f>E11+1</f>
        <v>2</v>
      </c>
    </row>
    <row r="13" spans="1:7">
      <c r="A13" s="568">
        <f t="shared" ref="A13:A28" si="0">A12+1</f>
        <v>3</v>
      </c>
      <c r="B13" s="17" t="s">
        <v>10</v>
      </c>
      <c r="C13" s="665">
        <v>930.24523814935469</v>
      </c>
      <c r="D13" s="89" t="str">
        <f>"Cycle "&amp;Automation!B2-1&amp;"; Summary of Cost Components; Line 3"</f>
        <v>Cycle 5; Summary of Cost Components; Line 3</v>
      </c>
      <c r="E13" s="569">
        <f t="shared" ref="E13:E28" si="1">E12+1</f>
        <v>3</v>
      </c>
      <c r="G13" s="707"/>
    </row>
    <row r="14" spans="1:7">
      <c r="A14" s="568">
        <f t="shared" si="0"/>
        <v>4</v>
      </c>
      <c r="B14" s="16"/>
      <c r="C14" s="833"/>
      <c r="D14" s="90"/>
      <c r="E14" s="569">
        <f t="shared" si="1"/>
        <v>4</v>
      </c>
    </row>
    <row r="15" spans="1:7">
      <c r="A15" s="568">
        <f t="shared" si="0"/>
        <v>5</v>
      </c>
      <c r="B15" s="17" t="s">
        <v>11</v>
      </c>
      <c r="C15" s="1100">
        <v>-57.529156544946602</v>
      </c>
      <c r="D15" s="663" t="str">
        <f>"Cycle "&amp;Automation!B2-1&amp;"; Summary of Cost Components; Line 5"</f>
        <v>Cycle 5; Summary of Cost Components; Line 5</v>
      </c>
      <c r="E15" s="569">
        <f t="shared" si="1"/>
        <v>5</v>
      </c>
      <c r="G15" s="707"/>
    </row>
    <row r="16" spans="1:7">
      <c r="A16" s="568">
        <f t="shared" si="0"/>
        <v>6</v>
      </c>
      <c r="B16" s="57"/>
      <c r="C16" s="833"/>
      <c r="D16" s="91"/>
      <c r="E16" s="569">
        <f t="shared" si="1"/>
        <v>6</v>
      </c>
    </row>
    <row r="17" spans="1:9">
      <c r="A17" s="568">
        <f t="shared" si="0"/>
        <v>7</v>
      </c>
      <c r="B17" s="835" t="s">
        <v>12</v>
      </c>
      <c r="C17" s="833">
        <f>C11+C13+C15</f>
        <v>872.71608160440815</v>
      </c>
      <c r="D17" s="94" t="str">
        <f>"Sum Lines "&amp;A11&amp;", "&amp;A13&amp;", "&amp;A15</f>
        <v>Sum Lines 1, 3, 5</v>
      </c>
      <c r="E17" s="569">
        <f t="shared" si="1"/>
        <v>7</v>
      </c>
    </row>
    <row r="18" spans="1:9">
      <c r="A18" s="568">
        <f t="shared" si="0"/>
        <v>8</v>
      </c>
      <c r="B18" s="57"/>
      <c r="C18" s="833"/>
      <c r="D18" s="840"/>
      <c r="E18" s="569">
        <f t="shared" si="1"/>
        <v>8</v>
      </c>
    </row>
    <row r="19" spans="1:9">
      <c r="A19" s="568">
        <f t="shared" si="0"/>
        <v>9</v>
      </c>
      <c r="B19" s="17" t="s">
        <v>13</v>
      </c>
      <c r="C19" s="665">
        <v>25.687464607457734</v>
      </c>
      <c r="D19" s="663" t="str">
        <f>"Cycle "&amp;Automation!B2-1&amp;"; Summary of Cost Components; Line 9"</f>
        <v>Cycle 5; Summary of Cost Components; Line 9</v>
      </c>
      <c r="E19" s="569">
        <f t="shared" si="1"/>
        <v>9</v>
      </c>
    </row>
    <row r="20" spans="1:9">
      <c r="A20" s="568">
        <f t="shared" si="0"/>
        <v>10</v>
      </c>
      <c r="B20" s="17"/>
      <c r="C20" s="833"/>
      <c r="D20" s="92"/>
      <c r="E20" s="569">
        <f t="shared" si="1"/>
        <v>10</v>
      </c>
    </row>
    <row r="21" spans="1:9">
      <c r="A21" s="568">
        <f t="shared" si="0"/>
        <v>11</v>
      </c>
      <c r="B21" s="17" t="s">
        <v>14</v>
      </c>
      <c r="C21" s="1100">
        <v>-6.9126708186344317</v>
      </c>
      <c r="D21" s="663" t="str">
        <f>"Cycle "&amp;Automation!B2-1&amp;"; Summary of Cost Components; Line 11"</f>
        <v>Cycle 5; Summary of Cost Components; Line 11</v>
      </c>
      <c r="E21" s="569">
        <f t="shared" si="1"/>
        <v>11</v>
      </c>
      <c r="G21" s="706"/>
    </row>
    <row r="22" spans="1:9">
      <c r="A22" s="568">
        <f t="shared" si="0"/>
        <v>12</v>
      </c>
      <c r="B22" s="57"/>
      <c r="C22" s="834"/>
      <c r="D22" s="93"/>
      <c r="E22" s="569">
        <f t="shared" si="1"/>
        <v>12</v>
      </c>
    </row>
    <row r="23" spans="1:9">
      <c r="A23" s="568">
        <f t="shared" si="0"/>
        <v>13</v>
      </c>
      <c r="B23" s="57" t="s">
        <v>15</v>
      </c>
      <c r="C23" s="176">
        <f>C17+C19+C21</f>
        <v>891.49087539323148</v>
      </c>
      <c r="D23" s="94" t="str">
        <f>"Sum Lines "&amp;A17&amp;", "&amp;A19&amp;", "&amp;A21</f>
        <v>Sum Lines 7, 9, 11</v>
      </c>
      <c r="E23" s="569">
        <f t="shared" si="1"/>
        <v>13</v>
      </c>
    </row>
    <row r="24" spans="1:9">
      <c r="A24" s="568">
        <f t="shared" si="0"/>
        <v>14</v>
      </c>
      <c r="B24" s="57"/>
      <c r="C24" s="834"/>
      <c r="D24" s="93"/>
      <c r="E24" s="569">
        <f t="shared" si="1"/>
        <v>14</v>
      </c>
    </row>
    <row r="25" spans="1:9">
      <c r="A25" s="568">
        <f t="shared" si="0"/>
        <v>15</v>
      </c>
      <c r="B25" s="17" t="s">
        <v>16</v>
      </c>
      <c r="C25" s="1101">
        <v>-0.11252338032306822</v>
      </c>
      <c r="D25" s="663" t="s">
        <v>17</v>
      </c>
      <c r="E25" s="569">
        <f t="shared" si="1"/>
        <v>15</v>
      </c>
      <c r="G25" s="707"/>
    </row>
    <row r="26" spans="1:9">
      <c r="A26" s="568">
        <f t="shared" si="0"/>
        <v>16</v>
      </c>
      <c r="B26" s="63"/>
      <c r="C26" s="935"/>
      <c r="D26" s="93"/>
      <c r="E26" s="569">
        <f t="shared" si="1"/>
        <v>16</v>
      </c>
    </row>
    <row r="27" spans="1:9" ht="16.5" thickBot="1">
      <c r="A27" s="568">
        <f t="shared" si="0"/>
        <v>17</v>
      </c>
      <c r="B27" s="835" t="s">
        <v>18</v>
      </c>
      <c r="C27" s="603">
        <f>C23+C25</f>
        <v>891.37835201290841</v>
      </c>
      <c r="D27" s="21" t="str">
        <f>"Line "&amp;A23&amp;" + Line "&amp;A25</f>
        <v>Line 13 + Line 15</v>
      </c>
      <c r="E27" s="569">
        <f t="shared" si="1"/>
        <v>17</v>
      </c>
      <c r="H27" s="706"/>
      <c r="I27" s="708"/>
    </row>
    <row r="28" spans="1:9" ht="17.25" thickTop="1" thickBot="1">
      <c r="A28" s="568">
        <f t="shared" si="0"/>
        <v>18</v>
      </c>
      <c r="B28" s="936"/>
      <c r="C28" s="936"/>
      <c r="D28" s="96"/>
      <c r="E28" s="569">
        <f t="shared" si="1"/>
        <v>18</v>
      </c>
    </row>
    <row r="30" spans="1:9" ht="16.5" thickBot="1">
      <c r="A30" s="567"/>
      <c r="B30" s="937"/>
      <c r="C30" s="938"/>
      <c r="D30" s="938"/>
      <c r="E30" s="567"/>
    </row>
    <row r="31" spans="1:9">
      <c r="A31" s="568" t="s">
        <v>4</v>
      </c>
      <c r="B31" s="55"/>
      <c r="C31" s="55"/>
      <c r="D31" s="86"/>
      <c r="E31" s="569" t="s">
        <v>4</v>
      </c>
    </row>
    <row r="32" spans="1:9">
      <c r="A32" s="568" t="s">
        <v>5</v>
      </c>
      <c r="B32" s="960" t="s">
        <v>19</v>
      </c>
      <c r="C32" s="960" t="str">
        <f>C9</f>
        <v>Amounts</v>
      </c>
      <c r="D32" s="961" t="str">
        <f>D9</f>
        <v>Reference</v>
      </c>
      <c r="E32" s="569" t="s">
        <v>5</v>
      </c>
    </row>
    <row r="33" spans="1:5">
      <c r="A33" s="568">
        <f>A28+1</f>
        <v>19</v>
      </c>
      <c r="B33" s="54"/>
      <c r="C33" s="56"/>
      <c r="D33" s="88"/>
      <c r="E33" s="569">
        <f>E28+1</f>
        <v>19</v>
      </c>
    </row>
    <row r="34" spans="1:5">
      <c r="A34" s="568">
        <f>A33+1</f>
        <v>20</v>
      </c>
      <c r="B34" s="853" t="str">
        <f>B11</f>
        <v>Section 1 - Direct Maintenance Expense Cost Component</v>
      </c>
      <c r="C34" s="800">
        <f>C11/12</f>
        <v>0</v>
      </c>
      <c r="D34" s="89" t="str">
        <f>"Line "&amp;A11&amp;" / "&amp;C50&amp;" Months"</f>
        <v>Line 1 / 12 Months</v>
      </c>
      <c r="E34" s="569">
        <f>E33+1</f>
        <v>20</v>
      </c>
    </row>
    <row r="35" spans="1:5">
      <c r="A35" s="568">
        <f t="shared" ref="A35:A53" si="2">A34+1</f>
        <v>21</v>
      </c>
      <c r="B35" s="709"/>
      <c r="C35" s="25"/>
      <c r="D35" s="85"/>
      <c r="E35" s="569">
        <f t="shared" ref="E35:E53" si="3">E34+1</f>
        <v>21</v>
      </c>
    </row>
    <row r="36" spans="1:5">
      <c r="A36" s="568">
        <f t="shared" si="2"/>
        <v>22</v>
      </c>
      <c r="B36" s="853" t="str">
        <f>B13</f>
        <v>Section 2 - Non-Direct Expense Cost Component</v>
      </c>
      <c r="C36" s="852">
        <f>C13/12</f>
        <v>77.520436512446224</v>
      </c>
      <c r="D36" s="89" t="str">
        <f>"Line "&amp;A13&amp;" / "&amp;C50&amp;" Months"</f>
        <v>Line 3 / 12 Months</v>
      </c>
      <c r="E36" s="569">
        <f t="shared" si="3"/>
        <v>22</v>
      </c>
    </row>
    <row r="37" spans="1:5">
      <c r="A37" s="568">
        <f t="shared" si="2"/>
        <v>23</v>
      </c>
      <c r="B37" s="709"/>
      <c r="C37" s="802"/>
      <c r="D37" s="97"/>
      <c r="E37" s="569">
        <f t="shared" si="3"/>
        <v>23</v>
      </c>
    </row>
    <row r="38" spans="1:5">
      <c r="A38" s="568">
        <f t="shared" si="2"/>
        <v>24</v>
      </c>
      <c r="B38" s="853" t="str">
        <f>B15</f>
        <v>Section 3 - Cost Component Containing Other Specific Expenses</v>
      </c>
      <c r="C38" s="1102">
        <f>C15/12</f>
        <v>-4.7940963787455502</v>
      </c>
      <c r="D38" s="89" t="str">
        <f>"Line "&amp;A15&amp;" / "&amp;C50&amp;" Months"</f>
        <v>Line 5 / 12 Months</v>
      </c>
      <c r="E38" s="569">
        <f t="shared" si="3"/>
        <v>24</v>
      </c>
    </row>
    <row r="39" spans="1:5">
      <c r="A39" s="568">
        <f t="shared" si="2"/>
        <v>25</v>
      </c>
      <c r="B39" s="87"/>
      <c r="C39" s="801"/>
      <c r="D39" s="89"/>
      <c r="E39" s="569">
        <f t="shared" si="3"/>
        <v>25</v>
      </c>
    </row>
    <row r="40" spans="1:5">
      <c r="A40" s="568">
        <f t="shared" si="2"/>
        <v>26</v>
      </c>
      <c r="B40" s="835" t="s">
        <v>20</v>
      </c>
      <c r="C40" s="905">
        <f>C34+C36+C38</f>
        <v>72.726340133700674</v>
      </c>
      <c r="D40" s="94" t="str">
        <f>"Sum Lines "&amp;A34&amp;", "&amp;A36&amp;", "&amp;A38</f>
        <v>Sum Lines 20, 22, 24</v>
      </c>
      <c r="E40" s="569">
        <f t="shared" si="3"/>
        <v>26</v>
      </c>
    </row>
    <row r="41" spans="1:5">
      <c r="A41" s="568">
        <f t="shared" si="2"/>
        <v>27</v>
      </c>
      <c r="B41" s="54"/>
      <c r="C41" s="802"/>
      <c r="D41" s="90"/>
      <c r="E41" s="569">
        <f t="shared" si="3"/>
        <v>27</v>
      </c>
    </row>
    <row r="42" spans="1:5">
      <c r="A42" s="568">
        <f t="shared" si="2"/>
        <v>28</v>
      </c>
      <c r="B42" s="853" t="str">
        <f>LEFT(B19,45)</f>
        <v>Section 4 - True-Up Adjustment Cost Component</v>
      </c>
      <c r="C42" s="852">
        <f>C19/12</f>
        <v>2.1406220506214777</v>
      </c>
      <c r="D42" s="89" t="str">
        <f>"Line "&amp;A19&amp;" / "&amp;C4913&amp;" Months"</f>
        <v>Line 9 /  Months</v>
      </c>
      <c r="E42" s="569">
        <f t="shared" si="3"/>
        <v>28</v>
      </c>
    </row>
    <row r="43" spans="1:5">
      <c r="A43" s="568">
        <f t="shared" si="2"/>
        <v>29</v>
      </c>
      <c r="B43" s="853"/>
      <c r="C43" s="802"/>
      <c r="D43" s="98"/>
      <c r="E43" s="569">
        <f t="shared" si="3"/>
        <v>29</v>
      </c>
    </row>
    <row r="44" spans="1:5">
      <c r="A44" s="568">
        <f t="shared" si="2"/>
        <v>30</v>
      </c>
      <c r="B44" s="853" t="str">
        <f>B21</f>
        <v>Section 5 - Interest True-Up Adjustment Cost Component</v>
      </c>
      <c r="C44" s="852">
        <f>C21/12</f>
        <v>-0.57605590155286934</v>
      </c>
      <c r="D44" s="93" t="str">
        <f>"Line "&amp;A21&amp;" / "&amp;C50&amp;" Months"</f>
        <v>Line 11 / 12 Months</v>
      </c>
      <c r="E44" s="569">
        <f t="shared" si="3"/>
        <v>30</v>
      </c>
    </row>
    <row r="45" spans="1:5">
      <c r="A45" s="568">
        <f t="shared" si="2"/>
        <v>31</v>
      </c>
      <c r="B45" s="87"/>
      <c r="C45" s="803"/>
      <c r="D45" s="95"/>
      <c r="E45" s="569">
        <f t="shared" si="3"/>
        <v>31</v>
      </c>
    </row>
    <row r="46" spans="1:5">
      <c r="A46" s="568">
        <f t="shared" si="2"/>
        <v>32</v>
      </c>
      <c r="B46" s="17" t="str">
        <f>B25</f>
        <v>Other Adjustments</v>
      </c>
      <c r="C46" s="1102">
        <f>C25/12</f>
        <v>-9.3769483602556842E-3</v>
      </c>
      <c r="D46" s="93" t="str">
        <f>"Line "&amp;A25&amp;" / "&amp;C50&amp;" Months"</f>
        <v>Line 15 / 12 Months</v>
      </c>
      <c r="E46" s="569">
        <f t="shared" si="3"/>
        <v>32</v>
      </c>
    </row>
    <row r="47" spans="1:5">
      <c r="A47" s="568">
        <f t="shared" si="2"/>
        <v>33</v>
      </c>
      <c r="B47" s="57"/>
      <c r="C47" s="803"/>
      <c r="D47" s="799"/>
      <c r="E47" s="569">
        <f t="shared" si="3"/>
        <v>33</v>
      </c>
    </row>
    <row r="48" spans="1:5" ht="16.5" thickBot="1">
      <c r="A48" s="568">
        <f t="shared" si="2"/>
        <v>34</v>
      </c>
      <c r="B48" s="57" t="s">
        <v>21</v>
      </c>
      <c r="C48" s="854">
        <f>C40+C42+C44+C46</f>
        <v>74.281529334409029</v>
      </c>
      <c r="D48" s="94" t="str">
        <f>"Sum Lines "&amp;A40&amp;", "&amp;A42&amp;", "&amp;A44&amp;", "&amp;A46</f>
        <v>Sum Lines 26, 28, 30, 32</v>
      </c>
      <c r="E48" s="569">
        <f t="shared" si="3"/>
        <v>34</v>
      </c>
    </row>
    <row r="49" spans="1:5" ht="16.5" thickTop="1">
      <c r="A49" s="568">
        <f t="shared" si="2"/>
        <v>35</v>
      </c>
      <c r="B49" s="54"/>
      <c r="C49" s="939"/>
      <c r="D49" s="99"/>
      <c r="E49" s="569">
        <f t="shared" si="3"/>
        <v>35</v>
      </c>
    </row>
    <row r="50" spans="1:5">
      <c r="A50" s="568">
        <f t="shared" si="2"/>
        <v>36</v>
      </c>
      <c r="B50" s="709" t="s">
        <v>22</v>
      </c>
      <c r="C50" s="1103">
        <v>12</v>
      </c>
      <c r="D50" s="99"/>
      <c r="E50" s="569">
        <f t="shared" si="3"/>
        <v>36</v>
      </c>
    </row>
    <row r="51" spans="1:5">
      <c r="A51" s="568">
        <f t="shared" si="2"/>
        <v>37</v>
      </c>
      <c r="B51" s="54"/>
      <c r="C51" s="939"/>
      <c r="D51" s="100"/>
      <c r="E51" s="569">
        <f t="shared" si="3"/>
        <v>37</v>
      </c>
    </row>
    <row r="52" spans="1:5" ht="16.5" thickBot="1">
      <c r="A52" s="568">
        <f t="shared" si="2"/>
        <v>38</v>
      </c>
      <c r="B52" s="835" t="str">
        <f>B27</f>
        <v>Total Annual Costs</v>
      </c>
      <c r="C52" s="598">
        <f>C48*C50</f>
        <v>891.37835201290841</v>
      </c>
      <c r="D52" s="93" t="str">
        <f>"Line "&amp;A48&amp;" x Line "&amp;A50</f>
        <v>Line 34 x Line 36</v>
      </c>
      <c r="E52" s="569">
        <f t="shared" si="3"/>
        <v>38</v>
      </c>
    </row>
    <row r="53" spans="1:5" ht="17.25" thickTop="1" thickBot="1">
      <c r="A53" s="568">
        <f t="shared" si="2"/>
        <v>39</v>
      </c>
      <c r="B53" s="940"/>
      <c r="C53" s="24"/>
      <c r="D53" s="101"/>
      <c r="E53" s="569">
        <f t="shared" si="3"/>
        <v>39</v>
      </c>
    </row>
  </sheetData>
  <mergeCells count="5">
    <mergeCell ref="B3:D3"/>
    <mergeCell ref="B4:D4"/>
    <mergeCell ref="B5:D5"/>
    <mergeCell ref="B6:D6"/>
    <mergeCell ref="B2:D2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Roman,Regular"&amp;10Section 4
Cycle 5 Invoice Summary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C3"/>
  <sheetViews>
    <sheetView zoomScale="80" zoomScaleNormal="80" workbookViewId="0"/>
  </sheetViews>
  <sheetFormatPr defaultColWidth="8.7109375" defaultRowHeight="15.75"/>
  <cols>
    <col min="1" max="1" width="28.7109375" style="13" customWidth="1"/>
    <col min="2" max="2" width="14.140625" style="13" customWidth="1"/>
    <col min="3" max="3" width="29.5703125" style="13" customWidth="1"/>
    <col min="4" max="4" width="17.28515625" style="13" customWidth="1"/>
    <col min="5" max="16384" width="8.7109375" style="13"/>
  </cols>
  <sheetData>
    <row r="1" spans="1:3">
      <c r="A1" s="139" t="s">
        <v>885</v>
      </c>
      <c r="B1" s="138">
        <v>5</v>
      </c>
      <c r="C1" s="138"/>
    </row>
    <row r="2" spans="1:3">
      <c r="A2" s="139" t="s">
        <v>886</v>
      </c>
      <c r="B2" s="138">
        <v>6</v>
      </c>
      <c r="C2" s="138"/>
    </row>
    <row r="3" spans="1:3">
      <c r="A3" s="139" t="s">
        <v>887</v>
      </c>
      <c r="B3" s="138">
        <v>2022</v>
      </c>
      <c r="C3" s="138"/>
    </row>
  </sheetData>
  <printOptions horizontalCentered="1"/>
  <pageMargins left="0.5" right="0.5" top="0.5" bottom="0.5" header="0.25" footer="0.25"/>
  <pageSetup orientation="portrait" r:id="rId1"/>
  <headerFooter scaleWithDoc="0">
    <oddFooter>&amp;C&amp;"Times New Roman,Regular"&amp;10&amp;A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2D1D-EC81-4DC0-B44D-3E964C2F2C10}">
  <sheetPr>
    <pageSetUpPr fitToPage="1"/>
  </sheetPr>
  <dimension ref="A1:I53"/>
  <sheetViews>
    <sheetView topLeftCell="A18" zoomScale="80" zoomScaleNormal="80" workbookViewId="0"/>
  </sheetViews>
  <sheetFormatPr defaultColWidth="8.7109375" defaultRowHeight="15.75"/>
  <cols>
    <col min="1" max="1" width="5.140625" style="250" customWidth="1"/>
    <col min="2" max="2" width="73.140625" style="3" bestFit="1" customWidth="1"/>
    <col min="3" max="3" width="14.7109375" style="3" customWidth="1"/>
    <col min="4" max="4" width="51.28515625" style="3" bestFit="1" customWidth="1"/>
    <col min="5" max="5" width="5.140625" style="250" customWidth="1"/>
    <col min="6" max="16384" width="8.7109375" style="3"/>
  </cols>
  <sheetData>
    <row r="1" spans="1:7">
      <c r="A1" s="1220"/>
      <c r="B1" s="77"/>
      <c r="C1" s="77"/>
      <c r="D1" s="77"/>
      <c r="E1" s="1220"/>
    </row>
    <row r="2" spans="1:7">
      <c r="A2" s="1220"/>
      <c r="B2" s="1286" t="s">
        <v>0</v>
      </c>
      <c r="C2" s="1286"/>
      <c r="D2" s="1286"/>
      <c r="E2" s="77"/>
    </row>
    <row r="3" spans="1:7">
      <c r="B3" s="1286" t="s">
        <v>1</v>
      </c>
      <c r="C3" s="1286"/>
      <c r="D3" s="1286"/>
      <c r="E3" s="109"/>
    </row>
    <row r="4" spans="1:7">
      <c r="B4" s="1286" t="s">
        <v>2</v>
      </c>
      <c r="C4" s="1286"/>
      <c r="D4" s="1286"/>
      <c r="E4" s="109"/>
    </row>
    <row r="5" spans="1:7">
      <c r="A5" s="1220"/>
      <c r="B5" s="1285" t="s">
        <v>1016</v>
      </c>
      <c r="C5" s="1285"/>
      <c r="D5" s="1285"/>
      <c r="E5" s="1220"/>
    </row>
    <row r="6" spans="1:7">
      <c r="B6" s="1287" t="s">
        <v>3</v>
      </c>
      <c r="C6" s="1286"/>
      <c r="D6" s="1286"/>
      <c r="E6" s="109"/>
    </row>
    <row r="7" spans="1:7" ht="16.5" thickBot="1">
      <c r="A7" s="1220"/>
      <c r="B7" s="77"/>
      <c r="C7" s="63"/>
      <c r="D7" s="63"/>
      <c r="E7" s="1220"/>
    </row>
    <row r="8" spans="1:7">
      <c r="A8" s="568" t="s">
        <v>4</v>
      </c>
      <c r="B8" s="541"/>
      <c r="C8" s="542"/>
      <c r="D8" s="543"/>
      <c r="E8" s="569" t="s">
        <v>4</v>
      </c>
    </row>
    <row r="9" spans="1:7">
      <c r="A9" s="568" t="s">
        <v>5</v>
      </c>
      <c r="B9" s="960" t="s">
        <v>6</v>
      </c>
      <c r="C9" s="960" t="s">
        <v>7</v>
      </c>
      <c r="D9" s="961" t="s">
        <v>8</v>
      </c>
      <c r="E9" s="569" t="s">
        <v>5</v>
      </c>
    </row>
    <row r="10" spans="1:7">
      <c r="A10" s="568"/>
      <c r="B10" s="934"/>
      <c r="C10" s="56"/>
      <c r="D10" s="88"/>
      <c r="E10" s="569"/>
    </row>
    <row r="11" spans="1:7">
      <c r="A11" s="568">
        <v>1</v>
      </c>
      <c r="B11" s="853" t="s">
        <v>9</v>
      </c>
      <c r="C11" s="600">
        <v>0</v>
      </c>
      <c r="D11" s="89" t="s">
        <v>905</v>
      </c>
      <c r="E11" s="569">
        <f>A11</f>
        <v>1</v>
      </c>
      <c r="G11" s="706"/>
    </row>
    <row r="12" spans="1:7">
      <c r="A12" s="568">
        <f>A11+1</f>
        <v>2</v>
      </c>
      <c r="B12" s="709"/>
      <c r="C12" s="601"/>
      <c r="D12" s="86"/>
      <c r="E12" s="569">
        <f>E11+1</f>
        <v>2</v>
      </c>
    </row>
    <row r="13" spans="1:7">
      <c r="A13" s="568">
        <f t="shared" ref="A13:A28" si="0">A12+1</f>
        <v>3</v>
      </c>
      <c r="B13" s="853" t="s">
        <v>10</v>
      </c>
      <c r="C13" s="602">
        <v>859.93602449389209</v>
      </c>
      <c r="D13" s="89" t="s">
        <v>906</v>
      </c>
      <c r="E13" s="569">
        <f t="shared" ref="E13:E28" si="1">E12+1</f>
        <v>3</v>
      </c>
      <c r="G13" s="707"/>
    </row>
    <row r="14" spans="1:7">
      <c r="A14" s="568">
        <f t="shared" si="0"/>
        <v>4</v>
      </c>
      <c r="B14" s="709"/>
      <c r="C14" s="601"/>
      <c r="D14" s="90"/>
      <c r="E14" s="569">
        <f t="shared" si="1"/>
        <v>4</v>
      </c>
    </row>
    <row r="15" spans="1:7">
      <c r="A15" s="568">
        <f t="shared" si="0"/>
        <v>5</v>
      </c>
      <c r="B15" s="17" t="s">
        <v>11</v>
      </c>
      <c r="C15" s="1100">
        <v>-76.861081329199209</v>
      </c>
      <c r="D15" s="663" t="s">
        <v>907</v>
      </c>
      <c r="E15" s="569">
        <f t="shared" si="1"/>
        <v>5</v>
      </c>
      <c r="G15" s="707"/>
    </row>
    <row r="16" spans="1:7">
      <c r="A16" s="568">
        <f t="shared" si="0"/>
        <v>6</v>
      </c>
      <c r="B16" s="57"/>
      <c r="C16" s="836"/>
      <c r="D16" s="663"/>
      <c r="E16" s="569">
        <f t="shared" si="1"/>
        <v>6</v>
      </c>
      <c r="G16" s="707"/>
    </row>
    <row r="17" spans="1:9">
      <c r="A17" s="568">
        <f t="shared" si="0"/>
        <v>7</v>
      </c>
      <c r="B17" s="835" t="s">
        <v>12</v>
      </c>
      <c r="C17" s="904">
        <f>C11+C13+C15</f>
        <v>783.07494316469285</v>
      </c>
      <c r="D17" s="94" t="str">
        <f>"Sum Lines "&amp;A11&amp;", "&amp;A13&amp;", "&amp;A15</f>
        <v>Sum Lines 1, 3, 5</v>
      </c>
      <c r="E17" s="569">
        <f t="shared" si="1"/>
        <v>7</v>
      </c>
      <c r="G17" s="707"/>
    </row>
    <row r="18" spans="1:9">
      <c r="A18" s="568">
        <f t="shared" si="0"/>
        <v>8</v>
      </c>
      <c r="B18" s="87"/>
      <c r="C18" s="601"/>
      <c r="D18" s="91"/>
      <c r="E18" s="569">
        <f t="shared" si="1"/>
        <v>8</v>
      </c>
    </row>
    <row r="19" spans="1:9">
      <c r="A19" s="568">
        <f t="shared" si="0"/>
        <v>9</v>
      </c>
      <c r="B19" s="853" t="s">
        <v>13</v>
      </c>
      <c r="C19" s="665">
        <v>-129.17028829369025</v>
      </c>
      <c r="D19" s="663" t="s">
        <v>908</v>
      </c>
      <c r="E19" s="569">
        <f t="shared" si="1"/>
        <v>9</v>
      </c>
    </row>
    <row r="20" spans="1:9">
      <c r="A20" s="568">
        <f t="shared" si="0"/>
        <v>10</v>
      </c>
      <c r="B20" s="853"/>
      <c r="C20" s="601"/>
      <c r="D20" s="92"/>
      <c r="E20" s="569">
        <f t="shared" si="1"/>
        <v>10</v>
      </c>
    </row>
    <row r="21" spans="1:9">
      <c r="A21" s="568">
        <f t="shared" si="0"/>
        <v>11</v>
      </c>
      <c r="B21" s="853" t="s">
        <v>14</v>
      </c>
      <c r="C21" s="1100">
        <v>-2.6155405682218507</v>
      </c>
      <c r="D21" s="94" t="s">
        <v>909</v>
      </c>
      <c r="E21" s="569">
        <f t="shared" si="1"/>
        <v>11</v>
      </c>
    </row>
    <row r="22" spans="1:9">
      <c r="A22" s="568">
        <f t="shared" si="0"/>
        <v>12</v>
      </c>
      <c r="B22" s="57"/>
      <c r="C22" s="834"/>
      <c r="D22" s="93"/>
      <c r="E22" s="569">
        <f t="shared" si="1"/>
        <v>12</v>
      </c>
    </row>
    <row r="23" spans="1:9">
      <c r="A23" s="568">
        <f t="shared" si="0"/>
        <v>13</v>
      </c>
      <c r="B23" s="57" t="s">
        <v>15</v>
      </c>
      <c r="C23" s="176">
        <f>C17+C19+C21</f>
        <v>651.28911430278072</v>
      </c>
      <c r="D23" s="94" t="str">
        <f>"Sum Lines "&amp;A17&amp;", "&amp;A19&amp;", "&amp;A21</f>
        <v>Sum Lines 7, 9, 11</v>
      </c>
      <c r="E23" s="569">
        <f t="shared" si="1"/>
        <v>13</v>
      </c>
      <c r="G23" s="707"/>
    </row>
    <row r="24" spans="1:9">
      <c r="A24" s="568">
        <f t="shared" si="0"/>
        <v>14</v>
      </c>
      <c r="B24" s="798"/>
      <c r="C24" s="178"/>
      <c r="D24" s="94"/>
      <c r="E24" s="569">
        <f t="shared" si="1"/>
        <v>14</v>
      </c>
      <c r="G24" s="707"/>
    </row>
    <row r="25" spans="1:9">
      <c r="A25" s="568">
        <f t="shared" si="0"/>
        <v>15</v>
      </c>
      <c r="B25" s="17" t="s">
        <v>16</v>
      </c>
      <c r="C25" s="1101">
        <v>-26.403206586286924</v>
      </c>
      <c r="D25" s="94" t="s">
        <v>17</v>
      </c>
      <c r="E25" s="569">
        <f t="shared" si="1"/>
        <v>15</v>
      </c>
      <c r="G25" s="707"/>
    </row>
    <row r="26" spans="1:9">
      <c r="A26" s="568">
        <f t="shared" si="0"/>
        <v>16</v>
      </c>
      <c r="B26" s="63"/>
      <c r="C26" s="935"/>
      <c r="D26" s="93"/>
      <c r="E26" s="569">
        <f t="shared" si="1"/>
        <v>16</v>
      </c>
    </row>
    <row r="27" spans="1:9" ht="16.5" thickBot="1">
      <c r="A27" s="568">
        <f t="shared" si="0"/>
        <v>17</v>
      </c>
      <c r="B27" s="835" t="s">
        <v>18</v>
      </c>
      <c r="C27" s="603">
        <f>C23+C25</f>
        <v>624.88590771649376</v>
      </c>
      <c r="D27" s="93" t="str">
        <f>"Line "&amp;A23&amp;" + Line "&amp;A25</f>
        <v>Line 13 + Line 15</v>
      </c>
      <c r="E27" s="569">
        <f t="shared" si="1"/>
        <v>17</v>
      </c>
      <c r="H27" s="706"/>
      <c r="I27" s="708"/>
    </row>
    <row r="28" spans="1:9" ht="17.25" thickTop="1" thickBot="1">
      <c r="A28" s="568">
        <f t="shared" si="0"/>
        <v>18</v>
      </c>
      <c r="B28" s="936"/>
      <c r="C28" s="936"/>
      <c r="D28" s="96"/>
      <c r="E28" s="569">
        <f t="shared" si="1"/>
        <v>18</v>
      </c>
    </row>
    <row r="30" spans="1:9" ht="16.5" thickBot="1">
      <c r="A30" s="1220"/>
      <c r="B30" s="390"/>
      <c r="C30" s="938"/>
      <c r="D30" s="938"/>
      <c r="E30" s="1220"/>
    </row>
    <row r="31" spans="1:9">
      <c r="A31" s="568" t="s">
        <v>4</v>
      </c>
      <c r="B31" s="55"/>
      <c r="C31" s="55"/>
      <c r="D31" s="86"/>
      <c r="E31" s="569" t="s">
        <v>4</v>
      </c>
    </row>
    <row r="32" spans="1:9">
      <c r="A32" s="568" t="s">
        <v>5</v>
      </c>
      <c r="B32" s="960" t="s">
        <v>19</v>
      </c>
      <c r="C32" s="960" t="str">
        <f>C9</f>
        <v>Amounts</v>
      </c>
      <c r="D32" s="961" t="str">
        <f>D9</f>
        <v>Reference</v>
      </c>
      <c r="E32" s="569" t="s">
        <v>5</v>
      </c>
    </row>
    <row r="33" spans="1:5">
      <c r="A33" s="568">
        <f>A28+1</f>
        <v>19</v>
      </c>
      <c r="B33" s="54"/>
      <c r="C33" s="56"/>
      <c r="D33" s="88"/>
      <c r="E33" s="569">
        <f>E28+1</f>
        <v>19</v>
      </c>
    </row>
    <row r="34" spans="1:5">
      <c r="A34" s="568">
        <f>A33+1</f>
        <v>20</v>
      </c>
      <c r="B34" s="853" t="str">
        <f>B11</f>
        <v>Section 1 - Direct Maintenance Expense Cost Component</v>
      </c>
      <c r="C34" s="851">
        <f>C11/12</f>
        <v>0</v>
      </c>
      <c r="D34" s="89" t="str">
        <f>"Line "&amp;A11&amp;" / "&amp;C50&amp;" Months"</f>
        <v>Line 1 / 12 Months</v>
      </c>
      <c r="E34" s="569">
        <f>E33+1</f>
        <v>20</v>
      </c>
    </row>
    <row r="35" spans="1:5">
      <c r="A35" s="568">
        <f t="shared" ref="A35:A53" si="2">A34+1</f>
        <v>21</v>
      </c>
      <c r="B35" s="709"/>
      <c r="C35" s="25"/>
      <c r="D35" s="85"/>
      <c r="E35" s="569">
        <f t="shared" ref="E35:E53" si="3">E34+1</f>
        <v>21</v>
      </c>
    </row>
    <row r="36" spans="1:5">
      <c r="A36" s="568">
        <f t="shared" si="2"/>
        <v>22</v>
      </c>
      <c r="B36" s="853" t="str">
        <f>B13</f>
        <v>Section 2 - Non-Direct Expense Cost Component</v>
      </c>
      <c r="C36" s="852">
        <f>C13/12</f>
        <v>71.661335374491003</v>
      </c>
      <c r="D36" s="89" t="str">
        <f>"Line "&amp;A13&amp;" / "&amp;C50&amp;" Months"</f>
        <v>Line 3 / 12 Months</v>
      </c>
      <c r="E36" s="569">
        <f t="shared" si="3"/>
        <v>22</v>
      </c>
    </row>
    <row r="37" spans="1:5">
      <c r="A37" s="568">
        <f t="shared" si="2"/>
        <v>23</v>
      </c>
      <c r="B37" s="709"/>
      <c r="C37" s="802"/>
      <c r="D37" s="97"/>
      <c r="E37" s="569">
        <f t="shared" si="3"/>
        <v>23</v>
      </c>
    </row>
    <row r="38" spans="1:5">
      <c r="A38" s="568">
        <f t="shared" si="2"/>
        <v>24</v>
      </c>
      <c r="B38" s="853" t="str">
        <f>B15</f>
        <v>Section 3 - Cost Component Containing Other Specific Expenses</v>
      </c>
      <c r="C38" s="1102">
        <f>C15/12</f>
        <v>-6.4050901107666007</v>
      </c>
      <c r="D38" s="89" t="str">
        <f>"Line "&amp;A15&amp;" / "&amp;C50&amp;" Months"</f>
        <v>Line 5 / 12 Months</v>
      </c>
      <c r="E38" s="569">
        <f t="shared" si="3"/>
        <v>24</v>
      </c>
    </row>
    <row r="39" spans="1:5">
      <c r="A39" s="568">
        <f t="shared" si="2"/>
        <v>25</v>
      </c>
      <c r="B39" s="87"/>
      <c r="C39" s="801"/>
      <c r="D39" s="89"/>
      <c r="E39" s="569">
        <f t="shared" si="3"/>
        <v>25</v>
      </c>
    </row>
    <row r="40" spans="1:5">
      <c r="A40" s="568">
        <f t="shared" si="2"/>
        <v>26</v>
      </c>
      <c r="B40" s="835" t="s">
        <v>20</v>
      </c>
      <c r="C40" s="905">
        <f>C34+C36+C38</f>
        <v>65.256245263724395</v>
      </c>
      <c r="D40" s="94" t="str">
        <f>"Sum Lines "&amp;A34&amp;", "&amp;A36&amp;", "&amp;A38</f>
        <v>Sum Lines 20, 22, 24</v>
      </c>
      <c r="E40" s="569">
        <f t="shared" si="3"/>
        <v>26</v>
      </c>
    </row>
    <row r="41" spans="1:5">
      <c r="A41" s="568">
        <f t="shared" si="2"/>
        <v>27</v>
      </c>
      <c r="B41" s="54"/>
      <c r="C41" s="802"/>
      <c r="D41" s="90"/>
      <c r="E41" s="569">
        <f t="shared" si="3"/>
        <v>27</v>
      </c>
    </row>
    <row r="42" spans="1:5">
      <c r="A42" s="568">
        <f t="shared" si="2"/>
        <v>28</v>
      </c>
      <c r="B42" s="853" t="str">
        <f>LEFT(B19,45)</f>
        <v>Section 4 - True-Up Adjustment Cost Component</v>
      </c>
      <c r="C42" s="852">
        <f>C19/12</f>
        <v>-10.764190691140854</v>
      </c>
      <c r="D42" s="89" t="str">
        <f>"Line "&amp;A19&amp;" / "&amp;C50&amp;" Months"</f>
        <v>Line 9 / 12 Months</v>
      </c>
      <c r="E42" s="569">
        <f t="shared" si="3"/>
        <v>28</v>
      </c>
    </row>
    <row r="43" spans="1:5">
      <c r="A43" s="568">
        <f t="shared" si="2"/>
        <v>29</v>
      </c>
      <c r="B43" s="853"/>
      <c r="C43" s="802"/>
      <c r="D43" s="98"/>
      <c r="E43" s="569">
        <f t="shared" si="3"/>
        <v>29</v>
      </c>
    </row>
    <row r="44" spans="1:5">
      <c r="A44" s="568">
        <f t="shared" si="2"/>
        <v>30</v>
      </c>
      <c r="B44" s="853" t="str">
        <f>B21</f>
        <v>Section 5 - Interest True-Up Adjustment Cost Component</v>
      </c>
      <c r="C44" s="852">
        <f>C21/12</f>
        <v>-0.21796171401848755</v>
      </c>
      <c r="D44" s="93" t="str">
        <f>"Line "&amp;A21&amp;" / "&amp;C50&amp;" Months"</f>
        <v>Line 11 / 12 Months</v>
      </c>
      <c r="E44" s="569">
        <f t="shared" si="3"/>
        <v>30</v>
      </c>
    </row>
    <row r="45" spans="1:5">
      <c r="A45" s="568">
        <f t="shared" si="2"/>
        <v>31</v>
      </c>
      <c r="B45" s="87"/>
      <c r="C45" s="803"/>
      <c r="D45" s="95"/>
      <c r="E45" s="569">
        <f t="shared" si="3"/>
        <v>31</v>
      </c>
    </row>
    <row r="46" spans="1:5">
      <c r="A46" s="568">
        <f t="shared" si="2"/>
        <v>32</v>
      </c>
      <c r="B46" s="17" t="str">
        <f>B25</f>
        <v>Other Adjustments</v>
      </c>
      <c r="C46" s="1102">
        <f>C25/12</f>
        <v>-2.2002672155239105</v>
      </c>
      <c r="D46" s="93" t="str">
        <f>"Line "&amp;A25&amp;" / "&amp;C50&amp;" Months"</f>
        <v>Line 15 / 12 Months</v>
      </c>
      <c r="E46" s="569">
        <f t="shared" si="3"/>
        <v>32</v>
      </c>
    </row>
    <row r="47" spans="1:5">
      <c r="A47" s="568">
        <f t="shared" si="2"/>
        <v>33</v>
      </c>
      <c r="B47" s="57"/>
      <c r="C47" s="803"/>
      <c r="D47" s="799"/>
      <c r="E47" s="569">
        <f t="shared" si="3"/>
        <v>33</v>
      </c>
    </row>
    <row r="48" spans="1:5" ht="16.5" thickBot="1">
      <c r="A48" s="568">
        <f t="shared" si="2"/>
        <v>34</v>
      </c>
      <c r="B48" s="57" t="s">
        <v>21</v>
      </c>
      <c r="C48" s="854">
        <f>C40+C42+C44+C46</f>
        <v>52.073825643041147</v>
      </c>
      <c r="D48" s="94" t="str">
        <f>"Sum Lines "&amp;A40&amp;", "&amp;A42&amp;", "&amp;A44&amp;", "&amp;A46</f>
        <v>Sum Lines 26, 28, 30, 32</v>
      </c>
      <c r="E48" s="569">
        <f t="shared" si="3"/>
        <v>34</v>
      </c>
    </row>
    <row r="49" spans="1:5" ht="16.5" thickTop="1">
      <c r="A49" s="568">
        <f t="shared" si="2"/>
        <v>35</v>
      </c>
      <c r="B49" s="54"/>
      <c r="C49" s="939"/>
      <c r="D49" s="99"/>
      <c r="E49" s="569">
        <f t="shared" si="3"/>
        <v>35</v>
      </c>
    </row>
    <row r="50" spans="1:5">
      <c r="A50" s="568">
        <f t="shared" si="2"/>
        <v>36</v>
      </c>
      <c r="B50" s="709" t="s">
        <v>22</v>
      </c>
      <c r="C50" s="1103">
        <v>12</v>
      </c>
      <c r="D50" s="99"/>
      <c r="E50" s="569">
        <f t="shared" si="3"/>
        <v>36</v>
      </c>
    </row>
    <row r="51" spans="1:5">
      <c r="A51" s="568">
        <f t="shared" si="2"/>
        <v>37</v>
      </c>
      <c r="B51" s="54"/>
      <c r="C51" s="939"/>
      <c r="D51" s="100"/>
      <c r="E51" s="569">
        <f t="shared" si="3"/>
        <v>37</v>
      </c>
    </row>
    <row r="52" spans="1:5" ht="16.5" thickBot="1">
      <c r="A52" s="568">
        <f t="shared" si="2"/>
        <v>38</v>
      </c>
      <c r="B52" s="835" t="str">
        <f>B27</f>
        <v>Total Annual Costs</v>
      </c>
      <c r="C52" s="598">
        <f>C48*C50</f>
        <v>624.88590771649376</v>
      </c>
      <c r="D52" s="93" t="str">
        <f>"Line "&amp;A48&amp;" x Line "&amp;A50</f>
        <v>Line 34 x Line 36</v>
      </c>
      <c r="E52" s="569">
        <f t="shared" si="3"/>
        <v>38</v>
      </c>
    </row>
    <row r="53" spans="1:5" ht="17.25" thickTop="1" thickBot="1">
      <c r="A53" s="568">
        <f t="shared" si="2"/>
        <v>39</v>
      </c>
      <c r="B53" s="940"/>
      <c r="C53" s="24"/>
      <c r="D53" s="101"/>
      <c r="E53" s="569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scale="69" orientation="portrait" horizontalDpi="200" verticalDpi="200" r:id="rId1"/>
  <headerFooter scaleWithDoc="0">
    <oddFooter>&amp;C&amp;"Times New Roman,Regular"&amp;10Section 4 
Cycle 4 Invoice Summary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6"/>
  <sheetViews>
    <sheetView zoomScale="80" zoomScaleNormal="80" zoomScaleSheetLayoutView="70" workbookViewId="0"/>
  </sheetViews>
  <sheetFormatPr defaultColWidth="9.140625" defaultRowHeight="15.75"/>
  <cols>
    <col min="1" max="1" width="5.140625" style="250" customWidth="1"/>
    <col min="2" max="3" width="19.5703125" style="219" customWidth="1"/>
    <col min="4" max="5" width="20.7109375" style="219" customWidth="1"/>
    <col min="6" max="6" width="35.5703125" style="219" customWidth="1"/>
    <col min="7" max="7" width="20.7109375" style="219" customWidth="1"/>
    <col min="8" max="8" width="35.140625" style="219" customWidth="1"/>
    <col min="9" max="9" width="5.140625" style="250" customWidth="1"/>
    <col min="10" max="10" width="8.7109375" style="219" customWidth="1"/>
    <col min="11" max="11" width="9" style="219" customWidth="1"/>
    <col min="12" max="12" width="14" style="219" customWidth="1"/>
    <col min="13" max="13" width="13.140625" style="219" customWidth="1"/>
    <col min="14" max="14" width="12.7109375" style="219" customWidth="1"/>
    <col min="15" max="15" width="13.5703125" style="219" customWidth="1"/>
    <col min="16" max="16" width="12.5703125" style="219" customWidth="1"/>
    <col min="17" max="16384" width="9.140625" style="219"/>
  </cols>
  <sheetData>
    <row r="1" spans="1:13">
      <c r="M1" s="727"/>
    </row>
    <row r="2" spans="1:13">
      <c r="B2" s="1299" t="str">
        <f>'Summary of Cost Components'!B2:D2</f>
        <v>SAN DIEGO GAS &amp; ELECTRIC COMPANY</v>
      </c>
      <c r="C2" s="1299"/>
      <c r="D2" s="1299"/>
      <c r="E2" s="1299"/>
      <c r="F2" s="1299"/>
      <c r="G2" s="1299"/>
      <c r="H2" s="1299"/>
      <c r="M2" s="727"/>
    </row>
    <row r="3" spans="1:13">
      <c r="B3" s="1299" t="str">
        <f>'Summary of Cost Components'!B3:D3</f>
        <v>CITIZENS' SHARE OF THE SX-PQ UNDERGROUND LINE SEGMENT</v>
      </c>
      <c r="C3" s="1299"/>
      <c r="D3" s="1299"/>
      <c r="E3" s="1299"/>
      <c r="F3" s="1299"/>
      <c r="G3" s="1299"/>
      <c r="H3" s="1299"/>
      <c r="I3" s="556"/>
      <c r="J3" s="556"/>
      <c r="M3" s="727"/>
    </row>
    <row r="4" spans="1:13">
      <c r="B4" s="1300" t="str">
        <f>"Derivation of Interest on the 12-Month True-Up Adjustment Applicable to Citizens Cycle "&amp;Automation!B2-1</f>
        <v>Derivation of Interest on the 12-Month True-Up Adjustment Applicable to Citizens Cycle 5</v>
      </c>
      <c r="C4" s="1300"/>
      <c r="D4" s="1300"/>
      <c r="E4" s="1300"/>
      <c r="F4" s="1300"/>
      <c r="G4" s="1300"/>
      <c r="H4" s="1300"/>
      <c r="I4" s="556"/>
      <c r="J4" s="556"/>
      <c r="M4" s="727"/>
    </row>
    <row r="5" spans="1:13">
      <c r="B5" s="1301" t="str">
        <f>'D. Sec.4 - TU'!B5:N5</f>
        <v>True-Up Period - January 1, 2022 to December 31, 2022</v>
      </c>
      <c r="C5" s="1301"/>
      <c r="D5" s="1301"/>
      <c r="E5" s="1301"/>
      <c r="F5" s="1301"/>
      <c r="G5" s="1301"/>
      <c r="H5" s="1301"/>
      <c r="I5" s="556"/>
      <c r="J5" s="556"/>
      <c r="M5" s="727"/>
    </row>
    <row r="6" spans="1:13">
      <c r="B6" s="1297" t="s">
        <v>3</v>
      </c>
      <c r="C6" s="1297"/>
      <c r="D6" s="1297"/>
      <c r="E6" s="1297"/>
      <c r="F6" s="1297"/>
      <c r="G6" s="1297"/>
      <c r="H6" s="1297"/>
      <c r="I6" s="556"/>
      <c r="J6" s="556"/>
    </row>
    <row r="7" spans="1:13">
      <c r="A7" s="556"/>
      <c r="B7" s="556"/>
      <c r="C7" s="556"/>
      <c r="D7" s="556"/>
      <c r="E7" s="556"/>
      <c r="F7" s="556"/>
      <c r="G7" s="556"/>
      <c r="H7" s="556"/>
      <c r="I7" s="556"/>
      <c r="J7" s="556"/>
    </row>
    <row r="8" spans="1:13">
      <c r="A8" s="250" t="s">
        <v>4</v>
      </c>
      <c r="B8" s="556"/>
      <c r="C8" s="556"/>
      <c r="D8" s="556"/>
      <c r="E8" s="556"/>
      <c r="F8" s="556"/>
      <c r="G8" s="556"/>
      <c r="H8" s="556"/>
      <c r="I8" s="250" t="s">
        <v>4</v>
      </c>
      <c r="J8" s="556"/>
    </row>
    <row r="9" spans="1:13">
      <c r="A9" s="250" t="s">
        <v>5</v>
      </c>
      <c r="E9" s="717"/>
      <c r="I9" s="250" t="s">
        <v>5</v>
      </c>
      <c r="J9" s="486"/>
    </row>
    <row r="10" spans="1:13">
      <c r="A10" s="486"/>
      <c r="E10" s="717"/>
      <c r="I10" s="486"/>
      <c r="J10" s="486"/>
    </row>
    <row r="11" spans="1:13">
      <c r="A11" s="250">
        <v>1</v>
      </c>
      <c r="C11" s="673" t="s">
        <v>102</v>
      </c>
      <c r="D11" s="673" t="s">
        <v>103</v>
      </c>
      <c r="E11" s="673" t="s">
        <v>104</v>
      </c>
      <c r="F11" s="673" t="s">
        <v>105</v>
      </c>
      <c r="G11" s="673" t="s">
        <v>106</v>
      </c>
      <c r="H11" s="673" t="s">
        <v>107</v>
      </c>
      <c r="I11" s="250">
        <f>A11</f>
        <v>1</v>
      </c>
      <c r="J11" s="250"/>
    </row>
    <row r="12" spans="1:13">
      <c r="A12" s="250">
        <f>A11+1</f>
        <v>2</v>
      </c>
      <c r="B12" s="425" t="s">
        <v>113</v>
      </c>
      <c r="C12" s="673"/>
      <c r="D12" s="250"/>
      <c r="E12" s="250" t="str">
        <f>"See Footnote "&amp;A33</f>
        <v>See Footnote 2</v>
      </c>
      <c r="F12" s="250" t="str">
        <f>"See Footnote "&amp;A34</f>
        <v>See Footnote 3</v>
      </c>
      <c r="G12" s="417" t="str">
        <f>"See Footnote "&amp;A35</f>
        <v>See Footnote 4</v>
      </c>
      <c r="H12" s="417" t="str">
        <f>"= "&amp;F11&amp;" + "&amp;G11</f>
        <v>= Col. 4 + Col. 5</v>
      </c>
      <c r="I12" s="250">
        <f>I11+1</f>
        <v>2</v>
      </c>
      <c r="J12" s="250"/>
    </row>
    <row r="13" spans="1:13">
      <c r="A13" s="250">
        <f t="shared" ref="A13:A29" si="0">A12+1</f>
        <v>3</v>
      </c>
      <c r="C13" s="673"/>
      <c r="D13" s="673"/>
      <c r="E13" s="673"/>
      <c r="F13" s="556"/>
      <c r="G13" s="673"/>
      <c r="H13" s="673"/>
      <c r="I13" s="250">
        <f t="shared" ref="I13:I29" si="1">I12+1</f>
        <v>3</v>
      </c>
      <c r="J13" s="250"/>
    </row>
    <row r="14" spans="1:13">
      <c r="A14" s="250">
        <f t="shared" si="0"/>
        <v>4</v>
      </c>
      <c r="C14" s="556"/>
      <c r="D14" s="556" t="s">
        <v>154</v>
      </c>
      <c r="E14" s="556" t="s">
        <v>115</v>
      </c>
      <c r="F14" s="556" t="s">
        <v>155</v>
      </c>
      <c r="H14" s="556" t="s">
        <v>155</v>
      </c>
      <c r="I14" s="250">
        <f t="shared" si="1"/>
        <v>4</v>
      </c>
      <c r="J14" s="250"/>
    </row>
    <row r="15" spans="1:13">
      <c r="A15" s="250">
        <f t="shared" si="0"/>
        <v>5</v>
      </c>
      <c r="C15" s="556"/>
      <c r="D15" s="556" t="s">
        <v>156</v>
      </c>
      <c r="E15" s="556" t="s">
        <v>122</v>
      </c>
      <c r="F15" s="556" t="s">
        <v>157</v>
      </c>
      <c r="G15" s="556"/>
      <c r="H15" s="556" t="s">
        <v>157</v>
      </c>
      <c r="I15" s="250">
        <f t="shared" si="1"/>
        <v>5</v>
      </c>
      <c r="J15" s="250"/>
    </row>
    <row r="16" spans="1:13" ht="18.75">
      <c r="A16" s="250">
        <f t="shared" si="0"/>
        <v>6</v>
      </c>
      <c r="B16" s="674" t="s">
        <v>124</v>
      </c>
      <c r="C16" s="674" t="s">
        <v>125</v>
      </c>
      <c r="D16" s="505" t="s">
        <v>158</v>
      </c>
      <c r="E16" s="505" t="s">
        <v>83</v>
      </c>
      <c r="F16" s="505" t="s">
        <v>132</v>
      </c>
      <c r="G16" s="505" t="s">
        <v>122</v>
      </c>
      <c r="H16" s="505" t="s">
        <v>133</v>
      </c>
      <c r="I16" s="250">
        <f t="shared" si="1"/>
        <v>6</v>
      </c>
      <c r="J16" s="250"/>
    </row>
    <row r="17" spans="1:11">
      <c r="A17" s="250">
        <f t="shared" si="0"/>
        <v>7</v>
      </c>
      <c r="B17" s="18" t="s">
        <v>134</v>
      </c>
      <c r="C17" s="676" t="str">
        <f>RIGHT(B5,4)</f>
        <v>2022</v>
      </c>
      <c r="D17" s="861">
        <f>'D1. Sec.4 - C5 Invoice Summary'!$C$19</f>
        <v>25.687464607457734</v>
      </c>
      <c r="E17" s="731">
        <f>'D. Sec.4 - TU'!J19</f>
        <v>2.8E-3</v>
      </c>
      <c r="F17" s="513">
        <f>D17</f>
        <v>25.687464607457734</v>
      </c>
      <c r="G17" s="1225">
        <f>(F17*E17)</f>
        <v>7.1924900900881661E-2</v>
      </c>
      <c r="H17" s="513">
        <f>F17+G17</f>
        <v>25.759389508358616</v>
      </c>
      <c r="I17" s="250">
        <f t="shared" si="1"/>
        <v>7</v>
      </c>
      <c r="J17" s="250"/>
      <c r="K17" s="1229"/>
    </row>
    <row r="18" spans="1:11">
      <c r="A18" s="250">
        <f t="shared" si="0"/>
        <v>8</v>
      </c>
      <c r="B18" s="18" t="s">
        <v>135</v>
      </c>
      <c r="C18" s="676" t="str">
        <f>$C$17</f>
        <v>2022</v>
      </c>
      <c r="D18" s="683"/>
      <c r="E18" s="731">
        <f>'D. Sec.4 - TU'!J20</f>
        <v>2.5000000000000001E-3</v>
      </c>
      <c r="F18" s="720">
        <f t="shared" ref="F18:F22" si="2">H17</f>
        <v>25.759389508358616</v>
      </c>
      <c r="G18" s="1230">
        <f t="shared" ref="G18:G21" si="3">((H17+F18)/2)*E18</f>
        <v>6.4398473770896539E-2</v>
      </c>
      <c r="H18" s="720">
        <f t="shared" ref="H18:H23" si="4">F18+G18</f>
        <v>25.823787982129513</v>
      </c>
      <c r="I18" s="250">
        <f t="shared" si="1"/>
        <v>8</v>
      </c>
      <c r="J18" s="250"/>
      <c r="K18" s="1229"/>
    </row>
    <row r="19" spans="1:11">
      <c r="A19" s="250">
        <f t="shared" si="0"/>
        <v>9</v>
      </c>
      <c r="B19" s="18" t="s">
        <v>159</v>
      </c>
      <c r="C19" s="676" t="str">
        <f t="shared" ref="C19:C28" si="5">$C$17</f>
        <v>2022</v>
      </c>
      <c r="D19" s="683"/>
      <c r="E19" s="731">
        <f>'D. Sec.4 - TU'!J21</f>
        <v>2.8E-3</v>
      </c>
      <c r="F19" s="720">
        <f t="shared" si="2"/>
        <v>25.823787982129513</v>
      </c>
      <c r="G19" s="1230">
        <f t="shared" si="3"/>
        <v>7.2306606349962638E-2</v>
      </c>
      <c r="H19" s="720">
        <f t="shared" si="4"/>
        <v>25.896094588479475</v>
      </c>
      <c r="I19" s="250">
        <f t="shared" si="1"/>
        <v>9</v>
      </c>
      <c r="J19" s="250"/>
      <c r="K19" s="1229"/>
    </row>
    <row r="20" spans="1:11">
      <c r="A20" s="250">
        <f t="shared" si="0"/>
        <v>10</v>
      </c>
      <c r="B20" s="18" t="s">
        <v>160</v>
      </c>
      <c r="C20" s="676" t="str">
        <f t="shared" si="5"/>
        <v>2022</v>
      </c>
      <c r="D20" s="683"/>
      <c r="E20" s="731">
        <f>'D. Sec.4 - TU'!J22</f>
        <v>2.7000000000000001E-3</v>
      </c>
      <c r="F20" s="720">
        <f t="shared" si="2"/>
        <v>25.896094588479475</v>
      </c>
      <c r="G20" s="1230">
        <f>((H19+F20)/2)*E20</f>
        <v>6.9919455388894589E-2</v>
      </c>
      <c r="H20" s="720">
        <f t="shared" si="4"/>
        <v>25.96601404386837</v>
      </c>
      <c r="I20" s="250">
        <f t="shared" si="1"/>
        <v>10</v>
      </c>
      <c r="J20" s="250"/>
      <c r="K20" s="1229"/>
    </row>
    <row r="21" spans="1:11">
      <c r="A21" s="250">
        <f t="shared" si="0"/>
        <v>11</v>
      </c>
      <c r="B21" s="18" t="s">
        <v>161</v>
      </c>
      <c r="C21" s="676" t="str">
        <f t="shared" si="5"/>
        <v>2022</v>
      </c>
      <c r="D21" s="683"/>
      <c r="E21" s="731">
        <f>'D. Sec.4 - TU'!J23</f>
        <v>2.8E-3</v>
      </c>
      <c r="F21" s="720">
        <f t="shared" si="2"/>
        <v>25.96601404386837</v>
      </c>
      <c r="G21" s="1230">
        <f t="shared" si="3"/>
        <v>7.2704839322831435E-2</v>
      </c>
      <c r="H21" s="720">
        <f t="shared" si="4"/>
        <v>26.038718883191201</v>
      </c>
      <c r="I21" s="250">
        <f t="shared" si="1"/>
        <v>11</v>
      </c>
      <c r="J21" s="250"/>
      <c r="K21" s="1229"/>
    </row>
    <row r="22" spans="1:11">
      <c r="A22" s="250">
        <f t="shared" si="0"/>
        <v>12</v>
      </c>
      <c r="B22" s="18" t="s">
        <v>162</v>
      </c>
      <c r="C22" s="676" t="str">
        <f t="shared" si="5"/>
        <v>2022</v>
      </c>
      <c r="D22" s="677"/>
      <c r="E22" s="731">
        <f>'D. Sec.4 - TU'!J24</f>
        <v>2.7000000000000001E-3</v>
      </c>
      <c r="F22" s="720">
        <f t="shared" si="2"/>
        <v>26.038718883191201</v>
      </c>
      <c r="G22" s="1230">
        <f>((H21+F22)/2)*E22</f>
        <v>7.0304540984616248E-2</v>
      </c>
      <c r="H22" s="720">
        <f t="shared" si="4"/>
        <v>26.109023424175817</v>
      </c>
      <c r="I22" s="250">
        <f t="shared" si="1"/>
        <v>12</v>
      </c>
      <c r="J22" s="250"/>
      <c r="K22" s="1229"/>
    </row>
    <row r="23" spans="1:11">
      <c r="A23" s="250">
        <f t="shared" si="0"/>
        <v>13</v>
      </c>
      <c r="B23" s="18" t="s">
        <v>163</v>
      </c>
      <c r="C23" s="676" t="str">
        <f t="shared" si="5"/>
        <v>2022</v>
      </c>
      <c r="D23" s="683"/>
      <c r="E23" s="731">
        <f>'D. Sec.4 - TU'!J25</f>
        <v>3.0999999999999999E-3</v>
      </c>
      <c r="F23" s="720">
        <f t="shared" ref="F23:F28" si="6">H22</f>
        <v>26.109023424175817</v>
      </c>
      <c r="G23" s="1230">
        <f t="shared" ref="G23:G28" si="7">((H22+F23)/2)*E23</f>
        <v>8.0937972614945022E-2</v>
      </c>
      <c r="H23" s="720">
        <f t="shared" si="4"/>
        <v>26.189961396790761</v>
      </c>
      <c r="I23" s="250">
        <f t="shared" si="1"/>
        <v>13</v>
      </c>
      <c r="J23" s="250"/>
      <c r="K23" s="1229"/>
    </row>
    <row r="24" spans="1:11">
      <c r="A24" s="250">
        <f t="shared" si="0"/>
        <v>14</v>
      </c>
      <c r="B24" s="18" t="s">
        <v>164</v>
      </c>
      <c r="C24" s="676" t="str">
        <f t="shared" si="5"/>
        <v>2022</v>
      </c>
      <c r="D24" s="683"/>
      <c r="E24" s="731">
        <f>'D. Sec.4 - TU'!J26</f>
        <v>3.0999999999999999E-3</v>
      </c>
      <c r="F24" s="720">
        <f t="shared" si="6"/>
        <v>26.189961396790761</v>
      </c>
      <c r="G24" s="1230">
        <f t="shared" si="7"/>
        <v>8.1188880330051352E-2</v>
      </c>
      <c r="H24" s="720">
        <f t="shared" ref="H24:H28" si="8">F24+G24</f>
        <v>26.27115027712081</v>
      </c>
      <c r="I24" s="250">
        <f t="shared" si="1"/>
        <v>14</v>
      </c>
      <c r="J24" s="250"/>
      <c r="K24" s="1229"/>
    </row>
    <row r="25" spans="1:11">
      <c r="A25" s="250">
        <f t="shared" si="0"/>
        <v>15</v>
      </c>
      <c r="B25" s="18" t="s">
        <v>165</v>
      </c>
      <c r="C25" s="676" t="str">
        <f t="shared" si="5"/>
        <v>2022</v>
      </c>
      <c r="D25" s="683"/>
      <c r="E25" s="731">
        <f>'D. Sec.4 - TU'!J27</f>
        <v>3.0000000000000001E-3</v>
      </c>
      <c r="F25" s="720">
        <f t="shared" si="6"/>
        <v>26.27115027712081</v>
      </c>
      <c r="G25" s="1230">
        <f t="shared" si="7"/>
        <v>7.881345083136243E-2</v>
      </c>
      <c r="H25" s="720">
        <f t="shared" si="8"/>
        <v>26.349963727952172</v>
      </c>
      <c r="I25" s="250">
        <f t="shared" si="1"/>
        <v>15</v>
      </c>
      <c r="J25" s="250"/>
      <c r="K25" s="1229"/>
    </row>
    <row r="26" spans="1:11">
      <c r="A26" s="250">
        <f t="shared" si="0"/>
        <v>16</v>
      </c>
      <c r="B26" s="18" t="s">
        <v>166</v>
      </c>
      <c r="C26" s="676" t="str">
        <f t="shared" si="5"/>
        <v>2022</v>
      </c>
      <c r="D26" s="683"/>
      <c r="E26" s="731">
        <f>'D. Sec.4 - TU'!J28</f>
        <v>4.1999999999999997E-3</v>
      </c>
      <c r="F26" s="720">
        <f t="shared" si="6"/>
        <v>26.349963727952172</v>
      </c>
      <c r="G26" s="1230">
        <f t="shared" si="7"/>
        <v>0.11066984765739912</v>
      </c>
      <c r="H26" s="720">
        <f t="shared" si="8"/>
        <v>26.46063357560957</v>
      </c>
      <c r="I26" s="250">
        <f t="shared" si="1"/>
        <v>16</v>
      </c>
      <c r="J26" s="250"/>
      <c r="K26" s="1229"/>
    </row>
    <row r="27" spans="1:11">
      <c r="A27" s="250">
        <f t="shared" si="0"/>
        <v>17</v>
      </c>
      <c r="B27" s="18" t="s">
        <v>167</v>
      </c>
      <c r="C27" s="676" t="str">
        <f t="shared" si="5"/>
        <v>2022</v>
      </c>
      <c r="D27" s="683"/>
      <c r="E27" s="731">
        <f>'D. Sec.4 - TU'!J29</f>
        <v>4.0000000000000001E-3</v>
      </c>
      <c r="F27" s="720">
        <f t="shared" si="6"/>
        <v>26.46063357560957</v>
      </c>
      <c r="G27" s="1230">
        <f t="shared" si="7"/>
        <v>0.10584253430243828</v>
      </c>
      <c r="H27" s="720">
        <f t="shared" si="8"/>
        <v>26.56647610991201</v>
      </c>
      <c r="I27" s="250">
        <f t="shared" si="1"/>
        <v>17</v>
      </c>
      <c r="J27" s="250"/>
      <c r="K27" s="1229"/>
    </row>
    <row r="28" spans="1:11">
      <c r="A28" s="250">
        <f t="shared" si="0"/>
        <v>18</v>
      </c>
      <c r="B28" s="955" t="s">
        <v>168</v>
      </c>
      <c r="C28" s="956" t="str">
        <f t="shared" si="5"/>
        <v>2022</v>
      </c>
      <c r="D28" s="1107"/>
      <c r="E28" s="1108">
        <f>'D. Sec.4 - TU'!J30</f>
        <v>4.1999999999999997E-3</v>
      </c>
      <c r="F28" s="957">
        <f t="shared" si="6"/>
        <v>26.56647610991201</v>
      </c>
      <c r="G28" s="1231">
        <f t="shared" si="7"/>
        <v>0.11157919966163043</v>
      </c>
      <c r="H28" s="957">
        <f t="shared" si="8"/>
        <v>26.67805530957364</v>
      </c>
      <c r="I28" s="250">
        <f t="shared" si="1"/>
        <v>18</v>
      </c>
      <c r="J28" s="1217"/>
      <c r="K28" s="1229"/>
    </row>
    <row r="29" spans="1:11" ht="16.5" thickBot="1">
      <c r="A29" s="250">
        <f t="shared" si="0"/>
        <v>19</v>
      </c>
      <c r="B29" s="18"/>
      <c r="C29" s="676"/>
      <c r="D29" s="683"/>
      <c r="E29" s="497"/>
      <c r="F29" s="732"/>
      <c r="G29" s="1216">
        <f>SUM(G17:G28)</f>
        <v>0.99059070211590972</v>
      </c>
      <c r="H29" s="732"/>
      <c r="I29" s="250">
        <f t="shared" si="1"/>
        <v>19</v>
      </c>
      <c r="J29" s="250"/>
      <c r="K29" s="1229"/>
    </row>
    <row r="30" spans="1:11" ht="16.5" thickTop="1">
      <c r="B30" s="18"/>
      <c r="C30" s="676"/>
      <c r="D30" s="683"/>
      <c r="E30" s="497"/>
      <c r="F30" s="732"/>
      <c r="G30" s="732"/>
      <c r="H30" s="732"/>
      <c r="J30" s="250"/>
    </row>
    <row r="31" spans="1:11">
      <c r="B31" s="18"/>
      <c r="C31" s="676"/>
      <c r="D31" s="733"/>
      <c r="E31" s="683"/>
      <c r="F31" s="717"/>
      <c r="G31" s="497"/>
      <c r="H31" s="683"/>
      <c r="I31" s="734"/>
      <c r="J31" s="683"/>
    </row>
    <row r="32" spans="1:11" ht="18.75">
      <c r="A32" s="682">
        <v>1</v>
      </c>
      <c r="B32" s="18" t="s">
        <v>169</v>
      </c>
      <c r="C32" s="676"/>
      <c r="D32" s="733"/>
      <c r="E32" s="683"/>
      <c r="F32" s="717"/>
      <c r="G32" s="497"/>
      <c r="H32" s="683"/>
      <c r="I32" s="734"/>
      <c r="J32" s="683"/>
    </row>
    <row r="33" spans="1:10" ht="18.75">
      <c r="A33" s="482">
        <v>2</v>
      </c>
      <c r="B33" s="18" t="s">
        <v>150</v>
      </c>
      <c r="C33" s="676"/>
      <c r="D33" s="733"/>
      <c r="E33" s="683"/>
      <c r="F33" s="717"/>
      <c r="G33" s="497"/>
      <c r="H33" s="683"/>
      <c r="I33" s="734"/>
      <c r="J33" s="683"/>
    </row>
    <row r="34" spans="1:10" ht="18.75">
      <c r="A34" s="682">
        <v>3</v>
      </c>
      <c r="B34" s="219" t="s">
        <v>170</v>
      </c>
      <c r="C34" s="676"/>
      <c r="D34" s="733"/>
      <c r="E34" s="683"/>
      <c r="F34" s="717"/>
      <c r="G34" s="497"/>
      <c r="H34" s="683"/>
      <c r="I34" s="734"/>
      <c r="J34" s="683"/>
    </row>
    <row r="35" spans="1:10" ht="18.75">
      <c r="A35" s="682">
        <v>4</v>
      </c>
      <c r="B35" s="219" t="s">
        <v>171</v>
      </c>
    </row>
    <row r="36" spans="1:10">
      <c r="B36" s="219" t="s">
        <v>172</v>
      </c>
    </row>
  </sheetData>
  <mergeCells count="5">
    <mergeCell ref="B3:H3"/>
    <mergeCell ref="B4:H4"/>
    <mergeCell ref="B5:H5"/>
    <mergeCell ref="B6:H6"/>
    <mergeCell ref="B2:H2"/>
  </mergeCells>
  <printOptions horizontalCentered="1"/>
  <pageMargins left="0.5" right="0.5" top="0.5" bottom="0.5" header="0.25" footer="0.25"/>
  <pageSetup scale="70" orientation="landscape" r:id="rId1"/>
  <headerFooter scaleWithDoc="0">
    <oddFooter>&amp;C&amp;"Times New Roman,Regular"&amp;10Section 5
Interest TU (BP)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8"/>
  <sheetViews>
    <sheetView zoomScale="80" zoomScaleNormal="80" zoomScaleSheetLayoutView="70" workbookViewId="0"/>
  </sheetViews>
  <sheetFormatPr defaultColWidth="9.140625" defaultRowHeight="15.75"/>
  <cols>
    <col min="1" max="1" width="5.140625" style="138" customWidth="1"/>
    <col min="2" max="3" width="21.28515625" style="138" customWidth="1"/>
    <col min="4" max="9" width="22" style="138" customWidth="1"/>
    <col min="10" max="10" width="5.140625" style="104" customWidth="1"/>
    <col min="11" max="11" width="14" style="138" customWidth="1"/>
    <col min="12" max="12" width="13.140625" style="138" customWidth="1"/>
    <col min="13" max="13" width="12.7109375" style="138" customWidth="1"/>
    <col min="14" max="14" width="13.5703125" style="138" customWidth="1"/>
    <col min="15" max="15" width="12.5703125" style="138" customWidth="1"/>
    <col min="16" max="16384" width="9.140625" style="138"/>
  </cols>
  <sheetData>
    <row r="1" spans="1:10">
      <c r="A1" s="1094"/>
      <c r="B1" s="227"/>
      <c r="C1" s="688"/>
      <c r="D1" s="689"/>
      <c r="E1" s="690"/>
      <c r="F1" s="691"/>
      <c r="G1" s="692"/>
      <c r="H1" s="693"/>
      <c r="I1" s="693"/>
      <c r="J1" s="694"/>
    </row>
    <row r="2" spans="1:10">
      <c r="A2" s="1094"/>
      <c r="B2" s="1302" t="str">
        <f>'Summary of Cost Components'!B2:D2</f>
        <v>SAN DIEGO GAS &amp; ELECTRIC COMPANY</v>
      </c>
      <c r="C2" s="1302"/>
      <c r="D2" s="1302"/>
      <c r="E2" s="1302"/>
      <c r="F2" s="1302"/>
      <c r="G2" s="1302"/>
      <c r="H2" s="1302"/>
      <c r="I2" s="1302"/>
      <c r="J2" s="694"/>
    </row>
    <row r="3" spans="1:10">
      <c r="B3" s="1302" t="str">
        <f>'Summary of Cost Components'!B3:D3</f>
        <v>CITIZENS' SHARE OF THE SX-PQ UNDERGROUND LINE SEGMENT</v>
      </c>
      <c r="C3" s="1302"/>
      <c r="D3" s="1302"/>
      <c r="E3" s="1302"/>
      <c r="F3" s="1302"/>
      <c r="G3" s="1302"/>
      <c r="H3" s="1302"/>
      <c r="I3" s="1302"/>
      <c r="J3" s="1094"/>
    </row>
    <row r="4" spans="1:10">
      <c r="B4" s="1303" t="str">
        <f>'E. Sec.5 - Interest TU (BP)'!B4:H4</f>
        <v>Derivation of Interest on the 12-Month True-Up Adjustment Applicable to Citizens Cycle 5</v>
      </c>
      <c r="C4" s="1303"/>
      <c r="D4" s="1303"/>
      <c r="E4" s="1303"/>
      <c r="F4" s="1303"/>
      <c r="G4" s="1303"/>
      <c r="H4" s="1303"/>
      <c r="I4" s="1303"/>
      <c r="J4" s="1094"/>
    </row>
    <row r="5" spans="1:10">
      <c r="B5" s="1303" t="str">
        <f>'D. Sec.4 - TU'!B5:N5</f>
        <v>True-Up Period - January 1, 2022 to December 31, 2022</v>
      </c>
      <c r="C5" s="1303"/>
      <c r="D5" s="1303"/>
      <c r="E5" s="1303"/>
      <c r="F5" s="1303"/>
      <c r="G5" s="1303"/>
      <c r="H5" s="1303"/>
      <c r="I5" s="1303"/>
      <c r="J5" s="1094"/>
    </row>
    <row r="6" spans="1:10">
      <c r="B6" s="1304" t="s">
        <v>3</v>
      </c>
      <c r="C6" s="1304"/>
      <c r="D6" s="1304"/>
      <c r="E6" s="1304"/>
      <c r="F6" s="1304"/>
      <c r="G6" s="1304"/>
      <c r="H6" s="1304"/>
      <c r="I6" s="1304"/>
      <c r="J6" s="1094"/>
    </row>
    <row r="7" spans="1:10">
      <c r="A7" s="1094"/>
      <c r="B7" s="1094"/>
      <c r="C7" s="1094"/>
      <c r="D7" s="1094"/>
      <c r="E7" s="1094"/>
      <c r="F7" s="1094"/>
      <c r="G7" s="1094"/>
      <c r="H7" s="1094"/>
      <c r="I7" s="1094"/>
      <c r="J7" s="1094"/>
    </row>
    <row r="8" spans="1:10">
      <c r="A8" s="250" t="s">
        <v>4</v>
      </c>
      <c r="B8" s="18"/>
      <c r="C8" s="676"/>
      <c r="D8" s="685"/>
      <c r="E8" s="683"/>
      <c r="F8" s="686"/>
      <c r="G8" s="684"/>
      <c r="H8" s="687"/>
      <c r="I8" s="687"/>
      <c r="J8" s="250" t="s">
        <v>4</v>
      </c>
    </row>
    <row r="9" spans="1:10">
      <c r="A9" s="250" t="s">
        <v>5</v>
      </c>
      <c r="B9" s="18"/>
      <c r="C9" s="676"/>
      <c r="D9" s="685"/>
      <c r="E9" s="683"/>
      <c r="F9" s="686"/>
      <c r="G9" s="684"/>
      <c r="H9" s="687"/>
      <c r="I9" s="687"/>
      <c r="J9" s="250" t="s">
        <v>5</v>
      </c>
    </row>
    <row r="10" spans="1:10">
      <c r="B10" s="18"/>
      <c r="C10" s="676"/>
      <c r="D10" s="685"/>
      <c r="E10" s="683"/>
      <c r="F10" s="686"/>
      <c r="G10" s="684"/>
      <c r="H10" s="687"/>
      <c r="I10" s="687"/>
    </row>
    <row r="11" spans="1:10">
      <c r="A11" s="104">
        <v>1</v>
      </c>
      <c r="C11" s="673" t="s">
        <v>102</v>
      </c>
      <c r="D11" s="673" t="s">
        <v>103</v>
      </c>
      <c r="E11" s="673" t="s">
        <v>104</v>
      </c>
      <c r="F11" s="673" t="s">
        <v>105</v>
      </c>
      <c r="G11" s="673" t="s">
        <v>106</v>
      </c>
      <c r="H11" s="673" t="s">
        <v>107</v>
      </c>
      <c r="I11" s="673" t="s">
        <v>108</v>
      </c>
      <c r="J11" s="104">
        <f>A11</f>
        <v>1</v>
      </c>
    </row>
    <row r="12" spans="1:10">
      <c r="A12" s="104">
        <f>A11+1</f>
        <v>2</v>
      </c>
      <c r="C12" s="673"/>
      <c r="D12" s="250"/>
      <c r="E12" s="250" t="str">
        <f>"See Footnote "&amp;A34</f>
        <v>See Footnote 2</v>
      </c>
      <c r="F12" s="250" t="str">
        <f>"See Footnote "&amp;A36</f>
        <v>See Footnote 3</v>
      </c>
      <c r="G12" s="417" t="str">
        <f>"= - ("&amp;F11&amp;" + "&amp;H11&amp;")"</f>
        <v>= - (Col. 4 + Col. 6)</v>
      </c>
      <c r="H12" s="417" t="str">
        <f>"= "&amp;D11&amp;" x "&amp;E11</f>
        <v>= Col. 2 x Col. 3</v>
      </c>
      <c r="I12" s="417" t="str">
        <f>"= "&amp;E11&amp;" - "&amp;G11</f>
        <v>= Col. 3 - Col. 5</v>
      </c>
      <c r="J12" s="104">
        <f>J11+1</f>
        <v>2</v>
      </c>
    </row>
    <row r="13" spans="1:10">
      <c r="A13" s="104">
        <f t="shared" ref="A13:A30" si="0">A12+1</f>
        <v>3</v>
      </c>
      <c r="C13" s="673"/>
      <c r="D13" s="250"/>
      <c r="E13" s="250"/>
      <c r="F13" s="1094"/>
      <c r="I13" s="673"/>
      <c r="J13" s="104">
        <f t="shared" ref="J13:J30" si="1">J12+1</f>
        <v>3</v>
      </c>
    </row>
    <row r="14" spans="1:10">
      <c r="A14" s="104">
        <f t="shared" si="0"/>
        <v>4</v>
      </c>
      <c r="B14" s="18"/>
      <c r="C14" s="676"/>
      <c r="D14" s="556" t="s">
        <v>115</v>
      </c>
      <c r="E14" s="694" t="s">
        <v>124</v>
      </c>
      <c r="F14" s="1094"/>
      <c r="I14" s="695" t="s">
        <v>124</v>
      </c>
      <c r="J14" s="104">
        <f t="shared" si="1"/>
        <v>4</v>
      </c>
    </row>
    <row r="15" spans="1:10">
      <c r="A15" s="104">
        <f t="shared" si="0"/>
        <v>5</v>
      </c>
      <c r="C15" s="676"/>
      <c r="D15" s="556" t="s">
        <v>122</v>
      </c>
      <c r="E15" s="694" t="s">
        <v>173</v>
      </c>
      <c r="F15" s="1094"/>
      <c r="I15" s="695" t="s">
        <v>174</v>
      </c>
      <c r="J15" s="104">
        <f t="shared" si="1"/>
        <v>5</v>
      </c>
    </row>
    <row r="16" spans="1:10" ht="18.75">
      <c r="A16" s="104">
        <f t="shared" si="0"/>
        <v>6</v>
      </c>
      <c r="B16" s="674" t="s">
        <v>124</v>
      </c>
      <c r="C16" s="674" t="s">
        <v>125</v>
      </c>
      <c r="D16" s="505" t="s">
        <v>175</v>
      </c>
      <c r="E16" s="696" t="s">
        <v>176</v>
      </c>
      <c r="F16" s="675" t="s">
        <v>177</v>
      </c>
      <c r="G16" s="505" t="s">
        <v>178</v>
      </c>
      <c r="H16" s="505" t="s">
        <v>122</v>
      </c>
      <c r="I16" s="673" t="s">
        <v>176</v>
      </c>
      <c r="J16" s="104">
        <f t="shared" si="1"/>
        <v>6</v>
      </c>
    </row>
    <row r="17" spans="1:13">
      <c r="A17" s="104">
        <f t="shared" si="0"/>
        <v>7</v>
      </c>
      <c r="B17" s="18" t="s">
        <v>134</v>
      </c>
      <c r="C17" s="697">
        <f>Automation!B3+1</f>
        <v>2023</v>
      </c>
      <c r="D17" s="698">
        <f>AVERAGE('D. Sec.4 - TU'!J19:J30)</f>
        <v>3.1583333333333329E-3</v>
      </c>
      <c r="E17" s="699">
        <f>'E. Sec.5 - Interest TU (BP)'!H28</f>
        <v>26.67805530957364</v>
      </c>
      <c r="F17" s="671">
        <f>-E17/(((1+D17)^12-1)/(D17*(1+D17)^12))</f>
        <v>-2.2690749740916059</v>
      </c>
      <c r="G17" s="671">
        <f>-(F17+H17)</f>
        <v>2.1848167827388689</v>
      </c>
      <c r="H17" s="1226">
        <f>E17*D17</f>
        <v>8.4258191352736739E-2</v>
      </c>
      <c r="I17" s="700">
        <f t="shared" ref="I17:I28" si="2">E17-G17</f>
        <v>24.493238526834773</v>
      </c>
      <c r="J17" s="104">
        <f t="shared" si="1"/>
        <v>7</v>
      </c>
    </row>
    <row r="18" spans="1:13">
      <c r="A18" s="104">
        <f t="shared" si="0"/>
        <v>8</v>
      </c>
      <c r="B18" s="18" t="s">
        <v>135</v>
      </c>
      <c r="C18" s="697">
        <f>$C$17</f>
        <v>2023</v>
      </c>
      <c r="D18" s="684">
        <f t="shared" ref="D18:D28" si="3">$D$17</f>
        <v>3.1583333333333329E-3</v>
      </c>
      <c r="E18" s="678">
        <f t="shared" ref="E18:E28" si="4">I17</f>
        <v>24.493238526834773</v>
      </c>
      <c r="F18" s="672">
        <f>-E17/(((1+D17)^12-1)/(D17*(1+D17)^12))</f>
        <v>-2.2690749740916059</v>
      </c>
      <c r="G18" s="672">
        <f t="shared" ref="G18:G28" si="5">-(F18+H18)</f>
        <v>2.1917171624110194</v>
      </c>
      <c r="H18" s="1227">
        <f t="shared" ref="H18:H28" si="6">E18*D18</f>
        <v>7.7357811680586475E-2</v>
      </c>
      <c r="I18" s="701">
        <f t="shared" si="2"/>
        <v>22.301521364423753</v>
      </c>
      <c r="J18" s="104">
        <f t="shared" si="1"/>
        <v>8</v>
      </c>
      <c r="L18" s="702"/>
    </row>
    <row r="19" spans="1:13">
      <c r="A19" s="104">
        <f t="shared" si="0"/>
        <v>9</v>
      </c>
      <c r="B19" s="18" t="s">
        <v>159</v>
      </c>
      <c r="C19" s="697">
        <f t="shared" ref="C19:C28" si="7">$C$17</f>
        <v>2023</v>
      </c>
      <c r="D19" s="684">
        <f t="shared" si="3"/>
        <v>3.1583333333333329E-3</v>
      </c>
      <c r="E19" s="678">
        <f t="shared" si="4"/>
        <v>22.301521364423753</v>
      </c>
      <c r="F19" s="672">
        <f>-E17/(((1+D17)^12-1)/(D17*(1+D17)^12))</f>
        <v>-2.2690749740916059</v>
      </c>
      <c r="G19" s="672">
        <f t="shared" si="5"/>
        <v>2.1986393357823006</v>
      </c>
      <c r="H19" s="1227">
        <f t="shared" si="6"/>
        <v>7.0435638309305007E-2</v>
      </c>
      <c r="I19" s="701">
        <f t="shared" si="2"/>
        <v>20.102882028641453</v>
      </c>
      <c r="J19" s="104">
        <f t="shared" si="1"/>
        <v>9</v>
      </c>
    </row>
    <row r="20" spans="1:13">
      <c r="A20" s="104">
        <f t="shared" si="0"/>
        <v>10</v>
      </c>
      <c r="B20" s="18" t="s">
        <v>160</v>
      </c>
      <c r="C20" s="697">
        <f t="shared" si="7"/>
        <v>2023</v>
      </c>
      <c r="D20" s="684">
        <f t="shared" si="3"/>
        <v>3.1583333333333329E-3</v>
      </c>
      <c r="E20" s="678">
        <f t="shared" si="4"/>
        <v>20.102882028641453</v>
      </c>
      <c r="F20" s="672">
        <f>-E17/(((1+D17)^12-1)/(D17*(1+D17)^12))</f>
        <v>-2.2690749740916059</v>
      </c>
      <c r="G20" s="672">
        <f t="shared" si="5"/>
        <v>2.2055833716844799</v>
      </c>
      <c r="H20" s="1227">
        <f t="shared" si="6"/>
        <v>6.3491602407125911E-2</v>
      </c>
      <c r="I20" s="701">
        <f t="shared" si="2"/>
        <v>17.897298656956973</v>
      </c>
      <c r="J20" s="104">
        <f t="shared" si="1"/>
        <v>10</v>
      </c>
    </row>
    <row r="21" spans="1:13">
      <c r="A21" s="104">
        <f t="shared" si="0"/>
        <v>11</v>
      </c>
      <c r="B21" s="18" t="s">
        <v>161</v>
      </c>
      <c r="C21" s="697">
        <f t="shared" si="7"/>
        <v>2023</v>
      </c>
      <c r="D21" s="684">
        <f t="shared" si="3"/>
        <v>3.1583333333333329E-3</v>
      </c>
      <c r="E21" s="678">
        <f t="shared" si="4"/>
        <v>17.897298656956973</v>
      </c>
      <c r="F21" s="672">
        <f>-E17/(((1+D17)^12-1)/(D17*(1+D17)^12))</f>
        <v>-2.2690749740916059</v>
      </c>
      <c r="G21" s="672">
        <f t="shared" si="5"/>
        <v>2.2125493391667166</v>
      </c>
      <c r="H21" s="1227">
        <f t="shared" si="6"/>
        <v>5.6525634924889101E-2</v>
      </c>
      <c r="I21" s="701">
        <f t="shared" si="2"/>
        <v>15.684749317790256</v>
      </c>
      <c r="J21" s="104">
        <f t="shared" si="1"/>
        <v>11</v>
      </c>
    </row>
    <row r="22" spans="1:13">
      <c r="A22" s="104">
        <f t="shared" si="0"/>
        <v>12</v>
      </c>
      <c r="B22" s="18" t="s">
        <v>179</v>
      </c>
      <c r="C22" s="697">
        <f t="shared" si="7"/>
        <v>2023</v>
      </c>
      <c r="D22" s="684">
        <f t="shared" si="3"/>
        <v>3.1583333333333329E-3</v>
      </c>
      <c r="E22" s="678">
        <f t="shared" si="4"/>
        <v>15.684749317790256</v>
      </c>
      <c r="F22" s="672">
        <f>-E17/(((1+D17)^12-1)/(D17*(1+D17)^12))</f>
        <v>-2.2690749740916059</v>
      </c>
      <c r="G22" s="672">
        <f t="shared" si="5"/>
        <v>2.2195373074962514</v>
      </c>
      <c r="H22" s="1227">
        <f t="shared" si="6"/>
        <v>4.9537666595354218E-2</v>
      </c>
      <c r="I22" s="701">
        <f t="shared" si="2"/>
        <v>13.465212010294005</v>
      </c>
      <c r="J22" s="104">
        <f t="shared" si="1"/>
        <v>12</v>
      </c>
    </row>
    <row r="23" spans="1:13">
      <c r="A23" s="104">
        <f t="shared" si="0"/>
        <v>13</v>
      </c>
      <c r="B23" s="18" t="s">
        <v>163</v>
      </c>
      <c r="C23" s="697">
        <f t="shared" si="7"/>
        <v>2023</v>
      </c>
      <c r="D23" s="684">
        <f t="shared" si="3"/>
        <v>3.1583333333333329E-3</v>
      </c>
      <c r="E23" s="678">
        <f t="shared" si="4"/>
        <v>13.465212010294005</v>
      </c>
      <c r="F23" s="672">
        <f>-E17/(((1+D17)^12-1)/(D17*(1+D17)^12))</f>
        <v>-2.2690749740916059</v>
      </c>
      <c r="G23" s="672">
        <f t="shared" si="5"/>
        <v>2.2265473461590939</v>
      </c>
      <c r="H23" s="1227">
        <f t="shared" si="6"/>
        <v>4.2527627932511892E-2</v>
      </c>
      <c r="I23" s="701">
        <f t="shared" si="2"/>
        <v>11.238664664134911</v>
      </c>
      <c r="J23" s="104">
        <f t="shared" si="1"/>
        <v>13</v>
      </c>
    </row>
    <row r="24" spans="1:13">
      <c r="A24" s="104">
        <f t="shared" si="0"/>
        <v>14</v>
      </c>
      <c r="B24" s="18" t="s">
        <v>164</v>
      </c>
      <c r="C24" s="697">
        <f t="shared" si="7"/>
        <v>2023</v>
      </c>
      <c r="D24" s="684">
        <f t="shared" si="3"/>
        <v>3.1583333333333329E-3</v>
      </c>
      <c r="E24" s="678">
        <f t="shared" si="4"/>
        <v>11.238664664134911</v>
      </c>
      <c r="F24" s="672">
        <f>-E17/(((1+D17)^12-1)/(D17*(1+D17)^12))</f>
        <v>-2.2690749740916059</v>
      </c>
      <c r="G24" s="672">
        <f t="shared" si="5"/>
        <v>2.2335795248607133</v>
      </c>
      <c r="H24" s="1227">
        <f t="shared" si="6"/>
        <v>3.5495449230892755E-2</v>
      </c>
      <c r="I24" s="701">
        <f t="shared" si="2"/>
        <v>9.0050851392741968</v>
      </c>
      <c r="J24" s="104">
        <f t="shared" si="1"/>
        <v>14</v>
      </c>
    </row>
    <row r="25" spans="1:13">
      <c r="A25" s="104">
        <f t="shared" si="0"/>
        <v>15</v>
      </c>
      <c r="B25" s="18" t="s">
        <v>165</v>
      </c>
      <c r="C25" s="697">
        <f t="shared" si="7"/>
        <v>2023</v>
      </c>
      <c r="D25" s="684">
        <f t="shared" si="3"/>
        <v>3.1583333333333329E-3</v>
      </c>
      <c r="E25" s="678">
        <f t="shared" si="4"/>
        <v>9.0050851392741968</v>
      </c>
      <c r="F25" s="672">
        <f>-E17/(((1+D17)^12-1)/(D17*(1+D17)^12))</f>
        <v>-2.2690749740916059</v>
      </c>
      <c r="G25" s="672">
        <f t="shared" si="5"/>
        <v>2.2406339135267315</v>
      </c>
      <c r="H25" s="1227">
        <f t="shared" si="6"/>
        <v>2.8441060564874335E-2</v>
      </c>
      <c r="I25" s="701">
        <f t="shared" si="2"/>
        <v>6.7644512257474654</v>
      </c>
      <c r="J25" s="104">
        <f t="shared" si="1"/>
        <v>15</v>
      </c>
      <c r="K25" s="703"/>
    </row>
    <row r="26" spans="1:13">
      <c r="A26" s="104">
        <f t="shared" si="0"/>
        <v>16</v>
      </c>
      <c r="B26" s="18" t="s">
        <v>166</v>
      </c>
      <c r="C26" s="697">
        <f t="shared" si="7"/>
        <v>2023</v>
      </c>
      <c r="D26" s="684">
        <f t="shared" si="3"/>
        <v>3.1583333333333329E-3</v>
      </c>
      <c r="E26" s="678">
        <f t="shared" si="4"/>
        <v>6.7644512257474654</v>
      </c>
      <c r="F26" s="672">
        <f>-E17/(((1+D17)^12-1)/(D17*(1+D17)^12))</f>
        <v>-2.2690749740916059</v>
      </c>
      <c r="G26" s="672">
        <f t="shared" si="5"/>
        <v>2.2477105823036201</v>
      </c>
      <c r="H26" s="1227">
        <f t="shared" si="6"/>
        <v>2.1364391787985743E-2</v>
      </c>
      <c r="I26" s="701">
        <f t="shared" si="2"/>
        <v>4.5167406434438453</v>
      </c>
      <c r="J26" s="104">
        <f t="shared" si="1"/>
        <v>16</v>
      </c>
      <c r="K26" s="703"/>
      <c r="M26" s="680"/>
    </row>
    <row r="27" spans="1:13">
      <c r="A27" s="104">
        <f t="shared" si="0"/>
        <v>17</v>
      </c>
      <c r="B27" s="18" t="s">
        <v>167</v>
      </c>
      <c r="C27" s="697">
        <f t="shared" si="7"/>
        <v>2023</v>
      </c>
      <c r="D27" s="684">
        <f t="shared" si="3"/>
        <v>3.1583333333333329E-3</v>
      </c>
      <c r="E27" s="678">
        <f t="shared" si="4"/>
        <v>4.5167406434438453</v>
      </c>
      <c r="F27" s="672">
        <f>-E17/(((1+D17)^12-1)/(D17*(1+D17)^12))</f>
        <v>-2.2690749740916059</v>
      </c>
      <c r="G27" s="672">
        <f t="shared" si="5"/>
        <v>2.2548096015593959</v>
      </c>
      <c r="H27" s="1227">
        <f t="shared" si="6"/>
        <v>1.4265372532210142E-2</v>
      </c>
      <c r="I27" s="701">
        <f t="shared" si="2"/>
        <v>2.2619310418844494</v>
      </c>
      <c r="J27" s="104">
        <f t="shared" si="1"/>
        <v>17</v>
      </c>
      <c r="K27" s="703"/>
    </row>
    <row r="28" spans="1:13">
      <c r="A28" s="104">
        <f t="shared" si="0"/>
        <v>18</v>
      </c>
      <c r="B28" s="955" t="s">
        <v>168</v>
      </c>
      <c r="C28" s="1109">
        <f t="shared" si="7"/>
        <v>2023</v>
      </c>
      <c r="D28" s="1110">
        <f t="shared" si="3"/>
        <v>3.1583333333333329E-3</v>
      </c>
      <c r="E28" s="1111">
        <f t="shared" si="4"/>
        <v>2.2619310418844494</v>
      </c>
      <c r="F28" s="1112">
        <f>-E17/(((1+D17)^12-1)/(D17*(1+D17)^12))</f>
        <v>-2.2690749740916059</v>
      </c>
      <c r="G28" s="1112">
        <f t="shared" si="5"/>
        <v>2.2619310418843206</v>
      </c>
      <c r="H28" s="1228">
        <f t="shared" si="6"/>
        <v>7.1439322072850515E-3</v>
      </c>
      <c r="I28" s="1113">
        <f t="shared" si="2"/>
        <v>1.2878587085651816E-13</v>
      </c>
      <c r="J28" s="104">
        <f t="shared" si="1"/>
        <v>18</v>
      </c>
    </row>
    <row r="29" spans="1:13" ht="18.75">
      <c r="A29" s="104">
        <f t="shared" si="0"/>
        <v>19</v>
      </c>
      <c r="B29" s="227" t="s">
        <v>888</v>
      </c>
      <c r="C29" s="697"/>
      <c r="D29" s="684"/>
      <c r="E29" s="901"/>
      <c r="F29" s="902"/>
      <c r="G29" s="902"/>
      <c r="H29" s="1227">
        <f>'E. Sec.5 - Interest TU (BP)'!G29</f>
        <v>0.99059070211590972</v>
      </c>
      <c r="I29" s="903"/>
      <c r="J29" s="104">
        <f t="shared" si="1"/>
        <v>19</v>
      </c>
    </row>
    <row r="30" spans="1:13" ht="16.5" thickBot="1">
      <c r="A30" s="104">
        <f t="shared" si="0"/>
        <v>20</v>
      </c>
      <c r="B30" s="227" t="s">
        <v>180</v>
      </c>
      <c r="C30" s="676"/>
      <c r="D30" s="685"/>
      <c r="E30" s="704"/>
      <c r="F30" s="681"/>
      <c r="H30" s="1232">
        <f>SUM(H17:H29)</f>
        <v>1.5414350816416671</v>
      </c>
      <c r="I30" s="681"/>
      <c r="J30" s="104">
        <f t="shared" si="1"/>
        <v>20</v>
      </c>
    </row>
    <row r="31" spans="1:13" ht="16.5" thickTop="1">
      <c r="A31" s="104"/>
    </row>
    <row r="32" spans="1:13">
      <c r="A32" s="104"/>
    </row>
    <row r="33" spans="1:2" ht="18.75">
      <c r="A33" s="682">
        <v>1</v>
      </c>
      <c r="B33" s="138" t="s">
        <v>181</v>
      </c>
    </row>
    <row r="34" spans="1:2" ht="18.75">
      <c r="A34" s="682">
        <v>2</v>
      </c>
      <c r="B34" s="138" t="s">
        <v>182</v>
      </c>
    </row>
    <row r="35" spans="1:2" ht="18.75">
      <c r="A35" s="682"/>
      <c r="B35" s="138" t="s">
        <v>183</v>
      </c>
    </row>
    <row r="36" spans="1:2" ht="18.75">
      <c r="A36" s="682">
        <v>3</v>
      </c>
      <c r="B36" s="138" t="s">
        <v>184</v>
      </c>
    </row>
    <row r="37" spans="1:2">
      <c r="B37" s="138" t="s">
        <v>185</v>
      </c>
    </row>
    <row r="38" spans="1:2" ht="18.75">
      <c r="A38" s="682">
        <v>4</v>
      </c>
      <c r="B38" s="138" t="str">
        <f>"Total Base Period Interest comes from Section 5; Page Interest TU (BP); Col. 5; Line "&amp;'E. Sec.5 - Interest TU (BP)'!A29</f>
        <v>Total Base Period Interest comes from Section 5; Page Interest TU (BP); Col. 5; Line 19</v>
      </c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Roman,Regular"&amp;10Section 5
Interest TU (CY)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BA89-ED55-4C3F-975A-5A56332A7399}">
  <ds:schemaRefs>
    <ds:schemaRef ds:uri="http://schemas.microsoft.com/office/2006/metadata/properties"/>
    <ds:schemaRef ds:uri="http://purl.org/dc/dcmitype/"/>
    <ds:schemaRef ds:uri="http://www.w3.org/XML/1998/namespace"/>
    <ds:schemaRef ds:uri="2e183c04-4e8d-4715-bce7-54b439dc82e0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0074A2-2192-4C48-8823-140B83F34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B8DE4D-E370-4BFA-AFFE-9F6CD5EB49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3</vt:i4>
      </vt:variant>
    </vt:vector>
  </HeadingPairs>
  <TitlesOfParts>
    <vt:vector size="63" baseType="lpstr">
      <vt:lpstr>Summary of Cost Components</vt:lpstr>
      <vt:lpstr>A. Sec.1 - Direct Maintenance</vt:lpstr>
      <vt:lpstr>B. Sec.2 - Non-Direct Expenses</vt:lpstr>
      <vt:lpstr>C. Sec.3 - Other Costs</vt:lpstr>
      <vt:lpstr>D. Sec.4 - TU</vt:lpstr>
      <vt:lpstr>D1. Sec.4 - C5 Invoice Summary</vt:lpstr>
      <vt:lpstr>D2. Sec.4 - C4 Invoice Summary</vt:lpstr>
      <vt:lpstr>E. Sec.5 - Interest TU (BP)</vt:lpstr>
      <vt:lpstr>E1. Sec.5 - Interest TU (CY)</vt:lpstr>
      <vt:lpstr>F. Sec.6 - Cost Stmnts</vt:lpstr>
      <vt:lpstr>Stmt AD</vt:lpstr>
      <vt:lpstr>AD-1</vt:lpstr>
      <vt:lpstr>AD-2</vt:lpstr>
      <vt:lpstr>AD-3</vt:lpstr>
      <vt:lpstr>AD-4</vt:lpstr>
      <vt:lpstr>AD-5</vt:lpstr>
      <vt:lpstr>AD-6</vt:lpstr>
      <vt:lpstr>AD-6A</vt:lpstr>
      <vt:lpstr>AD-6B</vt:lpstr>
      <vt:lpstr>AD-6C</vt:lpstr>
      <vt:lpstr>AD-7</vt:lpstr>
      <vt:lpstr>AD-8</vt:lpstr>
      <vt:lpstr>AD-9</vt:lpstr>
      <vt:lpstr>AD-10</vt:lpstr>
      <vt:lpstr>Stmt AE</vt:lpstr>
      <vt:lpstr>AE-1</vt:lpstr>
      <vt:lpstr>AE-1A</vt:lpstr>
      <vt:lpstr>AE-1B</vt:lpstr>
      <vt:lpstr>AE-1C</vt:lpstr>
      <vt:lpstr>AE-2</vt:lpstr>
      <vt:lpstr>AE-3</vt:lpstr>
      <vt:lpstr>AE-4</vt:lpstr>
      <vt:lpstr>Stmt AF</vt:lpstr>
      <vt:lpstr>AF-1</vt:lpstr>
      <vt:lpstr>AF-2</vt:lpstr>
      <vt:lpstr>AF-3</vt:lpstr>
      <vt:lpstr>Stmt AG</vt:lpstr>
      <vt:lpstr>AG-1</vt:lpstr>
      <vt:lpstr>AG-1A</vt:lpstr>
      <vt:lpstr>Stmt AH</vt:lpstr>
      <vt:lpstr>AH-1</vt:lpstr>
      <vt:lpstr>AH-2</vt:lpstr>
      <vt:lpstr>AH-3</vt:lpstr>
      <vt:lpstr>Stmt AI</vt:lpstr>
      <vt:lpstr>AI-1</vt:lpstr>
      <vt:lpstr>Stmt AJ</vt:lpstr>
      <vt:lpstr>AJ-1</vt:lpstr>
      <vt:lpstr>AJ-2</vt:lpstr>
      <vt:lpstr>Stmt AK</vt:lpstr>
      <vt:lpstr>Stmt AL</vt:lpstr>
      <vt:lpstr>AL-1</vt:lpstr>
      <vt:lpstr>AL-2</vt:lpstr>
      <vt:lpstr>Stmt AR</vt:lpstr>
      <vt:lpstr>AR-1</vt:lpstr>
      <vt:lpstr>Stmt AV</vt:lpstr>
      <vt:lpstr>AV-2A</vt:lpstr>
      <vt:lpstr>AV-2B</vt:lpstr>
      <vt:lpstr>AV-4</vt:lpstr>
      <vt:lpstr>Stmt Misc.</vt:lpstr>
      <vt:lpstr>Automation</vt:lpstr>
      <vt:lpstr>'AG-1'!Print_Area</vt:lpstr>
      <vt:lpstr>'AL-1'!Print_Area</vt:lpstr>
      <vt:lpstr>'Stmt AK'!Print_Area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sward</dc:creator>
  <cp:keywords/>
  <dc:description/>
  <cp:lastModifiedBy>Pham, Jenny L.</cp:lastModifiedBy>
  <cp:revision/>
  <cp:lastPrinted>2023-10-10T08:22:33Z</cp:lastPrinted>
  <dcterms:created xsi:type="dcterms:W3CDTF">2016-08-29T13:22:03Z</dcterms:created>
  <dcterms:modified xsi:type="dcterms:W3CDTF">2023-10-10T08:27:56Z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0134-CCFA-AAA3-AE42</vt:lpwstr>
  </property>
  <property fmtid="{D5CDD505-2E9C-101B-9397-08002B2CF9AE}" pid="3" name="ContentTypeId">
    <vt:lpwstr>0x01010051C0C4427B38DE4E8452B3A89053EC88</vt:lpwstr>
  </property>
  <property fmtid="{D5CDD505-2E9C-101B-9397-08002B2CF9AE}" pid="4" name="Order">
    <vt:r8>76800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