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X-PQ/Cycle 6 Annual Filing/SX-PQ Cycle 6 Oct Filing/Revised SX-PQ Cost Adj Workpapers/"/>
    </mc:Choice>
  </mc:AlternateContent>
  <xr:revisionPtr revIDLastSave="360" documentId="8_{D8A1B3FC-98FE-437E-A7A1-588FED07FB6F}" xr6:coauthVersionLast="47" xr6:coauthVersionMax="47" xr10:uidLastSave="{6ABE1330-C1C4-4CB0-8290-C3C6D909A03C}"/>
  <bookViews>
    <workbookView xWindow="-120" yWindow="-120" windowWidth="29040" windowHeight="15840" tabRatio="815" firstSheet="10" activeTab="17" xr2:uid="{00000000-000D-0000-FFFF-FFFF00000000}"/>
  </bookViews>
  <sheets>
    <sheet name="Pg1 App XII C3 Cost Adj" sheetId="171" r:id="rId1"/>
    <sheet name="Pg2 App XII C3 Comparison" sheetId="170" r:id="rId2"/>
    <sheet name="Pg3 Rev App XII C3" sheetId="172" r:id="rId3"/>
    <sheet name="Pg4 App XII C3-Cost Adj" sheetId="169" r:id="rId4"/>
    <sheet name="Pg4.1 Orig-As Filed App XII C3" sheetId="112" r:id="rId5"/>
    <sheet name="Pg5 Rev Sec 2-Non-Direct Exp" sheetId="173" r:id="rId6"/>
    <sheet name="Pg6 As Filed Sec. 2-Cost Adj" sheetId="174" r:id="rId7"/>
    <sheet name="Pg7 Rev Sec. 4-TU" sheetId="176" r:id="rId8"/>
    <sheet name="Pg7.1 Rev Sec 4-TU-Cost Adj" sheetId="175" r:id="rId9"/>
    <sheet name="Pg8 Rev Stmt AH" sheetId="194" r:id="rId10"/>
    <sheet name="Pg8.1 Rev Stmt AH-Cost Adj" sheetId="195" r:id="rId11"/>
    <sheet name="Pg8.2 Rev AH-3" sheetId="213" r:id="rId12"/>
    <sheet name="Pg8.3 Rev AH-3-Cost Adj" sheetId="198" r:id="rId13"/>
    <sheet name="Pg9 Rev Stmt AL" sheetId="205" r:id="rId14"/>
    <sheet name="Pg9.1 Rev Stmt AL-Cost Adj" sheetId="204" r:id="rId15"/>
    <sheet name="Pg10 Rev Stmt AV" sheetId="207" r:id="rId16"/>
    <sheet name="Pg11 As Filed Stmt AV-Cost Adj" sheetId="206" r:id="rId17"/>
    <sheet name="Pg12 Rev AV-4" sheetId="209" r:id="rId18"/>
    <sheet name="Pg13 As Filed AV-4-Cost Adj" sheetId="208" r:id="rId19"/>
    <sheet name="Pg14 App XII C3 Int Calc" sheetId="210" r:id="rId20"/>
  </sheets>
  <definedNames>
    <definedName name="____May2007" hidden="1">{"2002Frcst","05Month",FALSE,"Frcst Format 2002"}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hidden="1">{"2002Frcst","05Month",FALSE,"Frcst Format 2002"}</definedName>
    <definedName name="__123Graph_A" hidden="1">#REF!</definedName>
    <definedName name="__123Graph_AGraph2" hidden="1">#REF!</definedName>
    <definedName name="__123Graph_AGraph4" hidden="1">#REF!</definedName>
    <definedName name="__123Graph_B" hidden="1">#REF!</definedName>
    <definedName name="__123Graph_C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D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E" hidden="1">#REF!</definedName>
    <definedName name="__123Graph_F" hidden="1">#REF!</definedName>
    <definedName name="__123Graph_FCHART4" hidden="1">#REF!</definedName>
    <definedName name="__123Graph_FCHART5" hidden="1">#REF!</definedName>
    <definedName name="__123Graph_X" hidden="1">#REF!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FDS_HYPERLINK_TOGGLE_STATE__" hidden="1">"ON"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hidden="1">{"2002Frcst","05Month",FALSE,"Frcst Format 2002"}</definedName>
    <definedName name="_123Graph_CHART3" hidden="1">#REF!</definedName>
    <definedName name="_123Graph_E" hidden="1">#REF!</definedName>
    <definedName name="_AMO_SingleObject_157336487_ROM_F0.SEC2.Print_1.SEC1.SEC1.BDY.REV_MO_201601_Data_Set_WORK_BILLDET1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hidden="1">#REF!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Fill" hidden="1">#REF!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hidden="1">{"2002Frcst","05Month",FALSE,"Frcst Format 2002"}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#REF!</definedName>
    <definedName name="_Table1_Out" hidden="1">#REF!</definedName>
    <definedName name="_Table2_Out" hidden="1">#REF!</definedName>
    <definedName name="_w2" hidden="1">{"SourcesUses",#N/A,TRUE,"CFMODEL";"TransOverview",#N/A,TRUE,"CFMODEL"}</definedName>
    <definedName name="a" hidden="1">{#N/A,#N/A,TRUE,"SDGE";#N/A,#N/A,TRUE,"GBU";#N/A,#N/A,TRUE,"TBU";#N/A,#N/A,TRUE,"EDBU";#N/A,#N/A,TRUE,"ExclCC"}</definedName>
    <definedName name="aaa" hidden="1">{"Income Statement",#N/A,FALSE,"CFMODEL";"Balance Sheet",#N/A,FALSE,"CFMODEL"}</definedName>
    <definedName name="aaaaa" hidden="1">{#N/A,#N/A,TRUE,"SDGE";#N/A,#N/A,TRUE,"GBU";#N/A,#N/A,TRUE,"TBU";#N/A,#N/A,TRUE,"EDBU";#N/A,#N/A,TRUE,"ExclCC"}</definedName>
    <definedName name="aaaaaaaaaaaaa" hidden="1">{"SourcesUses",#N/A,TRUE,"CFMODEL";"TransOverview",#N/A,TRUE,"CFMODEL"}</definedName>
    <definedName name="abc" hidden="1">"3Q12KMQDU0T4XKGIPPUR4OEMV"</definedName>
    <definedName name="ad" hidden="1">{"var_page",#N/A,FALSE,"template"}</definedName>
    <definedName name="adafdadf" hidden="1">{"Var_page",#N/A,FALSE,"template"}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G" hidden="1">#REF!</definedName>
    <definedName name="anscount" hidden="1">2</definedName>
    <definedName name="ARange24" hidden="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" hidden="1">{#N/A,#N/A,TRUE,"SDGE";#N/A,#N/A,TRUE,"GBU";#N/A,#N/A,TRUE,"TBU";#N/A,#N/A,TRUE,"EDBU";#N/A,#N/A,TRUE,"ExclCC"}</definedName>
    <definedName name="BEx00GHMXV67V1IG4T3LJKINJOCE" hidden="1">Addn #REF!</definedName>
    <definedName name="BEx00NZ7E5MCKBWJU6YPJ0CIZGM1" hidden="1">#REF!</definedName>
    <definedName name="BEx00RKU39JBM7SUSNPNGYECEJZV" hidden="1">Addn #REF!</definedName>
    <definedName name="BEx00VMF6OHXZLZWCWECCE3SHOY6" hidden="1">Functional #REF!</definedName>
    <definedName name="BEx018IE720H8Z2DTAJU85MF1MQT" hidden="1">Addn #REF!</definedName>
    <definedName name="BEx018NP0S5GEJKB3HT0W5HEFFUW" hidden="1">Functional #REF!</definedName>
    <definedName name="BEx01A5MM0X3EW0B595MY7WRLW01" hidden="1">Addn #REF!</definedName>
    <definedName name="BEx01D087DSHBK4MOGCV0J1A9O5C" hidden="1">SEU Func #REF!</definedName>
    <definedName name="BEx01F3QM3HEPCWWJJEX0L0RVWAN" hidden="1">#REF!</definedName>
    <definedName name="BEx01KCHKZJCF91ETSRPIFWQQAC1" hidden="1">Addn #REF!</definedName>
    <definedName name="BEx028MGCR0BV1OQZV038K5A4KR7" hidden="1">Addn #REF!</definedName>
    <definedName name="BEx02JEVS5Y9ANXL35AI60XC861X" hidden="1">Addn #REF!</definedName>
    <definedName name="BEx04128O1W72UO1QC7UCPNNZG9Z" hidden="1">Financial &amp; Non-#REF!</definedName>
    <definedName name="BEx1EQLVKGR0YQ630F75LKBMUD9Q" hidden="1">#REF!</definedName>
    <definedName name="BEx1FMDJGHELQUASX5HFL9J4RE3D" hidden="1">SEU Func #REF!</definedName>
    <definedName name="BEx1FN9XD8476NWAOIPFIQFAP91R" hidden="1">Addn #REF!</definedName>
    <definedName name="BEx1G128RXM0XJFJS75YTQJP1Q9R" hidden="1">SEU Func #REF!</definedName>
    <definedName name="BEx1G9AW6BYCF2WYM1TVBBM7QSC9" hidden="1">#REF!</definedName>
    <definedName name="BEx1GFG4TPKIQWVZUC3BRZ33360O" hidden="1">#REF!</definedName>
    <definedName name="BEx1GH8V32T74W3SDLZNWIEFOJMB" hidden="1">SEU Func Area by #REF!</definedName>
    <definedName name="BEx1GJSHRDLE9CKAZP6VYGNF8WAG" hidden="1">SEU Func Area by #REF!</definedName>
    <definedName name="BEx1GP6Q18Y44JCRA9DPKE7V7882" hidden="1">SEU Func #REF!</definedName>
    <definedName name="BEx1GV6HL426WS23WUK9S7XW7FX9" hidden="1">Addn #REF!</definedName>
    <definedName name="BEx1GY13FUWX193W8IDTUD617BUN" hidden="1">Functional #REF!</definedName>
    <definedName name="BEx1HQCNLA2KXL1D5E998O0G20TZ" hidden="1">SEU Driver #REF!</definedName>
    <definedName name="BEx1HT78JLDAMJRZ3P9PTYM0U8XS" hidden="1">SCG Func #REF!</definedName>
    <definedName name="BEx1ID9XWI0EXHZYLQIL8D0C0WH5" hidden="1">Addn #REF!</definedName>
    <definedName name="BEx1IK0TJV8J9XYO8DS8X7JYCB14" hidden="1">SEU Func #REF!</definedName>
    <definedName name="BEx1J0T1LZ9TBG36H8UB1M80V9AK" hidden="1">Functional #REF!</definedName>
    <definedName name="BEx1J4916QYSR8WPX1XHGOWA103Q" hidden="1">SEU Func Comm by #REF!</definedName>
    <definedName name="BEx1JF6S184IMMIL22WMI24WC7HD" hidden="1">Addn #REF!</definedName>
    <definedName name="BEx1JGDY5NT12UZS6711YPIP9E4I" hidden="1">#REF!</definedName>
    <definedName name="BEx1JPJ3GNL4JBOQ0VTJ2F27GORL" hidden="1">[0]!SDGE Func #REF!</definedName>
    <definedName name="BEx1L5DJE8K7R3Y5C1GBMPG80XDP" hidden="1">Addn #REF!</definedName>
    <definedName name="BEx1L7RW4E4AHIWD20SD8XXF8XY4" hidden="1">SEU Driver #REF!</definedName>
    <definedName name="BEx1LKYMFDZHFZ6EQ50UC0ZEGJGN" hidden="1">Addn #REF!</definedName>
    <definedName name="BEx1LSGD5W6G03IPF1V0A8O9XNWR" hidden="1">Functional #REF!</definedName>
    <definedName name="BEx1LVWJKI98V71VUT7OAJ5CAMKN" hidden="1">Addn #REF!</definedName>
    <definedName name="BEx1MHBUVWYO0XOUSCOV752SUYZE" hidden="1">Financial &amp; Non-#REF!</definedName>
    <definedName name="BEx1NAJS89E9Y0NV0RM3KUU5CB5R" hidden="1">Addn #REF!</definedName>
    <definedName name="BEx1NQKYIAPPIOD2SMZ7820ZNOSF" hidden="1">Addn #REF!</definedName>
    <definedName name="BEx1NVOE7GJ6WKW7I9CREZ2GP8TD" hidden="1">Addn #REF!</definedName>
    <definedName name="BEx1O54CDEKZNW8NQYXSU5O9H2LF" hidden="1">[0]!SDGE Func #REF!</definedName>
    <definedName name="BEx1OTUFQX114IUT3GN0TVYSYB5M" hidden="1">Addn #REF!</definedName>
    <definedName name="BEx1P3FODKMSYNP46H6VG2XDKGC7" hidden="1">Financial &amp; Non-#REF!</definedName>
    <definedName name="BEx1Q0EIX8A33V3LFNH493ILI0HX" hidden="1">Addn #REF!</definedName>
    <definedName name="BEx1Q0JTU5M0YHKGIG4H1DP3QQOY" hidden="1">SEU Func #REF!</definedName>
    <definedName name="BEx1R3TB96C84UAF24S3ITS3JH5R" hidden="1">SCG Func #REF!</definedName>
    <definedName name="BEx1R49EW58CQXI9JK7BKROC7KN1" hidden="1">Addn #REF!</definedName>
    <definedName name="BEx1RGJR2PVQ3D3SA5X6L9QPM7F4" hidden="1">Functional #REF!</definedName>
    <definedName name="BEx1RME8LVJIKMHRI4PHSH9V2CVY" hidden="1">Addn #REF!</definedName>
    <definedName name="BEx1ROXUWY4JF43R22YGQV8VS0G7" hidden="1">Addn #REF!</definedName>
    <definedName name="BEx1S29YABN753A629BX6PXBFA96" hidden="1">Addn #REF!</definedName>
    <definedName name="BEx1S5Q3TCX96WTELY74HA2ASVJT" hidden="1">#REF!</definedName>
    <definedName name="BEx1SDTFFOGLBUZL27LL4A0YI943" hidden="1">Addn #REF!</definedName>
    <definedName name="BEx1SIWTLD5J30EPTJW7XO561SJG" hidden="1">#REF!</definedName>
    <definedName name="BEx1SMCVHCJUCMC4FVFM78N6H72U" hidden="1">SEU Func #REF!</definedName>
    <definedName name="BEx1STULMAWD0NEAREILM64OPY00" hidden="1">Addn #REF!</definedName>
    <definedName name="BEx1SUWGDLGRUWXJTM1C7TJGIJR8" hidden="1">Addn #REF!</definedName>
    <definedName name="BEx1T3QNED4G45NO2INJRTKAD45T" hidden="1">Functional #REF!</definedName>
    <definedName name="BEx1T8U2JOKCUEEX4YLT03SKWQ6G" hidden="1">[0]!SDGE Func #REF!</definedName>
    <definedName name="BEx1TETUI9OXKL0Z7E9VQDC08FJG" hidden="1">Addn #REF!</definedName>
    <definedName name="BEx1UIJDWIKALV3EM8BJYPLENFMV" hidden="1">Addn #REF!</definedName>
    <definedName name="BEx1UWMHP3RS3MO76CVAU4P9KH2B" hidden="1">SEU Func Area by #REF!</definedName>
    <definedName name="BEx1V5M8GZ4M0D63HGWVN0QG25LG" hidden="1">SEU Driver by Func #REF!</definedName>
    <definedName name="BEx1VKLP2EMBATC7SZ4FLJRJ8VFI" hidden="1">SCG Func #REF!</definedName>
    <definedName name="BEx1VV8NGNLAOB6X4WL8PL46CSCB" hidden="1">Functional #REF!</definedName>
    <definedName name="BEx1WEPZTS8G9SY4FERGMHWFIYY3" hidden="1">SCG Func #REF!</definedName>
    <definedName name="BEx1X9AICW4MTOYHJ5TS4E03359S" hidden="1">SEU Func #REF!</definedName>
    <definedName name="BEx1XZ7QPNQFFG75UYWAOLXQJXWJ" hidden="1">SEU Driver by Func #REF!</definedName>
    <definedName name="BEx3AEHZW9LV0JGOI3140E9RU17M" hidden="1">Addn #REF!</definedName>
    <definedName name="BEx3BOSY29ELEJ90MCIEMAGOLTHV" hidden="1">SEU Func Area by #REF!</definedName>
    <definedName name="BEx3BY8WKSOC5XACCR5M2YP8BP70" hidden="1">#REF!</definedName>
    <definedName name="BEx3C0HPWFOJP9Q302IKBHWFV9DX" hidden="1">SEU Func #REF!</definedName>
    <definedName name="BEx3CT48SATJWIT8QHVS6DQ5P4LM" hidden="1">Financial &amp; Non-#REF!</definedName>
    <definedName name="BEx3CYT1ZL8MYON1H0NO1OCITU6Y" hidden="1">#REF!</definedName>
    <definedName name="BEx3D2K1ZM1P4KC7KYJ0X36ABUFH" hidden="1">SEU Func Comm by #REF!</definedName>
    <definedName name="BEx3D83Q0RX8NCO14VJZ6F7PPS9D" hidden="1">SEU Func #REF!</definedName>
    <definedName name="BEx3DKDXLAZ3571ELHUDJ1PNATW8" hidden="1">SEU Driver #REF!</definedName>
    <definedName name="BEx3DY6A6OPCMFSTO9WZP1NEBG24" hidden="1">#REF!</definedName>
    <definedName name="BEx3E1GWXLZJM9TQAB3W6662B9QP" hidden="1">Addn #REF!</definedName>
    <definedName name="BEx3E9PPY44KH2XGA8UMDMWC8W3I" hidden="1">#REF!</definedName>
    <definedName name="BEx3EA5SXED2RVVFEO20G847BZSN" hidden="1">#REF!</definedName>
    <definedName name="BEx3EAREXYW79BJYLUDYECDKM9AL" hidden="1">SEU Func Area by #REF!</definedName>
    <definedName name="BEx3EXJFOP6C1X0JLHB9Q8FAQTXP" hidden="1">#REF!</definedName>
    <definedName name="BEx3FID7JXDA6WTSV4AEOCFHW8I2" hidden="1">Addn #REF!</definedName>
    <definedName name="BEx3G7OW5MPIEEHI12V7QP9OZ8AH" hidden="1">#REF!</definedName>
    <definedName name="BEx3GFXO9P9TWVWKR9NW8N5RVFU7" hidden="1">SEU Driver #REF!</definedName>
    <definedName name="BEx3GXM8YOHYYQ8YL2U1M52A29Z0" hidden="1">Functional #REF!</definedName>
    <definedName name="BEx3HE3PCILPEW4KD2C00CJNRJZZ" hidden="1">SEU Driver #REF!</definedName>
    <definedName name="BEx3HSXOVI1E2FREWWS86O8R19E2" hidden="1">Financial &amp; Non-#REF!</definedName>
    <definedName name="BEx3IZN5224O9JUXPERTAGQ9BHZP" hidden="1">#REF!</definedName>
    <definedName name="BEx3JAA3E69G5K7ODRWCZN7HKKAB" hidden="1">Addn #REF!</definedName>
    <definedName name="BEx3K3Y9OPKSIZA0E1EEG4NT5B0T" hidden="1">Addn #REF!</definedName>
    <definedName name="BEx3K7UJ43OGQ20KNWYO03FVJ96T" hidden="1">Financial &amp; Non-#REF!</definedName>
    <definedName name="BEx3KH51243KR3TT5ZRP4W4KYX6S" hidden="1">SCG Func #REF!</definedName>
    <definedName name="BEx3LQ3AM8COFHOZW48MW1PCSMFB" hidden="1">Addn #REF!</definedName>
    <definedName name="BEx3LW39LX1DJIBZWULPI9CMSOC2" hidden="1">Addn #REF!</definedName>
    <definedName name="BEx3M7H9TQG9BSH3XCM8YAT6G6WJ" hidden="1">Financial &amp; Non-#REF!</definedName>
    <definedName name="BEx3M7XDIMHCSLM9Y2AT9NWLAOMY" hidden="1">Addn #REF!</definedName>
    <definedName name="BEx3MH2DKQSONMDJMVD4F2NKNM7G" hidden="1">Addn #REF!</definedName>
    <definedName name="BEx3MSGDXGW7OSHCKKQPMKKDR21A" hidden="1">Addn #REF!</definedName>
    <definedName name="BEx3N1G1UA6DMAIM7LIDXN7RKUUX" hidden="1">[0]!SDGE Func #REF!</definedName>
    <definedName name="BEx3N3EA4VJGB0V14C2HEGPXKP2I" hidden="1">Addn #REF!</definedName>
    <definedName name="BEx3NAFRIW5XWQA3OPN0Q24T0T42" hidden="1">Financial &amp; Non-#REF!</definedName>
    <definedName name="BEx3NEXKLPYH9X4KCYI7ESLC2GL4" hidden="1">Financial &amp; Non-#REF!</definedName>
    <definedName name="BEx3NFJ7AEGQPC1L8HQ9OPJ6HJVG" hidden="1">Addn #REF!</definedName>
    <definedName name="BEx3O5R5RBVLXHLE9AEKHF7TPET5" hidden="1">#REF!</definedName>
    <definedName name="BEx3O9Y9QHE201PEADOXXL01T8B9" hidden="1">SCG Func #REF!</definedName>
    <definedName name="BEx3OJ3EWCV3784K3YFC4RASIOGF" hidden="1">Functional #REF!</definedName>
    <definedName name="BEx3OXMM1O9DHZBX8KCTCAFXL35R" hidden="1">Addn #REF!</definedName>
    <definedName name="BEx3P4YVTSBLV0SJS5A82ANHBVG4" hidden="1">#REF!</definedName>
    <definedName name="BEx3P9GQUDWNPS9CL9O88YIYTG2B" hidden="1">[0]!SDGE Func #REF!</definedName>
    <definedName name="BEx3PUG0WDX3VMOW3YC9L7FA6795" hidden="1">#REF!</definedName>
    <definedName name="BEx3Q0FSCMFGDFRA18K779PC5SOU" hidden="1">SEU Driver #REF!</definedName>
    <definedName name="BEx3RK6IMVTK41YUUGFJYXS2R12V" hidden="1">Financial &amp; Non-#REF!</definedName>
    <definedName name="BEx3SF7B3E0AIY3RJREOCHFQ6ZOY" hidden="1">Functional #REF!</definedName>
    <definedName name="BEx3SOHSXK5I2AX8UQ1367PVN94C" hidden="1">#REF!</definedName>
    <definedName name="BEx3TD2DG6QMJ5IKJIUBGBZEPEPO" hidden="1">SEU Func Comm by #REF!</definedName>
    <definedName name="BEx3TLGJC8Q5WEWUNPCRP8YQCT4M" hidden="1">SEU Func Area by #REF!</definedName>
    <definedName name="BEx3TM242XQQHIQCIHLY63VDLGQ0" hidden="1">SEU Func #REF!</definedName>
    <definedName name="BEx3TPT1WV6YQ4RGA0ZEFJ7WEOQQ" hidden="1">Addn #REF!</definedName>
    <definedName name="BEx3UJ0Y0EKCX55B0WAD89K1I9A2" hidden="1">SEU Driver #REF!</definedName>
    <definedName name="BEx5793NUDQFE11HUM4WTJY9IFKN" hidden="1">Addn #REF!</definedName>
    <definedName name="BEx58N01LLZ8ZKB5V5P7UG5JZLSX" hidden="1">Addn #REF!</definedName>
    <definedName name="BEx59250F3FSWLBU1PX6J51NGMF2" hidden="1">Addn #REF!</definedName>
    <definedName name="BEx5931D0OK7253V4DKCZOJQ7CF6" hidden="1">Financial &amp; Non-#REF!</definedName>
    <definedName name="BEx59BA1716EYX5N0PFQ93LXY7R1" hidden="1">Addn #REF!</definedName>
    <definedName name="BEx59DOBKH8VQ98XK7SNHA8B047T" hidden="1">Addn #REF!</definedName>
    <definedName name="BEx59EQ7A4HVKPNS0I2HIPB8NOKJ" hidden="1">[0]!SDGE Func #REF!</definedName>
    <definedName name="BEx59JYWXN9L4GE0O40TJIRHE8P3" hidden="1">SEU Func #REF!</definedName>
    <definedName name="BEx59Y216NXUJ0GAPO3YO3VAVU7Y" hidden="1">Financial &amp; Non-#REF!</definedName>
    <definedName name="BEx5B9K3B02PJMMXXC4SKP6NO2CI" hidden="1">Addn #REF!</definedName>
    <definedName name="BEx5BDAX4V28AHZW9HVCC9TEMJW6" hidden="1">#REF!</definedName>
    <definedName name="BEx5BIUKY4Q3KD7JK9A78SJHIT4S" hidden="1">#REF!</definedName>
    <definedName name="BEx5BSVY0ZJU5LWHW14G30FZ7WNT" hidden="1">Addn #REF!</definedName>
    <definedName name="BEx5C9THJ886U0S3S65HH25DA6L5" hidden="1">Addn #REF!</definedName>
    <definedName name="BEx5CU1WA73BOAX4HZBTE4D3COW6" hidden="1">Addn #REF!</definedName>
    <definedName name="BEx5D9C4Z9LRXWV58SC94GBRMFS4" hidden="1">SEU Func #REF!</definedName>
    <definedName name="BEx5DQV9BM9CHGYMW87AFZOP9S9B" hidden="1">Addn #REF!</definedName>
    <definedName name="BEx5DXGLRIFRGETUGZDVNCCYOHKD" hidden="1">Financial &amp; Non-#REF!</definedName>
    <definedName name="BEx5DXWQFTJFHRMSE4FWPHTKLTIE" hidden="1">SEU Func #REF!</definedName>
    <definedName name="BEx5E7COVKY842P1212KOBRHK4DE" hidden="1">SEU Func #REF!</definedName>
    <definedName name="BEx5EB8XUYYLCXPJ8V9C1FHYJ0T8" hidden="1">[0]!SDGE Func #REF!</definedName>
    <definedName name="BEx5EDY0WYS351CC34O3AXLT11TX" hidden="1">SEU Func Area by #REF!</definedName>
    <definedName name="BEx5EN8J7513PCBQXOTXOOM8Y8MZ" hidden="1">Addn #REF!</definedName>
    <definedName name="BEx5EXQ67TILJNNHBN4C5BJGDT2H" hidden="1">#REF!</definedName>
    <definedName name="BEx5F7GQQLV72KNSTYT1DT4534TY" hidden="1">SEU Func #REF!</definedName>
    <definedName name="BEx5F9PR9BI8ZTQCHZVT9MSMKIGL" hidden="1">SEU Driver #REF!</definedName>
    <definedName name="BEx5F9V2SND4PHG740J2N3F13YXZ" hidden="1">Addn #REF!</definedName>
    <definedName name="BEx5FLJVHRG42QI195ANYO5RJEOE" hidden="1">Addn #REF!</definedName>
    <definedName name="BEx5G26LL7JG28WLELU77NB94D24" hidden="1">SCG Func #REF!</definedName>
    <definedName name="BEx5G3U1F5AV1D9DLRNKT33F8PWY" hidden="1">#REF!</definedName>
    <definedName name="BEx5G98A5G4DVMI1IHKJZL8ND4SW" hidden="1">SEU Func Area by #REF!</definedName>
    <definedName name="BEx5GI7TBQH1IAHOJZEVZ991ZJ52" hidden="1">Financial &amp; Non-#REF!</definedName>
    <definedName name="BEx5H0NECIJJL39PTFDGTA8QX80R" hidden="1">SEU Func #REF!</definedName>
    <definedName name="BEx5H3CIHK23F0WPY14ZVTSVWBAZ" hidden="1">Addn #REF!</definedName>
    <definedName name="BEx5H5W59HFH8HXCBHJBY5UPH7F4" hidden="1">SEU Func #REF!</definedName>
    <definedName name="BEx5HV2GH2NKG2ZMBKOBBJNFI428" hidden="1">Functional #REF!</definedName>
    <definedName name="BEx5HYINOA160CH9GI3QOUK508N2" hidden="1">[0]!SDGE Func #REF!</definedName>
    <definedName name="BEx5JAX4AOZH9O950U7GVQJFTIZ6" hidden="1">SEU Func #REF!</definedName>
    <definedName name="BEx5JUEFFFWCNP5ECB9KK9FN8XU6" hidden="1">Financial &amp; Non-#REF!</definedName>
    <definedName name="BEx5JXUFOJ8QL1O4OV01U73K97XN" hidden="1">Functional #REF!</definedName>
    <definedName name="BEx5K9DRXLRKAIGVBD5ZA5VX98K8" hidden="1">SEU Func #REF!</definedName>
    <definedName name="BEx5KBS25AF4Y2ZDIIANYJ4A7O9D" hidden="1">Addn #REF!</definedName>
    <definedName name="BEx5KBS2YIR4PFJ5IOP3TFWY2PPX" hidden="1">Functional #REF!</definedName>
    <definedName name="BEx5KCOEOJ2CEGE7RRL3BY5L9FNN" hidden="1">Financial &amp; Non-#REF!</definedName>
    <definedName name="BEx5KDKSPYR1TLV0X9KORPRO1TQF" hidden="1">SEU Driver by Func #REF!</definedName>
    <definedName name="BEx5KV9DMMK99WN0JMGJ25NAV4UE" hidden="1">SEU Driver #REF!</definedName>
    <definedName name="BEx5L2LUQAKQCZVHOCD9ZBZYYS4B" hidden="1">#REF!</definedName>
    <definedName name="BEx5LC73IA7G6DRD2JU2BP27482T" hidden="1">SEU Func #REF!</definedName>
    <definedName name="BEx5LG37VMLUGZYZ8Z96WYEWHYEH" hidden="1">Addn #REF!</definedName>
    <definedName name="BEx5LYTLLDSL43P8M6Q9VD7IRKT4" hidden="1">Addn #REF!</definedName>
    <definedName name="BEx5LZPZQ0Q3M0HD4JMAQUTI58KJ" hidden="1">Functional #REF!</definedName>
    <definedName name="BEx5MA26EHX7VNGSNNAZ0KZMX02D" hidden="1">SEU Func #REF!</definedName>
    <definedName name="BEx5MD7IFYQJG8DF8PBO3RALXN2V" hidden="1">Addn #REF!</definedName>
    <definedName name="BEx5MNUHM5YPFC1YNX13K7M2LD9F" hidden="1">SEU Driver #REF!</definedName>
    <definedName name="BEx5MW8LCJWSC3TFMS4W8AI5J8VG" hidden="1">SEU Func Comm by #REF!</definedName>
    <definedName name="BEx5NK2ADYL3ELV1XHFPFOV8W42D" hidden="1">[0]!SDGE Func #REF!</definedName>
    <definedName name="BEx5OAL3NTNMHU9ERQOWTX8NTMX9" hidden="1">#REF!</definedName>
    <definedName name="BEx5OF2X01GCRGDKH63EW0B09RRJ" hidden="1">Financial &amp; Non-#REF!</definedName>
    <definedName name="BEx5PS8FN2D4DOX6U1J943CZH0LU" hidden="1">Functional #REF!</definedName>
    <definedName name="BEx5QQEG5M04N5YQ20UR10EWJ6M3" hidden="1">Addn #REF!</definedName>
    <definedName name="BEx73WIB65EZVKX73XD21IFUO36J" hidden="1">Financial &amp; Non-#REF!</definedName>
    <definedName name="BEx746P6H9UJ8T9MTNG7C73YSGFU" hidden="1">Addn #REF!</definedName>
    <definedName name="BEx74GAFRM21NBATRNLD7FWS1OXY" hidden="1">Functional #REF!</definedName>
    <definedName name="BEx74VVIHGE8RWIOQN9SZZ487OOC" hidden="1">Functional #REF!</definedName>
    <definedName name="BEx74XDH3TPR8GXY3PNUOMP3VX2A" hidden="1">Addn #REF!</definedName>
    <definedName name="BEx7520NAQMR076UI9WUPELXOTH2" hidden="1">SCG Func #REF!</definedName>
    <definedName name="BEx75V36DE3VP1AMI1RXXUV87029" hidden="1">Addn #REF!</definedName>
    <definedName name="BEx75V8OC9Q4YQQOLAJT6UDQDZ2N" hidden="1">#REF!</definedName>
    <definedName name="BEx75X6R04A1CL2MWVAAB055B3P9" hidden="1">Functional #REF!</definedName>
    <definedName name="BEx75XXSXBCP9KU62O05Y9Z5ACWM" hidden="1">#REF!</definedName>
    <definedName name="BEx761DRPA25R4PZH61K2NGXMK2U" hidden="1">SEU Func Comm by #REF!</definedName>
    <definedName name="BEx768Q7WXW37TL98VE3X80MYAOT" hidden="1">[0]!SDGE Func #REF!</definedName>
    <definedName name="BEx769MLSTUCGG15G1X2OEJ4ZQH7" hidden="1">SEU Func #REF!</definedName>
    <definedName name="BEx76BKMRV8NL1SQ6S37CNF7ETPJ" hidden="1">Addn #REF!</definedName>
    <definedName name="BEx76EQ049XAKGG9W866LOKTIJKO" hidden="1">#REF!</definedName>
    <definedName name="BEx76LGP7TRCIGQR1FZ1B4G223M5" hidden="1">#REF!</definedName>
    <definedName name="BEx76RR9E3UKJ375VSBT7ZQNMEB4" hidden="1">Financial &amp; Non-#REF!</definedName>
    <definedName name="BEx771Y54SZNEMLLKKVM69Q2UXPW" hidden="1">Addn #REF!</definedName>
    <definedName name="BEx77SRQQMO7ZX0ZJB9V7V67BBY8" hidden="1">#REF!</definedName>
    <definedName name="BEx787LVO91DZ12YLLQPAV8OMYJ8" hidden="1">Financial &amp; Non-#REF!</definedName>
    <definedName name="BEx78ESP6PYY9PRKG7N8I1062CBG" hidden="1">Financial &amp; Non-#REF!</definedName>
    <definedName name="BEx78JAKA3FRA112WDVJR5P2M06F" hidden="1">SEU Func Comm by #REF!</definedName>
    <definedName name="BEx79BGQJWM5HK7GBU4QCZQIGMJA" hidden="1">Addn #REF!</definedName>
    <definedName name="BEx79NLSWDY80RZ83IBSPPWC1LRP" hidden="1">Addn #REF!</definedName>
    <definedName name="BEx7AG85P2UCLBZH785AVALZ8NO2" hidden="1">Addn #REF!</definedName>
    <definedName name="BEx7BUKMRJIJ2T3VLPHVCGFYB91N" hidden="1">Addn #REF!</definedName>
    <definedName name="BEx7CD5LQHPU9ZD6Q6VGX42EG18N" hidden="1">#REF!</definedName>
    <definedName name="BEx7CSQONL7R3J1DFL1RBZ2UB4CJ" hidden="1">Addn #REF!</definedName>
    <definedName name="BEx7D9DFIZJHQGFY7GA9YYUA9ND5" hidden="1">Financial &amp; Non-#REF!</definedName>
    <definedName name="BEx7DB642H67MNJ2PZ1ACGYUMYX0" hidden="1">#REF!</definedName>
    <definedName name="BEx7DWG6RQW0D28OD9I5XKJYFDLX" hidden="1">SEU Func #REF!</definedName>
    <definedName name="BEx7E3SN5T57Z84MWEWGPL56BVYQ" hidden="1">Functional #REF!</definedName>
    <definedName name="BEx7E8QL4MLEWB3YUM4BI27WYSG4" hidden="1">Addn #REF!</definedName>
    <definedName name="BEx7F1YHNQP67YWOA22R2460OG8Q" hidden="1">#REF!</definedName>
    <definedName name="BEx7FGHPIVIRMUKXHH1IIO8C39WM" hidden="1">SCG Func #REF!</definedName>
    <definedName name="BEx7FK3D2PKAX7A5OS0M3EPATLK3" hidden="1">Addn #REF!</definedName>
    <definedName name="BEx7FX4LXTGXH0S5WO63H5V8973A" hidden="1">Addn #REF!</definedName>
    <definedName name="BEx7G09THIAHGVV4C6W739GLIL6F" hidden="1">SEU Driver #REF!</definedName>
    <definedName name="BEx7G1X3E168X1WSXE3IYQD39CSH" hidden="1">Functional #REF!</definedName>
    <definedName name="BEx7G5D8R3DAHH327NHVIRW1M1A6" hidden="1">SEU Driver by Func #REF!</definedName>
    <definedName name="BEx7GC43Z3IT632VJ04YICAVP2PC" hidden="1">Functional #REF!</definedName>
    <definedName name="BEx7GD5SMD4HYABHIF7TA7NL06BF" hidden="1">Addn #REF!</definedName>
    <definedName name="BEx7GNNEKMZ2TVCGR1CBK6H4CY70" hidden="1">SEU Driver by Func #REF!</definedName>
    <definedName name="BEx7GWSFCD13I3QC1N2NFFKY062P" hidden="1">Functional #REF!</definedName>
    <definedName name="BEx7H5XL7MLM8ZG6E12EKRMNYRXA" hidden="1">Addn #REF!</definedName>
    <definedName name="BEx7H86FAD3PJYLGZL1U0HWZBU77" hidden="1">SEU Driver #REF!</definedName>
    <definedName name="BEx7HNGQN8KJWL6B1O2RWR1I8XCR" hidden="1">Functional #REF!</definedName>
    <definedName name="BEx7I7ZOS5D5E9WZ6L4BOE2F3DY2" hidden="1">SEU Func #REF!</definedName>
    <definedName name="BEx7IA8PT7MFJWXGVCJFRY106ATL" hidden="1">SEU Func #REF!</definedName>
    <definedName name="BEx7IQKN2RWFXIJJQC1M3HN91456" hidden="1">SEU Driver by Func #REF!</definedName>
    <definedName name="BEx7IYTADRCEGWHWTPP3TX68M7RE" hidden="1">Addn #REF!</definedName>
    <definedName name="BEx7IYTI2BVB47X6UKCDS3S6S8M2" hidden="1">Financial &amp; Non-#REF!</definedName>
    <definedName name="BEx7JA7HO64PE6BSEFDQAYG2DV2M" hidden="1">SEU Driver #REF!</definedName>
    <definedName name="BEx7JN8QP1FGPG1PXW02J1OO9FTN" hidden="1">SCG Func #REF!</definedName>
    <definedName name="BEx7K7GY8XLOVRC3OHHBZ1TX6TMR" hidden="1">Addn #REF!</definedName>
    <definedName name="BEx7KGM4CB247DEMSOCLKY4D5TBL" hidden="1">#REF!</definedName>
    <definedName name="BEx7KJRBH9UOHHJDI99HVR8V9R0K" hidden="1">#REF!</definedName>
    <definedName name="BEx7KPGBNYFR4LHWGEPF89JL73WI" hidden="1">Addn #REF!</definedName>
    <definedName name="BEx7KYQUG9K5VGBRVMEF5XXB6I7D" hidden="1">Addn #REF!</definedName>
    <definedName name="BEx7LBHATV73G9G8EYC25A1GZPM7" hidden="1">Financial &amp; Non-#REF!</definedName>
    <definedName name="BEx7MCN6WJYIADN53L1N60G4M3U9" hidden="1">#REF!</definedName>
    <definedName name="BEx7NJ7BROENWNOB9DYNAZDMO381" hidden="1">Functional #REF!</definedName>
    <definedName name="BEx8ZNEEKMIGOZI4AEQOFKR48OX7" hidden="1">Addn #REF!</definedName>
    <definedName name="BEx906FH0CTZE3CU0DQWH3H4ZC4P" hidden="1">SEU Func #REF!</definedName>
    <definedName name="BEx9193BXQJVD64QF1Y7916CR3VZ" hidden="1">SEU Driver by Func #REF!</definedName>
    <definedName name="BEx91IOLAF9Q374K05VA9813T42J" hidden="1">Functional #REF!</definedName>
    <definedName name="BEx91MVNJP7UR6PVBG9O9JNNLL2S" hidden="1">Addn #REF!</definedName>
    <definedName name="BEx91NS16U93E9MPG050VOPE1B5V" hidden="1">Addn #REF!</definedName>
    <definedName name="BEx91WRP8CJ9NVHOVO3KK1CSEY3A" hidden="1">#REF!</definedName>
    <definedName name="BEx92JP6NFWRWOQOM9LV0ZGH6UII" hidden="1">[0]!SDGE Func #REF!</definedName>
    <definedName name="BEx92LY2W9T7IMRAJ6GVSJOYGXKX" hidden="1">Addn #REF!</definedName>
    <definedName name="BEx92VU31VCK7JA4H3D7UN9TXSLT" hidden="1">SEU Driver by Func #REF!</definedName>
    <definedName name="BEx937O89Y1D1SATU4ZSG51U1NQG" hidden="1">#REF!</definedName>
    <definedName name="BEx939RQZR5P0TIF9I3BMR6SR6Z8" hidden="1">Addn #REF!</definedName>
    <definedName name="BEx93C61JLMSUFCCC969HXVOAV5U" hidden="1">Addn #REF!</definedName>
    <definedName name="BEx93P7HZ849NJYP2FN3FVKLD1ZJ" hidden="1">#REF!</definedName>
    <definedName name="BEx93WUJ8SBBPMQO3GR8OPSWFZA4" hidden="1">Functional #REF!</definedName>
    <definedName name="BEx94SBGT6E7UM98ZRUU1UD0X2V9" hidden="1">SCG Func #REF!</definedName>
    <definedName name="BEx94YRCDNZCTCP3C1U048E2SHCV" hidden="1">#REF!</definedName>
    <definedName name="BEx95E6X1N492AUIEIQ1IXXTNYO0" hidden="1">SEU Func #REF!</definedName>
    <definedName name="BEx95GW2VHSR2AQCIZELG33FDA8H" hidden="1">Addn #REF!</definedName>
    <definedName name="BEx95JVY865JGQH3BGYILSOT7KIT" hidden="1">SEU Driver #REF!</definedName>
    <definedName name="BEx95RTS6PHEQTQLZVX7ZLJEZ2EC" hidden="1">SEU Func #REF!</definedName>
    <definedName name="BEx96FYFAVILQ8VYSE72BM2KXQHS" hidden="1">Functional #REF!</definedName>
    <definedName name="BEx96KLL02U9UGG9BE084W1T06AP" hidden="1">Functional #REF!</definedName>
    <definedName name="BEx96PED6KVTVBCA3YI15OONN1VC" hidden="1">Functional #REF!</definedName>
    <definedName name="BEx970MWXAD0OKZXP8P821WJ2SQ5" hidden="1">Addn #REF!</definedName>
    <definedName name="BEx971U2C4AAQ6GJB4FOAMCR7NZB" hidden="1">Financial &amp; Non-#REF!</definedName>
    <definedName name="BEx980WB7NBY9MBNN1VDHUAOOEN4" hidden="1">#REF!</definedName>
    <definedName name="BEx98DC7540CFIHHCBRDYER6N969" hidden="1">SEU Driver by Func #REF!</definedName>
    <definedName name="BEx98E3186U1CAC5ZCGORYSPBW55" hidden="1">SCG Func #REF!</definedName>
    <definedName name="BEx98P6A568OSQJKJ16MGMHFWQAJ" hidden="1">Addn #REF!</definedName>
    <definedName name="BEx98UPYWSKR968JQDKEOQJTFEN3" hidden="1">Addn #REF!</definedName>
    <definedName name="BEx99WS3MA5AE74HPBKZM9EI6J2H" hidden="1">Functional #REF!</definedName>
    <definedName name="BEx9A3TPSYIC5VV8BM8QF9YA6HKL" hidden="1">Addn #REF!</definedName>
    <definedName name="BEx9AB0O7AFRBN0DS6X3G5XATV0F" hidden="1">Addn #REF!</definedName>
    <definedName name="BEx9BKKJ3V7FT0YYP901CO1J9PK2" hidden="1">Addn #REF!</definedName>
    <definedName name="BEx9BNKFPZNHOBUFKJXSEZ45UCNX" hidden="1">Addn #REF!</definedName>
    <definedName name="BEx9BO0OF08DI95D48HIA4FNEAQ2" hidden="1">SCG Func #REF!</definedName>
    <definedName name="BEx9BYSZKJE7X0DZO9IBYA390EXN" hidden="1">Addn #REF!</definedName>
    <definedName name="BEx9C3WJQMGW0R7CUVA07P3TX1SN" hidden="1">SEU Func Comm by #REF!</definedName>
    <definedName name="BEx9CMHBVIKQKWB05U715K3OYE5N" hidden="1">Addn #REF!</definedName>
    <definedName name="BEx9CPBY3A014VDO5NC8CZH6A1ND" hidden="1">SEU Func #REF!</definedName>
    <definedName name="BEx9D4RIB90NHVB2YZNHPU1W05Q4" hidden="1">Addn #REF!</definedName>
    <definedName name="BEx9D5D3ORZ8H4FK3XMG4BUSRDF3" hidden="1">SEU Func #REF!</definedName>
    <definedName name="BEx9DCUTUL3BE617O4SMJRVU2L0S" hidden="1">Functional #REF!</definedName>
    <definedName name="BEx9DI91MBI8Y7KKG4TYD7GK0OO3" hidden="1">Addn #REF!</definedName>
    <definedName name="BEx9DPQSEJ56DZCPF3OY3GWEMEHS" hidden="1">[0]!SDGE Func #REF!</definedName>
    <definedName name="BEx9E8H2OWZQ45XRM27VACOL31OU" hidden="1">Addn #REF!</definedName>
    <definedName name="BEx9EBX1BZ0PL195G5AESVWY096V" hidden="1">SEU Func Area by #REF!</definedName>
    <definedName name="BEx9EFTH7ZBJ5N1CAQI38H8WNFW3" hidden="1">Addn #REF!</definedName>
    <definedName name="BEx9EK5VLPKF9XVYLA8L5M0VFA4J" hidden="1">Addn #REF!</definedName>
    <definedName name="BEx9ERI925K9PH2Z2PB4I9EX8QF3" hidden="1">#REF!</definedName>
    <definedName name="BEx9ET5JSJVBRWYIE1INNJ7SGTCC" hidden="1">Functional #REF!</definedName>
    <definedName name="BEx9EWG8HOBAXEVNI9PTPOTVPJ6O" hidden="1">Addn #REF!</definedName>
    <definedName name="BEx9F2FZK97W302TB1PE6SLT2W8P" hidden="1">SEU Driver by Func #REF!</definedName>
    <definedName name="BEx9F3N6P6EMZ3CI82RIVDKI8UYJ" hidden="1">Addn #REF!</definedName>
    <definedName name="BEx9F5QQ16E2AYXJFWMSOB65PQQD" hidden="1">#REF!</definedName>
    <definedName name="BEx9FEA49CAL0U75VSCJZGNERORM" hidden="1">SEU Func #REF!</definedName>
    <definedName name="BEx9FEA5G88VPTUBP7INZOU42U47" hidden="1">Addn #REF!</definedName>
    <definedName name="BEx9FZ3XLP4NW4ALG6YLL87UDWN5" hidden="1">#REF!</definedName>
    <definedName name="BEx9GA1T1D6OO1LJLL4M23ZQ4YZQ" hidden="1">Addn #REF!</definedName>
    <definedName name="BEx9GBEC3P5Y01WYIGKVJSG7XI43" hidden="1">[0]!SDGE Func #REF!</definedName>
    <definedName name="BEx9GKJHEHAXU8NPOK41VWZLKJHS" hidden="1">Addn #REF!</definedName>
    <definedName name="BEx9H7GTDG0K270VC8KIQPAZ4Y1Y" hidden="1">Functional #REF!</definedName>
    <definedName name="BEx9H9F15H3PH7ZYTKUA946W25IF" hidden="1">Addn #REF!</definedName>
    <definedName name="BEx9HMLS4KZDOM68X06UUH8EVM99" hidden="1">SEU Func #REF!</definedName>
    <definedName name="BEx9I0JFAIJY2OQ5GGLQIBX2SOHB" hidden="1">Addn #REF!</definedName>
    <definedName name="BEx9IIDAOIWYAR4176TWG0DUP0GC" hidden="1">Addn #REF!</definedName>
    <definedName name="BEx9IM9JB41V6TQ5P1QZV0H9VVUQ" hidden="1">Addn #REF!</definedName>
    <definedName name="BEx9IO2AQXVT9EE1WFNZY4RMZA5L" hidden="1">SEU Driver by Func #REF!</definedName>
    <definedName name="BEx9IW5MPMXZH6A45GHP65AIU5EC" hidden="1">SEU Func #REF!</definedName>
    <definedName name="BEx9JE4Z63EP3IGA8SSLS32MQ9IT" hidden="1">Functional #REF!</definedName>
    <definedName name="BEx9JGJB4AO5A49KA8HTRU4Y918P" hidden="1">Addn #REF!</definedName>
    <definedName name="BExAW9LX762OLWCG971X5UJG9BTI" hidden="1">SEU Driver #REF!</definedName>
    <definedName name="BExAWRW398WOEUXSG9OKLKRUHBUJ" hidden="1">SCG Func #REF!</definedName>
    <definedName name="BExAWWOQP0AIVB5SQ8ABBSZ73REK" hidden="1">Functional #REF!</definedName>
    <definedName name="BExAX3FFIBEYOD1VMORTDGV6CT6V" hidden="1">Addn #REF!</definedName>
    <definedName name="BExAX8Z4B7UP4MPIDL4N5UVE5X3A" hidden="1">Financial &amp; Non-#REF!</definedName>
    <definedName name="BExAXXJTKDDLRRG0YNJZ27IIY0CH" hidden="1">Addn #REF!</definedName>
    <definedName name="BExAY1W8CE9P3MQIAPX8VJEG5NVW" hidden="1">#REF!</definedName>
    <definedName name="BExAYAFTOFMR1YIYU7IUFOYRNV62" hidden="1">Addn #REF!</definedName>
    <definedName name="BExAYMVHP7W93W3JTZL9H6BYQM61" hidden="1">Addn #REF!</definedName>
    <definedName name="BExAYPVEB4OPFNAISBTOWTRBP8VX" hidden="1">[0]!SDGE Func #REF!</definedName>
    <definedName name="BExB03RSQON10JAWO2328LAW1MKE" hidden="1">SEU Func #REF!</definedName>
    <definedName name="BExB072HB427FBTZFTA92PWX0YQ9" hidden="1">Addn #REF!</definedName>
    <definedName name="BExB0CRHCO9ULDDSTT7DMTT05RT9" hidden="1">Addn #REF!</definedName>
    <definedName name="BExB0GIADY00FT7NXSNF175LJJ3Y" hidden="1">Addn #REF!</definedName>
    <definedName name="BExB0LGCWVXLFI71FVWXDKJA49PH" hidden="1">Addn #REF!</definedName>
    <definedName name="BExB0WOWQSN1F679LTDEFHU5W26B" hidden="1">Addn #REF!</definedName>
    <definedName name="BExB19KVAYD32NCCJV4ZP4JXKH5S" hidden="1">#REF!</definedName>
    <definedName name="BExB1EIYLMVJLP7TLE2RF39QS0MX" hidden="1">#REF!</definedName>
    <definedName name="BExB1EO9KWOLKJHCPTWLRRDESP7G" hidden="1">Addn #REF!</definedName>
    <definedName name="BExB1GRT8047FU91FKXXPPVBWVY4" hidden="1">SEU Func Area by #REF!</definedName>
    <definedName name="BExB1LKGYUXV7YND54V03Z7PCFWG" hidden="1">SEU Func Comm by #REF!</definedName>
    <definedName name="BExB1VB0MPHLR3SDA5NV6NV1X49C" hidden="1">SEU Driver #REF!</definedName>
    <definedName name="BExB2AQT03UGIOC6S1HS02YS0OIN" hidden="1">SCG Func #REF!</definedName>
    <definedName name="BExB2K6JX9SZWRWTCTUMT8KMDHOD" hidden="1">SEU Func Comm by #REF!</definedName>
    <definedName name="BExB30O0S6EO45SFV1QSN1Q24LOL" hidden="1">#REF!</definedName>
    <definedName name="BExB30TB59C8G4EC0WEJUHQ4VA39" hidden="1">Addn #REF!</definedName>
    <definedName name="BExB3EWF1OUNCEWXWPL6HTD45R2Q" hidden="1">Financial &amp; Non-#REF!</definedName>
    <definedName name="BExB3QL8Q7ZK705KJACMI750B1JO" hidden="1">Addn #REF!</definedName>
    <definedName name="BExB3XS637O5LMK5N78CTI3Z0Z5B" hidden="1">#REF!</definedName>
    <definedName name="BExB43MOHQGG9F0TAVNR9GV4HDUC" hidden="1">Addn #REF!</definedName>
    <definedName name="BExB49GYU15TD74UV4AOHN1UDRXT" hidden="1">SEU Func Area by #REF!</definedName>
    <definedName name="BExB5C4TYO1CLQBIZ1ZKBB9LUBUJ" hidden="1">Functional #REF!</definedName>
    <definedName name="BExB5DS47CSMB5M7U57GGRRL6RAI" hidden="1">Addn #REF!</definedName>
    <definedName name="BExB5GRZ48PZ0X03WTTZUHM5V6N7" hidden="1">[0]!SDGE Func #REF!</definedName>
    <definedName name="BExB5HOC7YR7B7UZUQJFO3AMX3Z7" hidden="1">Addn #REF!</definedName>
    <definedName name="BExB7JUQKW1TSF1EMURW4N49BPW8" hidden="1">SEU Func #REF!</definedName>
    <definedName name="BExB7XSCGB3ICZZXK5GGNRCZGO1R" hidden="1">Functional #REF!</definedName>
    <definedName name="BExB82KZZ20HGQ8ZWDI6NN7B7LP3" hidden="1">Addn #REF!</definedName>
    <definedName name="BExB842YTBKTN3J0DAZ8G2FRLGZA" hidden="1">SCG Func #REF!</definedName>
    <definedName name="BExB8A2R5KAW4ZHD9RTJG7XQBC9Z" hidden="1">SEU Driver by Func #REF!</definedName>
    <definedName name="BExB9DSAVBYJB0UFO37L4UPOIA9D" hidden="1">Addn #REF!</definedName>
    <definedName name="BExB9J6IXISS1DDVV1O9QAR83KUM" hidden="1">Addn #REF!</definedName>
    <definedName name="BExBA09J0XCIK4F6DIN33HWB83VZ" hidden="1">Addn #REF!</definedName>
    <definedName name="BExBBFD1NS7S1R4UT1X0FC1V0IE6" hidden="1">Financial &amp; Non-#REF!</definedName>
    <definedName name="BExBBW58Z0FWF8SYQVQCKPDQM4V5" hidden="1">#REF!</definedName>
    <definedName name="BExBC0N4KY5AUPHPSP2WYOPQ9BGK" hidden="1">#REF!</definedName>
    <definedName name="BExBC5AACPOLAFEHIH7A39NFVMS9" hidden="1">SEU Func Area by #REF!</definedName>
    <definedName name="BExBCC14R9T8Y5BCJ9J6RZ5LAR34" hidden="1">#REF!</definedName>
    <definedName name="BExBCQ49E5ROUT89A7DNPSC88TP2" hidden="1">SEU Func #REF!</definedName>
    <definedName name="BExBCRGQSBNA9SIIV33OWZ9TT8EM" hidden="1">Financial &amp; Non-#REF!</definedName>
    <definedName name="BExBCS2AHW4TXTQK83WN29LWIRQK" hidden="1">[0]!SDGE Func #REF!</definedName>
    <definedName name="BExBD7NBV33LLYYJZDPWE3JS4YO8" hidden="1">Addn #REF!</definedName>
    <definedName name="BExBDGHLEQZH9D2HRC94XCSM8R21" hidden="1">Functional #REF!</definedName>
    <definedName name="BExCREBL0YXLWZKVEV40GLP86ISW" hidden="1">Addn #REF!</definedName>
    <definedName name="BExCSEL4O1O7A8QTADPQK997R2GC" hidden="1">[0]!SDGE Func #REF!</definedName>
    <definedName name="BExCSQKPT6AAP0PXNSIN8X33MNOQ" hidden="1">Addn #REF!</definedName>
    <definedName name="BExCSWV9HBGHLCFOMS18O18TUB3A" hidden="1">Addn #REF!</definedName>
    <definedName name="BExCTP6SO68GK895SG97OHJ44KJ9" hidden="1">Addn #REF!</definedName>
    <definedName name="BExCUFV4VP0SIARZ6VFX4CSM3H9D" hidden="1">Functional #REF!</definedName>
    <definedName name="BExCUH2AJHJRFFT62RFBIXW1D2QI" hidden="1">Functional #REF!</definedName>
    <definedName name="BExCUNSYJS0MXZ5ET8GHRGF8KIY2" hidden="1">Functional #REF!</definedName>
    <definedName name="BExCUSWD0ZI62K3UGX4N1XN89Q1P" hidden="1">SEU Driver #REF!</definedName>
    <definedName name="BExCV03BCBUW893TW8JSQSFA881E" hidden="1">Functional #REF!</definedName>
    <definedName name="BExCVFTQ4HN27K1U27PC99JFSWWW" hidden="1">Functional #REF!</definedName>
    <definedName name="BExCWLHH3Q3G7ILX126X41OC9UWW" hidden="1">Functional #REF!</definedName>
    <definedName name="BExCX29OCTHXR81FOAIARU0P0X4X" hidden="1">[0]!SDGE Func #REF!</definedName>
    <definedName name="BExCXCLUKV8FFGMN02TB06QN6BWG" hidden="1">SEU Func #REF!</definedName>
    <definedName name="BExCXYC68R84SJWKHLGHSF3BTT7G" hidden="1">SEU Driver by Func #REF!</definedName>
    <definedName name="BExCY712YSE6GCWJ0AMT3HALNA4X" hidden="1">Functional #REF!</definedName>
    <definedName name="BExCYQCYE5YHOB1TKOHL6B3I27IT" hidden="1">Financial &amp; Non-#REF!</definedName>
    <definedName name="BExCYRPFE15L8X3EUVCJNH6I01D9" hidden="1">SEU Driver by Func #REF!</definedName>
    <definedName name="BExCYY5GHFAIPGDZ8HNTGSWV4KQL" hidden="1">SCG Func #REF!</definedName>
    <definedName name="BExCZ5SJSLJTD4LETK6S52CEE8K5" hidden="1">SEU Driver by Func #REF!</definedName>
    <definedName name="BExCZODGQ5EQME30RIBVIMU88981" hidden="1">Financial &amp; Non-#REF!</definedName>
    <definedName name="BExD049C027P55BCRTWO9K40MDXC" hidden="1">Financial &amp; Non-#REF!</definedName>
    <definedName name="BExD04PEPBEQQX4RZ6C0WVALBV9W" hidden="1">SEU Driver #REF!</definedName>
    <definedName name="BExD0P35ITFSLDJ85I2S2XLI9D02" hidden="1">Addn #REF!</definedName>
    <definedName name="BExD1Z8Q7A8QEJBB3NBLBKV5UWDA" hidden="1">#REF!</definedName>
    <definedName name="BExD2054KGE1BMQV3F8E1TCXKD7K" hidden="1">Financial &amp; Non-#REF!</definedName>
    <definedName name="BExD24MZ6RCOIW4QM8EBYWBZ3FGX" hidden="1">Addn #REF!</definedName>
    <definedName name="BExD2PGRAQFQR76TR4M84GCI9TOX" hidden="1">SEU Func Comm by #REF!</definedName>
    <definedName name="BExD345FLWTNWLN5919CGC69OXJS" hidden="1">Addn #REF!</definedName>
    <definedName name="BExD37LGJYVJFID61F08P9GB1FNV" hidden="1">SEU Func #REF!</definedName>
    <definedName name="BExD3FOR9N7H6TPIKASJH6RB78Y8" hidden="1">SEU Driver #REF!</definedName>
    <definedName name="BExD3SVHOP1C3T2Z7DH6IBE3P843" hidden="1">SEU Func #REF!</definedName>
    <definedName name="BExD4UXT6QYCDEFJ4TR5HLDLP5GS" hidden="1">#REF!</definedName>
    <definedName name="BExD50179NSGUGLLUHX045A1AR1I" hidden="1">SEU Func #REF!</definedName>
    <definedName name="BExD5WUM2VOHW0PHHK7UU3C5G4KA" hidden="1">Addn #REF!</definedName>
    <definedName name="BExD6L9V8D6IAI4B3RW8L9XB4E9U" hidden="1">Addn #REF!</definedName>
    <definedName name="BExD6SM96QF45B1K8P5SYGG16HU7" hidden="1">Functional #REF!</definedName>
    <definedName name="BExD7ECGTP7A754YQVMXGZ6ODVJW" hidden="1">Addn #REF!</definedName>
    <definedName name="BExD7MFRXGJ499ABP7FXYAGDBVBF" hidden="1">SEU Func Area by #REF!</definedName>
    <definedName name="BExD86TI39WBFO32YV2U8JXO98P4" hidden="1">SEU Func #REF!</definedName>
    <definedName name="BExD948GWQCYXUUZQK0PIOEBV29S" hidden="1">Financial &amp; Non-#REF!</definedName>
    <definedName name="BExDC683UDAXPU8TJ720TDYW01P3" hidden="1">Addn #REF!</definedName>
    <definedName name="BExDCS3PZTHRO9F13N38ECDVNS32" hidden="1">SCG Func #REF!</definedName>
    <definedName name="BExEPN4D9U6D31SRSQ8GHI9K0EBT" hidden="1">Addn #REF!</definedName>
    <definedName name="BExEQ4I6HD9H5DM4DMM6GQ1EMDPK" hidden="1">SEU Func Comm by #REF!</definedName>
    <definedName name="BExEQPS9BRC55JZ9I5FYCQTKSEJN" hidden="1">SEU Func Area by #REF!</definedName>
    <definedName name="BExEQRVTCIBYGOUBKNVPTZHMXHFR" hidden="1">Addn #REF!</definedName>
    <definedName name="BExERDLXL02M3SL45RHTWJUPCGS8" hidden="1">#REF!</definedName>
    <definedName name="BExERK1VAXZE8JQU29QXCUMOI6E2" hidden="1">#REF!</definedName>
    <definedName name="BExERKYD3HHJGPFDI9EDNNVI2ALK" hidden="1">Addn #REF!</definedName>
    <definedName name="BExES2HHMG8HMKDE7EJU3AC0I6BR" hidden="1">Financial &amp; Non-#REF!</definedName>
    <definedName name="BExES6U1HSYY1KIDIHTNW3J42ZHS" hidden="1">Financial &amp; Non-#REF!</definedName>
    <definedName name="BExESH0UL4KHBDSX39ZAEWSMHVQY" hidden="1">Addn #REF!</definedName>
    <definedName name="BExESMV5WEZAC2GDCQ810LXIR0DY" hidden="1">SCG Func #REF!</definedName>
    <definedName name="BExETF6PXKIF0BXNH3KRJ554Y0P6" hidden="1">SEU Func Area by #REF!</definedName>
    <definedName name="BExETT4JKBXWE85124PM89EQ4DRI" hidden="1">[0]!SDGE Func #REF!</definedName>
    <definedName name="BExETWVC2ECF85WXYT8IOG6U8U18" hidden="1">#REF!</definedName>
    <definedName name="BExEUJHV8RCKINDDUZ9EKK2116MH" hidden="1">Addn #REF!</definedName>
    <definedName name="BExEUK8WG4Z6L2QA4QFT0Z8AITMS" hidden="1">Addn #REF!</definedName>
    <definedName name="BExEUOAHO8X3MF3DLWEPAW6WVNI0" hidden="1">SEU Func Area by #REF!</definedName>
    <definedName name="BExEUZDOS5IW0LBVFJWVEPY4C500" hidden="1">Addn #REF!</definedName>
    <definedName name="BExEV5Z2G00UNVZN78TCFNX15OKI" hidden="1">SEU Func Area by #REF!</definedName>
    <definedName name="BExEVFKDB3I1PGDYRBZ2S7QG9M6W" hidden="1">Addn #REF!</definedName>
    <definedName name="BExEVG0H7VPEOQHSNR964Y7Q0234" hidden="1">Addn #REF!</definedName>
    <definedName name="BExEVRZZXQNCUB14WPQ8GA48DQT3" hidden="1">Addn #REF!</definedName>
    <definedName name="BExEVXUI6PQXR3D5BE29CJJ6DV2N" hidden="1">Functional #REF!</definedName>
    <definedName name="BExEWB18OJGAK1WTLGEY7JBB9YYA" hidden="1">SEU Func #REF!</definedName>
    <definedName name="BExEWKXAR9PKJRKRQI6VK7GAUXR1" hidden="1">#REF!</definedName>
    <definedName name="BExEWM9T10EA58YE3U9SIXKEYV44" hidden="1">SEU Func #REF!</definedName>
    <definedName name="BExEXM8E0F2BQDCLAB77JFLQ0PT9" hidden="1">Functional #REF!</definedName>
    <definedName name="BExEZ0A8XICFQ6C9HWDCGUHIDXDN" hidden="1">SEU Func #REF!</definedName>
    <definedName name="BExEZ76ENXGOBF5PBXQJ70L9O2PZ" hidden="1">SEU Driver #REF!</definedName>
    <definedName name="BExEZA6AQF951QMNDZITNW6I9YF4" hidden="1">SEU Func #REF!</definedName>
    <definedName name="BExEZHTCTFHWIE5X77O7X7BXREQI" hidden="1">SCG Func #REF!</definedName>
    <definedName name="BExEZJGS1LRPE6VTO367I075MALO" hidden="1">Addn #REF!</definedName>
    <definedName name="BExEZNYMRBM329VJ6BYON8FE3A6P" hidden="1">#REF!</definedName>
    <definedName name="BExF0OISVALZJC3KCPHVSTSPJ06G" hidden="1">Addn #REF!</definedName>
    <definedName name="BExF1325NS5JVS6VT49CGOE612FK" hidden="1">SEU Func #REF!</definedName>
    <definedName name="BExF1R6P0MN4JZAT3ZF12QGYH74R" hidden="1">SCG Func #REF!</definedName>
    <definedName name="BExF22Q5GLEZIXJFJ9QNV296EVC9" hidden="1">SEU Driver by Func #REF!</definedName>
    <definedName name="BExF2DNW3LPYTH861EFEUJNG7R3Y" hidden="1">SEU Func #REF!</definedName>
    <definedName name="BExF3H2O11H0RHQ9Q7S28D9I2YFF" hidden="1">Functional #REF!</definedName>
    <definedName name="BExF3TYLWVJF9PW2Q562URNI9HS3" hidden="1">Addn #REF!</definedName>
    <definedName name="BExF3YWJ9AGH6R3FHIC5E2RHLM77" hidden="1">SEU Func #REF!</definedName>
    <definedName name="BExF3ZYEVITE9FYW53VPFQQ2F1NW" hidden="1">[0]!SDGE Func #REF!</definedName>
    <definedName name="BExF415J0OXHQZRM64F05WAGOA0A" hidden="1">SEU Func Comm by #REF!</definedName>
    <definedName name="BExF421YI6V0HJL4LMQMKBC8KI1Z" hidden="1">Financial &amp; Non-#REF!</definedName>
    <definedName name="BExF4870SD6GYYBXV19HVKQE7S50" hidden="1">Addn #REF!</definedName>
    <definedName name="BExF4JVTKGSB9I6CJ72A7TOZE4CN" hidden="1">SEU Driver by Func #REF!</definedName>
    <definedName name="BExF4SQ23FGVM2RD7ROEH120ZOSM" hidden="1">Functional #REF!</definedName>
    <definedName name="BExF579EMBCCKTQ787NH5YBB9CXI" hidden="1">SEU Driver by Func #REF!</definedName>
    <definedName name="BExF59NQZO044CZ1UDDUUT1GMGGB" hidden="1">Addn #REF!</definedName>
    <definedName name="BExF5NALJ6KWCBF2J2SJV1RAKIIA" hidden="1">[0]!SDGE Func #REF!</definedName>
    <definedName name="BExF6610V6SPKG6Y40RHAG258JBC" hidden="1">#REF!</definedName>
    <definedName name="BExF6TUPOWY2HNDNPUBPWMXJZVG1" hidden="1">Functional #REF!</definedName>
    <definedName name="BExF7AXRCV25ZBTOJ6CA7J6SRJPV" hidden="1">Addn #REF!</definedName>
    <definedName name="BExF7YREKZ9KNA4NJFZO3ZUQYEKL" hidden="1">Functional #REF!</definedName>
    <definedName name="BExGKN1EQXCDQEHXP2JYQQRYTRWK" hidden="1">Addn #REF!</definedName>
    <definedName name="BExGLHB4SQLGEEKYPK5PCSP8CXIU" hidden="1">SEU Func #REF!</definedName>
    <definedName name="BExGLKB1KMG0JUC55WOOFYX0L1QT" hidden="1">Financial &amp; Non-#REF!</definedName>
    <definedName name="BExGLQ02ITX09XCPFPXUSEY9X9O6" hidden="1">Addn #REF!</definedName>
    <definedName name="BExGLYE4J4L87N4M36NDPS2FTWGP" hidden="1">Functional #REF!</definedName>
    <definedName name="BExGM1OUGUFAEN5JAJ448R6L0DC9" hidden="1">SEU Driver #REF!</definedName>
    <definedName name="BExGM4OR6LGJ4FDHDF9B4FQLO5VG" hidden="1">#REF!</definedName>
    <definedName name="BExGMMO4PGKI0FCLLW0Y83EE49RL" hidden="1">Addn #REF!</definedName>
    <definedName name="BExGMTESDL71HXFF5HGI2UNODRJZ" hidden="1">SEU Driver by Func #REF!</definedName>
    <definedName name="BExGMVYK8MOJBCT6MO7TFJCQWCB4" hidden="1">Addn #REF!</definedName>
    <definedName name="BExGNLVTUF1UPFTN1H04SGPNRF7J" hidden="1">Functional #REF!</definedName>
    <definedName name="BExGNW803QVDQPUE9JUS0V7PM9XV" hidden="1">Addn #REF!</definedName>
    <definedName name="BExGO39MU9M3YRTE728WTLYISKF8" hidden="1">Addn #REF!</definedName>
    <definedName name="BExGO9V0UPC4EUV2KNMCLR1LECQ7" hidden="1">Addn #REF!</definedName>
    <definedName name="BExGOBCYYQ32Y05966JGP890LR5P" hidden="1">Financial &amp; Non-#REF!</definedName>
    <definedName name="BExGPJ9JSSVOEMUU1M5YPEVFX4NG" hidden="1">SEU Driver by Func #REF!</definedName>
    <definedName name="BExGPYEBZP2PJXBPRNVLPF811HK5" hidden="1">Addn #REF!</definedName>
    <definedName name="BExGQ6SGHLX1UM9L4HFT426AGHTJ" hidden="1">#REF!</definedName>
    <definedName name="BExGQOMI69EAM2G0OO7JQ9QWBGHF" hidden="1">SCG Func #REF!</definedName>
    <definedName name="BExGQXM28CAHL5P2JT4MT12AXVKQ" hidden="1">Functional #REF!</definedName>
    <definedName name="BExGR05TTS4EEK6FJB4Z1XNCU2IL" hidden="1">#REF!</definedName>
    <definedName name="BExGR2PH07U3CUHH1SJI9MSVTF4X" hidden="1">[0]!SDGE Func #REF!</definedName>
    <definedName name="BExGRCLIZJ7923TN9WTU4JZQTJYD" hidden="1">SEU Driver #REF!</definedName>
    <definedName name="BExGRNOQ1INB98JYFD7QR60QU8J0" hidden="1">Addn #REF!</definedName>
    <definedName name="BExGROABY17NJ0W01ONPLDSLT7KW" hidden="1">Addn #REF!</definedName>
    <definedName name="BExGRTDQRTVRLDLDG9M3OT7SCRYO" hidden="1">#REF!</definedName>
    <definedName name="BExGS1H2LMB6GNAYU1SO8C2A7ZCY" hidden="1">#REF!</definedName>
    <definedName name="BExGSET422SC76HGF6BD7D0Y4AJ7" hidden="1">SEU Driver by Func #REF!</definedName>
    <definedName name="BExGSJLREUNQM8QN7XF7ULBE3ABJ" hidden="1">Functional #REF!</definedName>
    <definedName name="BExGSRP2RCVSVBEI53K7SAI5Q9PI" hidden="1">SCG Func #REF!</definedName>
    <definedName name="BExGSU3EO2DALPTV06MEXU0DGFQC" hidden="1">SEU Func #REF!</definedName>
    <definedName name="BExGT9TRBEXEWQ0B9KXJX7Z5UJRY" hidden="1">Financial &amp; Non-#REF!</definedName>
    <definedName name="BExGTBMJUADXPOUCEYU665THGQO2" hidden="1">Functional #REF!</definedName>
    <definedName name="BExGTIITSO78YF6RR73QHWEYK87U" hidden="1">Addn #REF!</definedName>
    <definedName name="BExGUAOWJHFLPH9QVH93IOYVKOMO" hidden="1">[0]!SDGE Func #REF!</definedName>
    <definedName name="BExGUGJ7JW4B1Q93WL3HH2XKDWXW" hidden="1">Addn #REF!</definedName>
    <definedName name="BExGUOBXX25SLEUMAHTMBBD37IF8" hidden="1">SCG Func #REF!</definedName>
    <definedName name="BExGV83UEDIYPPYAFYK850MTRA20" hidden="1">#REF!</definedName>
    <definedName name="BExGVWU3I1N98ZJLT37NV6U7MU41" hidden="1">Addn #REF!</definedName>
    <definedName name="BExGVXVSDMTHO66SM4TYGELLKBHR" hidden="1">SCG Func #REF!</definedName>
    <definedName name="BExGW1XJNF8ZA5174XEG2T1BA0LK" hidden="1">#REF!</definedName>
    <definedName name="BExGX3E1UUGUNWM7H46KUNH1G7V9" hidden="1">SEU Func Area by #REF!</definedName>
    <definedName name="BExGXFDNXOOKOD5MZTQ0KVDF4N34" hidden="1">#REF!</definedName>
    <definedName name="BExGXNX1TWG5GTUBXCTBTF1B4KJV" hidden="1">Financial &amp; Non-#REF!</definedName>
    <definedName name="BExGXQM6KA3CYNQRFGYQ73WXXG17" hidden="1">[0]!SDGE Func #REF!</definedName>
    <definedName name="BExGXX7JK0MPSZQT0YGZ8WBGKX1B" hidden="1">Addn #REF!</definedName>
    <definedName name="BExGY55KGVQABF1JSG4UW8ZYF0V0" hidden="1">Addn #REF!</definedName>
    <definedName name="BExGY7ZZ56Z6VYPBCD3UONC4EJZG" hidden="1">Functional #REF!</definedName>
    <definedName name="BExGY9CMOVKAA1T7PZKIYJK1B21L" hidden="1">Addn #REF!</definedName>
    <definedName name="BExGYKL4E6PDS7BORYW6OIYDZ08D" hidden="1">#REF!</definedName>
    <definedName name="BExGZANU0NKBR7BENVVONMA3G9VH" hidden="1">Functional #REF!</definedName>
    <definedName name="BExGZE3V7GJL3EY0JX5GX8MBWN8U" hidden="1">SEU Func Comm by #REF!</definedName>
    <definedName name="BExGZEPFQH1LIB70VVOS2H2BZGAG" hidden="1">SEU Driver #REF!</definedName>
    <definedName name="BExGZHJZPD8DKFQ3732QJAL8QVXT" hidden="1">Addn #REF!</definedName>
    <definedName name="BExGZJ1XKN2W09Q7JR3W6MM4STLQ" hidden="1">Financial &amp; Non-#REF!</definedName>
    <definedName name="BExGZQZS6V2URKO3EIGKOOVHUU3H" hidden="1">Addn #REF!</definedName>
    <definedName name="BExH0IKGVHOBJIDPCZHJ479O3SRP" hidden="1">SEU Func #REF!</definedName>
    <definedName name="BExH1YKD2I1DBVJNDJET8J83W122" hidden="1">[0]!SDGE Func #REF!</definedName>
    <definedName name="BExH2CY9K2FSWO15D9QFCTPUHA9H" hidden="1">Addn #REF!</definedName>
    <definedName name="BExH2D91ZFWCDB3SI5A50B000FVX" hidden="1">Addn #REF!</definedName>
    <definedName name="BExH2YZ94P6CDZWU4OBA137L6UHO" hidden="1">SEU Func #REF!</definedName>
    <definedName name="BExH3P7DTX62RPMIDHX5GI04FYKQ" hidden="1">Functional #REF!</definedName>
    <definedName name="BExH4ETUSFTMPBY6PV1SWMC6QX5G" hidden="1">#REF!</definedName>
    <definedName name="BExIFSCMTI0FAJ8EV2XHIBYCOK6I" hidden="1">Addn #REF!</definedName>
    <definedName name="BExIH2T1CRIPNN2YFR7GOWLYEA52" hidden="1">SCG Func #REF!</definedName>
    <definedName name="BExIH2T1IY9JQEUFBZ4JLOJV0TG5" hidden="1">Functional #REF!</definedName>
    <definedName name="BExIHGAIUBSYBR9A804NA3TRM4S8" hidden="1">#REF!</definedName>
    <definedName name="BExIHZRVCSHLCGDXWK8U6MU55AB7" hidden="1">SEU Func #REF!</definedName>
    <definedName name="BExII4VA48OXWGVJF9IBSMUY9V98" hidden="1">Functional #REF!</definedName>
    <definedName name="BExII7EXHAHJM240CRUWBO9962O7" hidden="1">Addn #REF!</definedName>
    <definedName name="BExIITW628XK67X2U1OPK4J84ZEV" hidden="1">#REF!</definedName>
    <definedName name="BExIJ7DPBEAMQ0MSR84W0UBZWEGS" hidden="1">SEU Func #REF!</definedName>
    <definedName name="BExIJA84K6XVD5SKJPK4SV2P73TB" hidden="1">#REF!</definedName>
    <definedName name="BExIJNPMVEY41OWJGVYMC94PWIYE" hidden="1">Addn #REF!</definedName>
    <definedName name="BExIJPIDP9JV8OJLIDAYGPANDFSY" hidden="1">Financial &amp; Non-#REF!</definedName>
    <definedName name="BExIJPNPAAVDZH0GGK1FKGQPZZSM" hidden="1">#REF!</definedName>
    <definedName name="BExIK1HYH5WNNXHXQ1OWPYCTHU72" hidden="1">Addn #REF!</definedName>
    <definedName name="BExIKEZJKO4ZEDFGQII0YK1U11JZ" hidden="1">#REF!</definedName>
    <definedName name="BExIKRKOIS45NJ5YKIDVWPQOYOL9" hidden="1">Addn #REF!</definedName>
    <definedName name="BExIL4B5GFRFNQH8Q8AMHVEHCUZO" hidden="1">Functional #REF!</definedName>
    <definedName name="BExIL4GLR59EU0W87F88F2QG1Z8O" hidden="1">#REF!</definedName>
    <definedName name="BExILAR1ZPEWM5YR24H92C0JDRRN" hidden="1">Addn #REF!</definedName>
    <definedName name="BExILDATS6PRT5N7FTAWPKOBH5B7" hidden="1">#REF!</definedName>
    <definedName name="BExILWHDUF5X53U4Q4U0I1JKVVE5" hidden="1">Functional #REF!</definedName>
    <definedName name="BExIM4VIKFX1GI2KS4JBBQD4OZC4" hidden="1">Addn #REF!</definedName>
    <definedName name="BExIMC2EV8MZFYH202AYX95VN5T4" hidden="1">Functional #REF!</definedName>
    <definedName name="BExIMQ5KZ1K5TTI03C4VA04B2U57" hidden="1">Functional #REF!</definedName>
    <definedName name="BExIN13AVDPXLS4PF4Z9M9G1Z76E" hidden="1">SEU Func #REF!</definedName>
    <definedName name="BExIND86ZS4TEVYV6ZK18DKTBFIO" hidden="1">SEU Driver by Func #REF!</definedName>
    <definedName name="BExIO8P4YOIMV1JAWVAZ4DO6021M" hidden="1">Addn #REF!</definedName>
    <definedName name="BExIP5D60RQDO1HRB19L6DCT83H4" hidden="1">Addn #REF!</definedName>
    <definedName name="BExIPBNM3CSLE9YV7LOT0R11MJBI" hidden="1">Addn #REF!</definedName>
    <definedName name="BExIQ92Q0519J5MJF4MW49ZAAUV6" hidden="1">SCG Func #REF!</definedName>
    <definedName name="BExIQEM98FHB6XHBDY1JFPRGK4MD" hidden="1">Addn #REF!</definedName>
    <definedName name="BExIQK0GFOIXW53793KMLA7DSQWI" hidden="1">Addn #REF!</definedName>
    <definedName name="BExIQS98Y1Q64V6T2E9KQVFOKVI8" hidden="1">Addn #REF!</definedName>
    <definedName name="BExIQTG93KR7ME8UBCBGVA6APZ6M" hidden="1">SEU Driver by Func #REF!</definedName>
    <definedName name="BExIR9SCR713IFP0WZBGWVXN92JA" hidden="1">SEU Func #REF!</definedName>
    <definedName name="BExIRG2YB6U8XHVW0HAGK8L4KEYV" hidden="1">Addn #REF!</definedName>
    <definedName name="BExIRL0WRAH90TEKQ2PU8MXBVPBM" hidden="1">#REF!</definedName>
    <definedName name="BExIRNVGNU73CEF6ALOGYUNOW0U7" hidden="1">SCG Func #REF!</definedName>
    <definedName name="BExIRVO0QSGCASW0AWUQM10DO92I" hidden="1">Addn #REF!</definedName>
    <definedName name="BExIS0WSQ5Z8QJQFTZYMXQZN5YCN" hidden="1">SEU Driver by Func #REF!</definedName>
    <definedName name="BExIS4YIQALZA992UXXBU4JDFBGM" hidden="1">Addn #REF!</definedName>
    <definedName name="BExISG72A6BHVE3NBQVTYPSLT7KB" hidden="1">Addn #REF!</definedName>
    <definedName name="BExITABBUGATHQ5Y5MAOQP5SH17Q" hidden="1">SEU Func #REF!</definedName>
    <definedName name="BExITARJVCVQ5G6KQDP88RC6QHCY" hidden="1">SEU Driver by Func #REF!</definedName>
    <definedName name="BExITBIGWP0MJPJSN8IZU3RMEAWJ" hidden="1">Addn #REF!</definedName>
    <definedName name="BExITOP7O4BSUW087EKMYLKB4UXR" hidden="1">Addn #REF!</definedName>
    <definedName name="BExIUBXHE3WUI9QDGCGHET2XGDAL" hidden="1">Addn #REF!</definedName>
    <definedName name="BExIV8QOQ84LJ5PXUX5MI80QGD5Q" hidden="1">SEU Driver #REF!</definedName>
    <definedName name="BExIW726IGZYRA6TJ5ZLKE7ABQG8" hidden="1">Addn #REF!</definedName>
    <definedName name="BExIWEJX25D5FZQI9Z7LS76QACOK" hidden="1">SEU Func #REF!</definedName>
    <definedName name="BExIWX4QUS8GZI89PS41C2PO12UH" hidden="1">#REF!</definedName>
    <definedName name="BExIXEYRZT15Z6D54TJWMF3SWCQP" hidden="1">SEU Driver #REF!</definedName>
    <definedName name="BExIXNCWXXNR81ZIR70WT7ST77V6" hidden="1">#REF!</definedName>
    <definedName name="BExIXR95Q2IRU8YKZAQATRN0FWV6" hidden="1">Addn #REF!</definedName>
    <definedName name="BExIXZ1KHL3SNHLFECYBDHKZ6U46" hidden="1">Financial &amp; Non-#REF!</definedName>
    <definedName name="BExIXZXWB0BZMJ1121LAL9FZAMPY" hidden="1">#REF!</definedName>
    <definedName name="BExIXZY37U9ICT1J1TGVVPDR0J6T" hidden="1">Addn #REF!</definedName>
    <definedName name="BExIYBS6OBX000CKF26KUVT6PKXL" hidden="1">[0]!SDGE Func #REF!</definedName>
    <definedName name="BExIYHH6IUOGFPR0AUG0J2X3E6P1" hidden="1">SEU Func #REF!</definedName>
    <definedName name="BExIZ6STDECZVLI5IBZWNWSATJ4K" hidden="1">#REF!</definedName>
    <definedName name="BExIZ7954XTG6TZNHLKX4KDKM9AL" hidden="1">[0]!SDGE Func #REF!</definedName>
    <definedName name="BExIZL6QTBF2FNZRHMADQY6XGJNX" hidden="1">[0]!SDGE Func #REF!</definedName>
    <definedName name="BExJ0K955EICJ1YH4ZJN1EIAPCZU" hidden="1">#REF!</definedName>
    <definedName name="BExKDX3VKK7MG2TKGKAVMP2ALL86" hidden="1">SEU Driver by Func #REF!</definedName>
    <definedName name="BExKESQ2K3X7U1M7WJDWS8NN1TYL" hidden="1">Addn #REF!</definedName>
    <definedName name="BExKF1KFA6ISNT7S5JBN7SJ6HN1G" hidden="1">#REF!</definedName>
    <definedName name="BExKFMZTST3O2X2Y679VNNJ5G5IT" hidden="1">Addn #REF!</definedName>
    <definedName name="BExKFY31TCY75OMUQNG8CGUAAIZH" hidden="1">SEU Func #REF!</definedName>
    <definedName name="BExKGB4BKOPM9LE0VKOE03YHIQQM" hidden="1">[0]!SDGE Func #REF!</definedName>
    <definedName name="BExKGK414LP3SF9H998WCWSOZ2RF" hidden="1">SEU Func Comm by #REF!</definedName>
    <definedName name="BExKGYCEMSXID5NF8FBMWC5E4K2K" hidden="1">SEU Func #REF!</definedName>
    <definedName name="BExKH58LCFIHH716PTTOB278LXGP" hidden="1">SEU Func Area by #REF!</definedName>
    <definedName name="BExKH8DY8MFUAOSM43HQ8ZLUIYDQ" hidden="1">SEU Func Comm by #REF!</definedName>
    <definedName name="BExKHZICQ1E9QB703OWB9P9TA3GE" hidden="1">#REF!</definedName>
    <definedName name="BExKI5I5KMP8GK5LXTIJRDIZI45R" hidden="1">Financial &amp; Non-#REF!</definedName>
    <definedName name="BExKI6PB6I40BP844JARMGLG2SEB" hidden="1">SEU Func Comm by #REF!</definedName>
    <definedName name="BExKIQXJ967YLRAPFPZG794BH5FH" hidden="1">#REF!</definedName>
    <definedName name="BExKJ449OV40VVKF65OXB94QVZRT" hidden="1">[0]!SDGE Func #REF!</definedName>
    <definedName name="BExKJDK7IFNOH6RPBUJFQZKBG9OH" hidden="1">#REF!</definedName>
    <definedName name="BExKJQWAL54M0GRP4G9LT5MZ4OMD" hidden="1">Functional #REF!</definedName>
    <definedName name="BExKJSP190NZYQ5XVLKC55XXONA5" hidden="1">Financial &amp; Non-#REF!</definedName>
    <definedName name="BExKK133OOFMQ7OWQCIX64AAKG2L" hidden="1">Functional #REF!</definedName>
    <definedName name="BExKK2VV978E5BT67CQZMWKW3LM0" hidden="1">SEU Driver #REF!</definedName>
    <definedName name="BExKKKPT0RT08PFXTO1TW4GD4O72" hidden="1">Financial &amp; Non-#REF!</definedName>
    <definedName name="BExKKQ3YKPG0QQ2CCOWY5FOQL6XM" hidden="1">Functional #REF!</definedName>
    <definedName name="BExKL9FUJ2MAP5ZX5Z9FRXDH8NYC" hidden="1">Addn #REF!</definedName>
    <definedName name="BExKM8YAU64ZSHWSTOSVCXXSSCW3" hidden="1">Addn #REF!</definedName>
    <definedName name="BExKML3DLDIN5KIOOVS39URB556K" hidden="1">SEU Driver #REF!</definedName>
    <definedName name="BExKNYOZYS7I7HLZ129C2GRARZ16" hidden="1">Addn #REF!</definedName>
    <definedName name="BExKP7Y39UUGJ27U56FD2ME1KEP8" hidden="1">#REF!</definedName>
    <definedName name="BExKPRKVLJ5V59B8JWBKL52I9LUS" hidden="1">SEU Driver #REF!</definedName>
    <definedName name="BExKQ0F2NKVWWZKV3BGXGP4M2VAB" hidden="1">Financial &amp; Non-#REF!</definedName>
    <definedName name="BExKQ8NVLIT2Y22ECVW8NVPOMRIS" hidden="1">Addn #REF!</definedName>
    <definedName name="BExKR1VTU35AA8MJSWNOC03YM1QJ" hidden="1">Functional #REF!</definedName>
    <definedName name="BExKR8RYW6MVQ90YGUFXYV8L34Y9" hidden="1">Addn #REF!</definedName>
    <definedName name="BExKRWQXIQ0Z9KBXHOCWW79NEIMQ" hidden="1">SEU Driver by Func #REF!</definedName>
    <definedName name="BExKS6N0RWV8M0L0SWKOTCW30V6N" hidden="1">SCG Func #REF!</definedName>
    <definedName name="BExKS73AFX6IOPJ24COHC5Y30145" hidden="1">Addn #REF!</definedName>
    <definedName name="BExKTCLKTZQTBMY9VWLXLV0JMA9G" hidden="1">SCG Func #REF!</definedName>
    <definedName name="BExKTWOHI8PDZ0JPTTE7Q0RFDQ6A" hidden="1">SEU Func Comm by #REF!</definedName>
    <definedName name="BExKU39VGJLLYZIYK7152IIOF3QO" hidden="1">Functional #REF!</definedName>
    <definedName name="BExKU8YVHGSXISXM3VLI5L8DZB9M" hidden="1">Addn #REF!</definedName>
    <definedName name="BExKUBTB0I4XX7MY353FZD37JTT1" hidden="1">Addn #REF!</definedName>
    <definedName name="BExKUCPN5NTM52SNK7EI4BW9SB8G" hidden="1">Addn #REF!</definedName>
    <definedName name="BExKVDVJGVVKQQE2R9K79IPYV84K" hidden="1">Functional #REF!</definedName>
    <definedName name="BExM8ZKH3UP9P5WJASC50S8LP664" hidden="1">Addn #REF!</definedName>
    <definedName name="BExMAJRGSIR6B60AL6WX7A4LRW60" hidden="1">Functional #REF!</definedName>
    <definedName name="BExMAL43YJRRMMRTLS9A2ADQ7ARN" hidden="1">Addn #REF!</definedName>
    <definedName name="BExMAY020KM1KV6VF6ECNR54F8H4" hidden="1">Financial &amp; Non-#REF!</definedName>
    <definedName name="BExMAYWEZTCCJHQMGTDJ1A37YU7A" hidden="1">Addn #REF!</definedName>
    <definedName name="BExMB1QV9QK0ZMI45WS9BP5AFQ6O" hidden="1">SEU Driver by Func #REF!</definedName>
    <definedName name="BExMCGZWH8JESXBU5FKRQLUIGD7H" hidden="1">SEU Func #REF!</definedName>
    <definedName name="BExMCYTRQZAN58T3JVVUKN00G8TA" hidden="1">#REF!</definedName>
    <definedName name="BExMDJ7HH09S5OF6ZSLZ3GNDIQPI" hidden="1">SEU Driver #REF!</definedName>
    <definedName name="BExMDJT23FOO7CHLLHTC90FO8HTA" hidden="1">Addn #REF!</definedName>
    <definedName name="BExMDPY5F5XZH8HO45T0GJBQLNMS" hidden="1">SCG Func #REF!</definedName>
    <definedName name="BExMDUAP2EQI3Q78L0SAFXFLPT4B" hidden="1">Functional #REF!</definedName>
    <definedName name="BExME7MQDJ65NPFDCI9ZJHESAOUO" hidden="1">Functional #REF!</definedName>
    <definedName name="BExMEB88ZSSHONPYPVQVLMI087MN" hidden="1">[0]!SDGE Func #REF!</definedName>
    <definedName name="BExMEBZAZ4NPJIN5YIPCHXTCLUYU" hidden="1">Financial &amp; Non-#REF!</definedName>
    <definedName name="BExMEJ69PEOYTY3JH5Y4HI9K37HM" hidden="1">Addn #REF!</definedName>
    <definedName name="BExMELPVH2A780R1BZF94B61NNLT" hidden="1">Functional #REF!</definedName>
    <definedName name="BExMENTE6VDOIFDN6E9OIT1X7FRI" hidden="1">Financial &amp; Non-#REF!</definedName>
    <definedName name="BExMF577SWU21FLNEOG8Z1LSXW4W" hidden="1">SEU Driver by Func #REF!</definedName>
    <definedName name="BExMFQS24YQ73TYXUC3VX2I26SPH" hidden="1">#REF!</definedName>
    <definedName name="BExMGB5KXY2V8JJBY1BUP25IL7PZ" hidden="1">#REF!</definedName>
    <definedName name="BExMGF7C01Z9U7YMYJAUV3N1M222" hidden="1">Addn #REF!</definedName>
    <definedName name="BExMGOXWQY72Q42XUVNBNJ68SCWL" hidden="1">SEU Func #REF!</definedName>
    <definedName name="BExMGPOYUC1P4H867BRSI49M7XN4" hidden="1">Functional #REF!</definedName>
    <definedName name="BExMGQQSKI22L90LKX7J7R8IJTYN" hidden="1">[0]!SDGE Func #REF!</definedName>
    <definedName name="BExMGS39V91P6N8K89TBHIK11NXN" hidden="1">SCG Func #REF!</definedName>
    <definedName name="BExMH1TVNP5HF1BRYTLXIDDKOZ6S" hidden="1">Addn #REF!</definedName>
    <definedName name="BExMHDO5Q50GZZG66W4JZ17HQPJ6" hidden="1">Addn #REF!</definedName>
    <definedName name="BExMHHPRC496VAFBZBHWJ2Q8RAY2" hidden="1">Addn #REF!</definedName>
    <definedName name="BExMHIM2IX8RUQZ8XXGJRV8VASYM" hidden="1">Addn #REF!</definedName>
    <definedName name="BExMHQ3UNCVIBIXHPQMSNULHFRZJ" hidden="1">#REF!</definedName>
    <definedName name="BExMHZZWCUW2LAKE6DQCGOIO6UNL" hidden="1">SEU Func #REF!</definedName>
    <definedName name="BExMI9VX7UHKIXM5WADK6NYN15DD" hidden="1">SEU Driver by Func #REF!</definedName>
    <definedName name="BExMIFA55ROTS3LTP0KD4HNJ4KNM" hidden="1">Addn #REF!</definedName>
    <definedName name="BExMJLOTJ54L4YM3YNGCNJ05Z06B" hidden="1">#REF!</definedName>
    <definedName name="BExMJXTQCAKQTOWFNWVOYBSD2E3H" hidden="1">Addn #REF!</definedName>
    <definedName name="BExMK7V8LGPSGPADE34UVO11KCDN" hidden="1">Addn #REF!</definedName>
    <definedName name="BExMKQAQ0OOXUQQNP16IW04CB31T" hidden="1">Financial &amp; Non-#REF!</definedName>
    <definedName name="BExML135M2OMCP27UTB2EE8RHL6J" hidden="1">Addn #REF!</definedName>
    <definedName name="BExML4TY6P9PJ1AH1XDQGD5C68F2" hidden="1">#REF!</definedName>
    <definedName name="BExMM0WFG8G3KB0OASCLL5AC0ONW" hidden="1">SEU Func Comm by #REF!</definedName>
    <definedName name="BExMM1HZVEP4G5J4DX615ZSFMQUZ" hidden="1">Functional #REF!</definedName>
    <definedName name="BExMMNTRRKO04772SBFDMS83UJFW" hidden="1">Addn #REF!</definedName>
    <definedName name="BExMMOA1RQU6F8AW993D1AV8FS83" hidden="1">Functional #REF!</definedName>
    <definedName name="BExMNAAZN51CLJDY28X4R17SL7DY" hidden="1">SCG Func #REF!</definedName>
    <definedName name="BExMNB7CXH6Z415JA8NXAQTTWE6F" hidden="1">Functional #REF!</definedName>
    <definedName name="BExMNDAX5P2SPZLWT664PLCI91A1" hidden="1">Functional #REF!</definedName>
    <definedName name="BExMNGWDVOO76VO30FKCO8J0OCCC" hidden="1">SEU Func #REF!</definedName>
    <definedName name="BExMNPAGCU6O5FM90I5DQNXTDLU6" hidden="1">[0]!SDGE Func #REF!</definedName>
    <definedName name="BExMNZS3Y02ZU55HR88AN6OIBHNO" hidden="1">SEU Driver #REF!</definedName>
    <definedName name="BExMO5X7UFE5OT76GT4ZZJOLG4M8" hidden="1">Financial &amp; Non-#REF!</definedName>
    <definedName name="BExMOHM0XU316F0O6JVHM10XKMNM" hidden="1">Addn #REF!</definedName>
    <definedName name="BExMOOSY6RU55NYNTNDFRW0VNJ8R" hidden="1">SCG Func #REF!</definedName>
    <definedName name="BExMP1UCX5RBULDAEQQRH40M55B0" hidden="1">#REF!</definedName>
    <definedName name="BExMPC13DPCNW7JITTX6YD0FA6XQ" hidden="1">Addn #REF!</definedName>
    <definedName name="BExMPP7U4PC4FO9ST6JRYVV57T4W" hidden="1">Financial &amp; Non-#REF!</definedName>
    <definedName name="BExMQ4NLEEZ3RE0WXCQS3UISSFC2" hidden="1">Addn #REF!</definedName>
    <definedName name="BExMQ6ATGDBCHCFPL4LNQH0G3C3Q" hidden="1">SEU Driver #REF!</definedName>
    <definedName name="BExMQJSCDCUXDSNTD1B9LXMPUQ4T" hidden="1">SCG Func #REF!</definedName>
    <definedName name="BExMQRKWQ4GCVSBUJBM4509XR0I6" hidden="1">#REF!</definedName>
    <definedName name="BExMQZDFM6REC1CIHLIWOO0S42A2" hidden="1">SEU Func #REF!</definedName>
    <definedName name="BExMR6EWCY52W01QZQOLBFTR124J" hidden="1">SEU Driver by Func #REF!</definedName>
    <definedName name="BExMRKY9QK5LV0WQSEVF1NEPLY2I" hidden="1">SEU Driver by Func #REF!</definedName>
    <definedName name="BExMRTSGRYVIP5AR6LCTRF8D71KA" hidden="1">Addn #REF!</definedName>
    <definedName name="BExMSEX7XWOZM8GVFKRFEQBGHXOA" hidden="1">SEU Driver by Func #REF!</definedName>
    <definedName name="BExMSKGR674YUIEMWAXOD5HI4J7B" hidden="1">SEU Driver #REF!</definedName>
    <definedName name="BExO60WZVOCTJPE1IXJG0XGYZJNT" hidden="1">SEU Func Area by #REF!</definedName>
    <definedName name="BExO6129YAWMR7HOVBDF4LQNVP66" hidden="1">SEU Driver #REF!</definedName>
    <definedName name="BExO62441253JG7FUJDWJJSMTWPM" hidden="1">SEU Driver #REF!</definedName>
    <definedName name="BExO62PQIHHOY2AMT4DS5R4X2GDE" hidden="1">#REF!</definedName>
    <definedName name="BExO6FG76JG938WZ4VRW3DWP3453" hidden="1">#REF!</definedName>
    <definedName name="BExO6VMUCMFBCMVG250D3SD90Q0P" hidden="1">Addn #REF!</definedName>
    <definedName name="BExO74XBR05Z3OFEINK71ZZNGEIN" hidden="1">[0]!SDGE Func #REF!</definedName>
    <definedName name="BExO7ABJCC5RO5ZRFO3EALA6E26V" hidden="1">SEU Func Area by #REF!</definedName>
    <definedName name="BExO7IPN407OSZ4D26UTUGXWY1L2" hidden="1">Addn #REF!</definedName>
    <definedName name="BExO7QI6R622VVAMNZSEVHADGAW4" hidden="1">SEU Func Area by #REF!</definedName>
    <definedName name="BExO7ZSNWDHCVH0VQ4UKOGZ520HS" hidden="1">SEU Func Comm by #REF!</definedName>
    <definedName name="BExO82SKFIERVB1ZNP4AC82M8YUP" hidden="1">#REF!</definedName>
    <definedName name="BExO8AA9S369RFL3XGH097ZQX2FJ" hidden="1">SEU Driver by Func #REF!</definedName>
    <definedName name="BExO8RYVNYD1T7M7F0JW2TXZLTP3" hidden="1">[0]!SDGE Func #REF!</definedName>
    <definedName name="BExO9504J9X5SXORSOTXW0PT59JX" hidden="1">Financial &amp; Non-#REF!</definedName>
    <definedName name="BExO955HS210TLM0L428N4017JNQ" hidden="1">#REF!</definedName>
    <definedName name="BExO9HAIWSP2HKRMYQK5HSJJRXB5" hidden="1">[0]!SDGE Func #REF!</definedName>
    <definedName name="BExO9JU5FRFZS8VOCWSHGOCNPRUO" hidden="1">SEU Driver #REF!</definedName>
    <definedName name="BExO9TVPELHSSYFNE9H2Q12VARJ8" hidden="1">Functional #REF!</definedName>
    <definedName name="BExOA069IYGEKQJUMRNZAUYGHYEV" hidden="1">Addn #REF!</definedName>
    <definedName name="BExOA24AWI5P528WA2MG9XPJ10L9" hidden="1">Addn #REF!</definedName>
    <definedName name="BExOAN8WWRQQ821CN5CAUAUS1H3H" hidden="1">Addn #REF!</definedName>
    <definedName name="BExOAZZISMSAAP3ZVSJOPBGSEBYJ" hidden="1">Addn #REF!</definedName>
    <definedName name="BExOBDGX77AE6KDSC3Q8QBAKF7OZ" hidden="1">SEU Driver #REF!</definedName>
    <definedName name="BExOBFF4KANUZYUK37E4232RPCZ5" hidden="1">SEU Func Area by #REF!</definedName>
    <definedName name="BExOBPB6HWKPTKGSF2NVW5BFY089" hidden="1">Addn #REF!</definedName>
    <definedName name="BExOBT1YWRS72JU43NBHNLN3MX37" hidden="1">Functional #REF!</definedName>
    <definedName name="BExOCBHLUOJJ3UA543C0845URN9O" hidden="1">#REF!</definedName>
    <definedName name="BExOCI8BCYE5VOS7SW59CHPXQXD3" hidden="1">Functional #REF!</definedName>
    <definedName name="BExOCYKA8C9LCJZ97HE642EHO6MV" hidden="1">#REF!</definedName>
    <definedName name="BExOCZ0IZA0NXKV7K1DZEZBNRTDZ" hidden="1">[0]!SDGE Func #REF!</definedName>
    <definedName name="BExOCZ0J5OGJ1P4AGO1KSRW4EGU9" hidden="1">Addn #REF!</definedName>
    <definedName name="BExOD3YNCD55OGF8FWVKI8E6ZHCX" hidden="1">Addn #REF!</definedName>
    <definedName name="BExODLSK4AXZMT0UQ7308DJ25A3X" hidden="1">Addn #REF!</definedName>
    <definedName name="BExODTVTSFDRYVKXVTZMAYROJNAC" hidden="1">Addn #REF!</definedName>
    <definedName name="BExOEATEHRPAAW59WRPVUXCSXWWM" hidden="1">Financial &amp; Non-#REF!</definedName>
    <definedName name="BExOECBC8K6R5WJMBKLK19FVPEIH" hidden="1">#REF!</definedName>
    <definedName name="BExOESNA0H1NRV4Z3HXFZAV6JNPO" hidden="1">SEU Driver by Func #REF!</definedName>
    <definedName name="BExOEWZU6X5T9E578SELNVKF8IT1" hidden="1">#REF!</definedName>
    <definedName name="BExOF6VWZ97OQ1MXBL3NB7Z9GHAD" hidden="1">SEU Func #REF!</definedName>
    <definedName name="BExOFNINR8MYGMZJAJWXQT3V0DRI" hidden="1">#REF!</definedName>
    <definedName name="BExOFYR5NL8NL19S6KEG4ONIU4H4" hidden="1">SEU Func Comm by #REF!</definedName>
    <definedName name="BExOG106RFCPYHFQJP0S6YDXA8WY" hidden="1">Financial &amp; Non-#REF!</definedName>
    <definedName name="BExOG63K269Z3JX8RAXAOV5RFA6S" hidden="1">SEU Func Comm by #REF!</definedName>
    <definedName name="BExOG8HWP4K3ABV2RW47ERMG54WX" hidden="1">SEU Func #REF!</definedName>
    <definedName name="BExOG8SO9ZNSX3LX33TCRGER0FC5" hidden="1">Addn #REF!</definedName>
    <definedName name="BExOGGL7DY6KAFJ3BT9C5DDB2DMN" hidden="1">#REF!</definedName>
    <definedName name="BExOGUDJ29BYVV2DFL766H2VHS9P" hidden="1">Addn #REF!</definedName>
    <definedName name="BExOGXO35C5VQTEPYOMAXTTGK35G" hidden="1">Functional #REF!</definedName>
    <definedName name="BExOHGUL493OFL92WUO5941UNVAF" hidden="1">#REF!</definedName>
    <definedName name="BExOHJZZKRW8MLWKB8ZPBTDFT1NN" hidden="1">Functional #REF!</definedName>
    <definedName name="BExOJ4XVI6RIYLYK2Z74M5KI02TX" hidden="1">#REF!</definedName>
    <definedName name="BExOJEOL8KHOSO8KJA1RDXFGIAC7" hidden="1">SEU Driver by Func #REF!</definedName>
    <definedName name="BExOJJ6GSDEMS1GWKT2EHSUUP616" hidden="1">Addn #REF!</definedName>
    <definedName name="BExOK5I6MPNO5GXXJQESFQBM82FB" hidden="1">Addn #REF!</definedName>
    <definedName name="BExOKB76IASP45CDFUS9NBC6S8ID" hidden="1">#REF!</definedName>
    <definedName name="BExOKCJURL6UU68VOLAM5OSCNJUV" hidden="1">[0]!SDGE Func #REF!</definedName>
    <definedName name="BExOLEGH73PP7GBMUFDRSXY7QCGF" hidden="1">Addn #REF!</definedName>
    <definedName name="BExOM0C3ZT7OZ02ETIUHWUYMX0RH" hidden="1">#REF!</definedName>
    <definedName name="BExONUPYFRBOE82K597FNCKB2HNV" hidden="1">SEU Func #REF!</definedName>
    <definedName name="BExOOGLMRXXY80EY8PMUW7M6NGBT" hidden="1">Functional #REF!</definedName>
    <definedName name="BExOQAU418SOUHRKKHCQ7XH3N1UG" hidden="1">#REF!</definedName>
    <definedName name="BExQ2YIINOU9OPZUELI88344M3RN" hidden="1">SEU Driver by Func #REF!</definedName>
    <definedName name="BExQ3EZXMYF6SC2MDLM85CBCD7NU" hidden="1">SEU Func #REF!</definedName>
    <definedName name="BExQ3LLAZX8BH6YDVV2IJ97BR385" hidden="1">Addn #REF!</definedName>
    <definedName name="BExQ3VMNX0N9RDUPVIRP8O2P94JM" hidden="1">#REF!</definedName>
    <definedName name="BExQ3XFEYJSJLWP8XJNQY5ER1QTA" hidden="1">Addn #REF!</definedName>
    <definedName name="BExQ3ZTP2E66EKF82DXHNW6OWQVU" hidden="1">Addn #REF!</definedName>
    <definedName name="BExQ4AWYCTIYAGZI30IIHJRMK9QG" hidden="1">SEU Func #REF!</definedName>
    <definedName name="BExQ4CPOM6QGR639Q3KY4ECMC332" hidden="1">SCG Func #REF!</definedName>
    <definedName name="BExQ4F9B38CP2K9VITUCWBF1V0CS" hidden="1">Addn #REF!</definedName>
    <definedName name="BExQ4I9DCQNTO5R0AAS2BVIQ0LU0" hidden="1">Addn #REF!</definedName>
    <definedName name="BExQ4MG9P145QUW5CV2HFKQNQIPD" hidden="1">SCG Func #REF!</definedName>
    <definedName name="BExQ4Q77K0YR2IE6YWVW9WWVOXVJ" hidden="1">Addn #REF!</definedName>
    <definedName name="BExQ4QNIBAMQ3SZ3YUJTHQ453ECA" hidden="1">[0]!SDGE Func #REF!</definedName>
    <definedName name="BExQ50E33GY7AGKBQS7CUT71NA7V" hidden="1">Functional #REF!</definedName>
    <definedName name="BExQ51A9NLA2Z0BHSZ3HH003DUV6" hidden="1">#REF!</definedName>
    <definedName name="BExQ6RBQUCKWWHR49B00BM7NJKBU" hidden="1">SEU Driver #REF!</definedName>
    <definedName name="BExQ7H8Z4JZEKV7DKRN8IR7L8LN4" hidden="1">SEU Driver by Func #REF!</definedName>
    <definedName name="BExQ7M718ZLUNZ31YFPZU417O6AS" hidden="1">Addn #REF!</definedName>
    <definedName name="BExQ7YS7NL71BNL8X2TPIZ4UFABT" hidden="1">SCG Func #REF!</definedName>
    <definedName name="BExQ88OA9QG61T9Y6ICP4LHO80L4" hidden="1">#REF!</definedName>
    <definedName name="BExQ8P082ADH0GHYHNAS5H76LODT" hidden="1">Addn #REF!</definedName>
    <definedName name="BExQ8ZN66PYJPS4NA56Y8ZW76WHA" hidden="1">SEU Driver #REF!</definedName>
    <definedName name="BExQ9KH5NBG3I2WC91XLCXADHCY8" hidden="1">Addn #REF!</definedName>
    <definedName name="BExQ9P9MV7LZESESTQODI5LPS43P" hidden="1">#REF!</definedName>
    <definedName name="BExQ9RYW8PAJJS7C5ROAMSOU24FA" hidden="1">SEU Func #REF!</definedName>
    <definedName name="BExQABQUO054C0TGXGU1E178CJ78" hidden="1">Functional #REF!</definedName>
    <definedName name="BExQAI6W93U5E8GKHSEMYVCOQDTK" hidden="1">Financial &amp; Non-#REF!</definedName>
    <definedName name="BExQAJJDG87VXDZVZ6L4TVFA43G8" hidden="1">Addn #REF!</definedName>
    <definedName name="BExQAX0XGWFG7U8J58T1B6GLBTPQ" hidden="1">Financial &amp; Non-#REF!</definedName>
    <definedName name="BExQAXMHIUFR2SXTYEOXH1IU7FI6" hidden="1">SEU Func #REF!</definedName>
    <definedName name="BExQB7O1191BXM70J8YLKLI37EI7" hidden="1">SEU Func #REF!</definedName>
    <definedName name="BExQBAYQL3L2GL45IPXO9PHQXN1E" hidden="1">Addn #REF!</definedName>
    <definedName name="BExQBB9D8E92R7TZYZR39OAYKBAZ" hidden="1">Financial &amp; Non-#REF!</definedName>
    <definedName name="BExQBIB0AV5H6PRIUIV5BP99WOGP" hidden="1">Addn #REF!</definedName>
    <definedName name="BExQBNEFP57K3WT5RWPEKXN96DSN" hidden="1">Financial &amp; Non-#REF!</definedName>
    <definedName name="BExQBOG43NUN0YPBOQ9ELQJM1KK8" hidden="1">[0]!SDGE Func #REF!</definedName>
    <definedName name="BExQBR56XC5DKOS6VWQSM0V1CNVK" hidden="1">#REF!</definedName>
    <definedName name="BExQBW8N109R7HBQWZ3ITXTT9NHA" hidden="1">Functional #REF!</definedName>
    <definedName name="BExQBWE35QPYV14IAX9WA9PCLLJY" hidden="1">Addn #REF!</definedName>
    <definedName name="BExQBY1CRDVJQUXD8WTG2HO8S4YY" hidden="1">SEU Func #REF!</definedName>
    <definedName name="BExQC1SAIBSAVSD80NWIIEFTRS3Y" hidden="1">Functional #REF!</definedName>
    <definedName name="BExQC4HFIQGF0THKO9JUJ176I5VA" hidden="1">Addn #REF!</definedName>
    <definedName name="BExQC64OAI7X1A7H5G4EY9HZ49MV" hidden="1">#REF!</definedName>
    <definedName name="BExQCE7ZNNHRB6G2DUALPAL71S7T" hidden="1">Functional #REF!</definedName>
    <definedName name="BExQDBHMVN97D3TGXA85E63CUF4N" hidden="1">Functional #REF!</definedName>
    <definedName name="BExQDTBJ9AGB4D3JCXZIKRH2A2D5" hidden="1">Addn #REF!</definedName>
    <definedName name="BExQE5B5LQBSIIOTCA2LXF6C3ENO" hidden="1">#REF!</definedName>
    <definedName name="BExQEVDU433T9XDHQ7UJZVO40LHJ" hidden="1">#REF!</definedName>
    <definedName name="BExQEZFE9D1COWE4NSUDYEGXJ4U1" hidden="1">#REF!</definedName>
    <definedName name="BExQF7Z058RP9Z1NXPNIIVP3UFEX" hidden="1">Addn #REF!</definedName>
    <definedName name="BExQF8PX3T0UZ31CITIWEECBCOAL" hidden="1">Functional #REF!</definedName>
    <definedName name="BExQF9M8VIR56ZOVRGEBOWN7GO00" hidden="1">SEU Func #REF!</definedName>
    <definedName name="BExQFGNXSCIRLDX9X8H4IFN7BU6G" hidden="1">Addn #REF!</definedName>
    <definedName name="BExQFJNSW29Z2GQS47388QSKTAUO" hidden="1">SCG Func #REF!</definedName>
    <definedName name="BExQGCVQ27XJRQKLCQK0I6SYJE7A" hidden="1">Addn #REF!</definedName>
    <definedName name="BExQH3EIE5OI9AO9NWINKTO0YUUD" hidden="1">Addn #REF!</definedName>
    <definedName name="BExQHFJJZ453I91O5R4SDT3R49II" hidden="1">SEU Driver by Func #REF!</definedName>
    <definedName name="BExQHZMB7G35XFLCF1VPENGXTKW0" hidden="1">Addn #REF!</definedName>
    <definedName name="BExQI02KWITK4JLIL36ZOHLBKGOI" hidden="1">SCG Func #REF!</definedName>
    <definedName name="BExQIBRDPH5X5EPOQ8ANRD6ERSRY" hidden="1">SEU Func #REF!</definedName>
    <definedName name="BExQIJP8AMPRS9ZOFYPUX3QT9DCA" hidden="1">Functional #REF!</definedName>
    <definedName name="BExQJCMBSTIP2LZ3JXXJL7FSJSS8" hidden="1">#REF!</definedName>
    <definedName name="BExQJZ3KTKDHMDLW85FULTC2WAOQ" hidden="1">Addn #REF!</definedName>
    <definedName name="BExQK46ZM2Z2JWNYU3EBRZNRK5MJ" hidden="1">Functional #REF!</definedName>
    <definedName name="BExQKE31SV6EH8DAMJ4EKHYJ1P38" hidden="1">Financial &amp; Non-#REF!</definedName>
    <definedName name="BExQLT1AL7DPIH2ZF0N3ZYXJ1GHG" hidden="1">Addn #REF!</definedName>
    <definedName name="BExRZJTMRQ7D3UKMUG3FEBZ9YQQX" hidden="1">Addn #REF!</definedName>
    <definedName name="BExS0CW83OA5EKXM0L8HVKRWC1YA" hidden="1">Financial &amp; Non-#REF!</definedName>
    <definedName name="BExS0XVC7U1OIU7C1GPZRS02K0DW" hidden="1">Addn #REF!</definedName>
    <definedName name="BExS14WZRDFAFITC69DNKWQIIAQF" hidden="1">SEU Func #REF!</definedName>
    <definedName name="BExS15TDWNEFSC2K12R64B21U2ER" hidden="1">Functional #REF!</definedName>
    <definedName name="BExS1HNH5O7LQM1GGJD5FZBHMXIZ" hidden="1">Functional #REF!</definedName>
    <definedName name="BExS1THRUXZ3XVPW1XBQ0VHO9XZG" hidden="1">#REF!</definedName>
    <definedName name="BExS22HGR6D9MS67P2DUB6FX24ME" hidden="1">Addn #REF!</definedName>
    <definedName name="BExS27Q6D7DI1Q7103RY4N5FI5PJ" hidden="1">SEU Func #REF!</definedName>
    <definedName name="BExS2AFAU71CEY0E9IAK4MDRPQDP" hidden="1">SEU Driver #REF!</definedName>
    <definedName name="BExS2L7PYAVKNHNOB8UKRX2OUN1E" hidden="1">Addn #REF!</definedName>
    <definedName name="BExS2LD0JHQATS4KKDF08NLIQEAN" hidden="1">#REF!</definedName>
    <definedName name="BExS3GTXOY2FXN3KKUNPQ3ZKWQYD" hidden="1">Functional #REF!</definedName>
    <definedName name="BExS3IBWQW51YD19V9XINRZFT37D" hidden="1">SCG Func #REF!</definedName>
    <definedName name="BExS5E7O0CG4P3U6O2SO3KUCWN1X" hidden="1">SEU Func Area by #REF!</definedName>
    <definedName name="BExS5P5DSMPM6QC2J47S4OZBSBHC" hidden="1">Addn #REF!</definedName>
    <definedName name="BExS6BBUJZ443Z7JD9XISA4VZKCZ" hidden="1">Addn #REF!</definedName>
    <definedName name="BExS6L7WWB2AY9B9CRX0B8ZY9RA8" hidden="1">SEU Func #REF!</definedName>
    <definedName name="BExS71EJ95OT904Y464LA98EUX0O" hidden="1">SEU Driver #REF!</definedName>
    <definedName name="BExS74ZZJS8RDGXS0N33F8LO0AFI" hidden="1">Addn #REF!</definedName>
    <definedName name="BExS7676U1G43C4AGI7V2CFIXGKK" hidden="1">Addn #REF!</definedName>
    <definedName name="BExS7EQKJUS1O1G09IC8BBF8NRPS" hidden="1">Addn #REF!</definedName>
    <definedName name="BExS7LBYUQW02NWJUC50AL0QB0BC" hidden="1">Financial &amp; Non-#REF!</definedName>
    <definedName name="BExS7YTGMRL7M5AEAHTR6TGX3RR8" hidden="1">SEU Func #REF!</definedName>
    <definedName name="BExS847PDPFPGR9EP7XAP65DFG7M" hidden="1">[0]!SDGE Func #REF!</definedName>
    <definedName name="BExS85UYRGDWA1N1YMZMLPMIHY16" hidden="1">Functional #REF!</definedName>
    <definedName name="BExS8JHZR5RYMXHS2BZ2JA581YEQ" hidden="1">Addn #REF!</definedName>
    <definedName name="BExS8O55M4IV5UFZ5R62V7SLJ794" hidden="1">[0]!SDGE Func #REF!</definedName>
    <definedName name="BExS8YBZRN2SAB1Z0QWD4LTW9TDE" hidden="1">Functional #REF!</definedName>
    <definedName name="BExS92J2YMOU1BT56VOUDKZDW6A0" hidden="1">#REF!</definedName>
    <definedName name="BExS9GBD3ODEHQK243A1KHFPZYXP" hidden="1">Addn #REF!</definedName>
    <definedName name="BExS9MLY4GW7OKN0XXA2VQD67RGS" hidden="1">Addn #REF!</definedName>
    <definedName name="BExSA9360W0NPEKNF7C3CR2BIF43" hidden="1">#REF!</definedName>
    <definedName name="BExSA9JA5S47AC6EN7JNC33559GG" hidden="1">Addn #REF!</definedName>
    <definedName name="BExSAAABPYLIZ3RACZBIINEB79RU" hidden="1">SCG Func #REF!</definedName>
    <definedName name="BExSAJVMJRYEBRP8HQWAPVT0353Z" hidden="1">Addn #REF!</definedName>
    <definedName name="BExSAW5YGBMQXDRHNJ9VPN83LHSB" hidden="1">Functional #REF!</definedName>
    <definedName name="BExSAW5ZRWKHR68VG5SX1JML8SNU" hidden="1">Functional #REF!</definedName>
    <definedName name="BExSAWM3SJ0NQCZI3M5EFF951Z2K" hidden="1">Addn #REF!</definedName>
    <definedName name="BExSB1UZKPUMJUW88VY9HKCP4CFU" hidden="1">SEU Func #REF!</definedName>
    <definedName name="BExSBAP6KF35RVGGDKFOONVUDTGR" hidden="1">SCG Func #REF!</definedName>
    <definedName name="BExSE38VOP5A8ZMOW0LCZQMB29NN" hidden="1">SEU Driver by Func #REF!</definedName>
    <definedName name="BExSEAAHYKQPG6QN01IQZ5CUBS2K" hidden="1">#REF!</definedName>
    <definedName name="BExSEIZETXYIPL1RRGCTK4JXUNP0" hidden="1">Addn #REF!</definedName>
    <definedName name="BExSEV4BF77D27E3QM36R4SX620Q" hidden="1">SEU Func #REF!</definedName>
    <definedName name="BExSF9YBJY4NI59SIYVUVB0RHOF4" hidden="1">Functional #REF!</definedName>
    <definedName name="BExSFKFYRGFMQJN4JIPPK7PMC8LE" hidden="1">Functional #REF!</definedName>
    <definedName name="BExSFSJAMB7T9SL3A6XQO78A30PE" hidden="1">SEU Driver #REF!</definedName>
    <definedName name="BExSFY2ZNJ80BO8WBGH184HA98EK" hidden="1">SEU Func #REF!</definedName>
    <definedName name="BExSG4DJUVP24UH00G6C9BCFI6KA" hidden="1">Addn #REF!</definedName>
    <definedName name="BExSGJ7K26U35ER7JUE8V684SFCE" hidden="1">Financial &amp; Non-#REF!</definedName>
    <definedName name="BExSHBOKDMINRDJ7YNYDLKHU9GYY" hidden="1">[0]!SDGE Func #REF!</definedName>
    <definedName name="BExSHLVF6TPM309S368ESB5ZGZSP" hidden="1">SCG Func #REF!</definedName>
    <definedName name="BExSI4R6BJRHRQC9AWQ19WPYBQDS" hidden="1">Functional #REF!</definedName>
    <definedName name="BExTUGQR5U2JKKM690XNDR2KSDO9" hidden="1">Functional #REF!</definedName>
    <definedName name="BExTVC7NJZ78QFKT4X882RHJ46GJ" hidden="1">SEU Func #REF!</definedName>
    <definedName name="BExTW1DUQNAQI9BU8SWL2ICM9MMF" hidden="1">SEU Func #REF!</definedName>
    <definedName name="BExTW36RCD2KY1OEX83Q1U3Q7VEN" hidden="1">Functional #REF!</definedName>
    <definedName name="BExTWB4LY5OOB9M8R4ZRF0CDR8EK" hidden="1">Financial &amp; Non-#REF!</definedName>
    <definedName name="BExTWFX7M4DNJT01LA4G7CYKCU8O" hidden="1">#REF!</definedName>
    <definedName name="BExTWHVA529RIUNUTJC4YZRSYACS" hidden="1">Financial &amp; Non-#REF!</definedName>
    <definedName name="BExTXCQM8ASRFIRTKNOR4PRO5OQI" hidden="1">Addn #REF!</definedName>
    <definedName name="BExTXFL0HOBZ8ZB5R9T82PYHU5LD" hidden="1">Addn #REF!</definedName>
    <definedName name="BExTXI4TZTK03PE88UETNDSY061P" hidden="1">SEU Func #REF!</definedName>
    <definedName name="BExTXJS8SUGI8GKGKFEGIVUS6NL5" hidden="1">#REF!</definedName>
    <definedName name="BExTXLFIV4QC0KSIFAQHYBBHL6A7" hidden="1">Addn #REF!</definedName>
    <definedName name="BExTXO9YLF9CAC6Q4BUNFXBAI1YL" hidden="1">Financial &amp; Non-#REF!</definedName>
    <definedName name="BExTXSX81QFMW6EWWTT4O5BUXE8O" hidden="1">SEU Func Area by #REF!</definedName>
    <definedName name="BExTY2D1TYFKUGMS9CNKOTKEUAUO" hidden="1">SEU Driver by Func #REF!</definedName>
    <definedName name="BExTY8IBOV0WBKWN39KNO05GJANV" hidden="1">Addn #REF!</definedName>
    <definedName name="BExTYSL89HCHPV90LUSU3GFH5JUK" hidden="1">SEU Func #REF!</definedName>
    <definedName name="BExTYTSE5DS5GVCLLE99W0UOASUK" hidden="1">Addn #REF!</definedName>
    <definedName name="BExTYZS5UD8M7HDR9E0PODKMBZXD" hidden="1">Financial &amp; Non-#REF!</definedName>
    <definedName name="BExTZ6TNMOJ5PDJENKQE96SFGV3P" hidden="1">Functional #REF!</definedName>
    <definedName name="BExTZ9YUXERFPLEVBN6UFJC30OST" hidden="1">Addn #REF!</definedName>
    <definedName name="BExTZEWYX1YUP70BVYTBFGUX1SQE" hidden="1">SEU Driver by Func #REF!</definedName>
    <definedName name="BExU084V35HGS6L43SZTIDZFNNC1" hidden="1">#REF!</definedName>
    <definedName name="BExU0L0SX2FA3UOSERNA0FM3PEIH" hidden="1">Addn #REF!</definedName>
    <definedName name="BExU0Q4A10ERSVP7SWJI6U9PO2NP" hidden="1">Functional #REF!</definedName>
    <definedName name="BExU0S2G1O4WXMP72CEDPOXI142J" hidden="1">Functional #REF!</definedName>
    <definedName name="BExU1D71KFUC0C17OR6QOTK3HJJE" hidden="1">#REF!</definedName>
    <definedName name="BExU1JHM6ANRZOKY36E119FJC4EE" hidden="1">SEU Func #REF!</definedName>
    <definedName name="BExU1MXNQJK6TLTPYNJSJE001XMZ" hidden="1">Addn #REF!</definedName>
    <definedName name="BExU1UA1UGIHTJX2JD11TYO928EW" hidden="1">Functional #REF!</definedName>
    <definedName name="BExU28NRZOCQA8U63F8AUJ1Y7FK3" hidden="1">SEU Driver by Func #REF!</definedName>
    <definedName name="BExU2DWP55J27AU8B8CKOGIVB781" hidden="1">Financial &amp; Non-#REF!</definedName>
    <definedName name="BExU2DWP9UIV3GEL4Y02T4MV2ORF" hidden="1">SCG Func #REF!</definedName>
    <definedName name="BExU2F3W26ICAF3HJW9RPFGOKBR0" hidden="1">SEU Func #REF!</definedName>
    <definedName name="BExU2GB0KSJB3AT77LPHCUOU5GGE" hidden="1">Addn #REF!</definedName>
    <definedName name="BExU2J03V3XKK7J5ZX79DJ0LWT66" hidden="1">Addn #REF!</definedName>
    <definedName name="BExU2KY5O8EK97N17EDEE7A1FHP9" hidden="1">Addn #REF!</definedName>
    <definedName name="BExU31L47ZK7KE115K9FAOPVEQGD" hidden="1">#REF!</definedName>
    <definedName name="BExU3OT6VDS1Z4SCQYLJ3LJM2PR0" hidden="1">Addn #REF!</definedName>
    <definedName name="BExU3UYBXUBGYEE98K4TRVKL7FUB" hidden="1">SEU Func #REF!</definedName>
    <definedName name="BExU43CFUF0V3VK8GVI1Y949580S" hidden="1">#REF!</definedName>
    <definedName name="BExU56LU0ARL1LXF13CWGDIA0IN2" hidden="1">SEU Func #REF!</definedName>
    <definedName name="BExU5D78KSITYXG7VXZWPLK5G4N1" hidden="1">SEU Func Comm by #REF!</definedName>
    <definedName name="BExU6ENRRF42I7NS6GD7E2BA0239" hidden="1">SEU Driver by Func #REF!</definedName>
    <definedName name="BExU6V57YFEF7IX53EO6FG5WUSPF" hidden="1">Addn #REF!</definedName>
    <definedName name="BExU77QEPM7B7KZQXMTBVY6WPI9N" hidden="1">Addn #REF!</definedName>
    <definedName name="BExU7DA1VML3K8MECQFN7LISYU1X" hidden="1">[0]!SDGE Func #REF!</definedName>
    <definedName name="BExU7QM3TKX82E55OPIJYI4ORP5C" hidden="1">SEU Driver #REF!</definedName>
    <definedName name="BExU7TM1QUXVHZ7XMK0634JNVF0L" hidden="1">Addn #REF!</definedName>
    <definedName name="BExU8OMN749NYEAOHVZEJ8P8DMPH" hidden="1">SCG Func #REF!</definedName>
    <definedName name="BExU9NP18YOLSAUDJSCMGUB5Z118" hidden="1">Financial &amp; Non-#REF!</definedName>
    <definedName name="BExUAEINE7CLGS8QF9K19THYYNAW" hidden="1">Addn #REF!</definedName>
    <definedName name="BExUAJM318DD50UGPK19FVC5IXPH" hidden="1">SEU Driver by Func #REF!</definedName>
    <definedName name="BExUAK7MK6RBQT5QZEERWMC3TKOK" hidden="1">#REF!</definedName>
    <definedName name="BExUBMQ291WKF53PLYYX5DET9GEY" hidden="1">Addn #REF!</definedName>
    <definedName name="BExUBPKGJ2HZG9P75M6T3ET52BNI" hidden="1">Financial &amp; Non-#REF!</definedName>
    <definedName name="BExUC20BWOTFQRDYY9IQ2FW6VB71" hidden="1">#REF!</definedName>
    <definedName name="BExUCJOV56HL5GHC911I59CMVU3Y" hidden="1">Addn #REF!</definedName>
    <definedName name="BExUCXBQTG7WOKZJK4UA33YGMSAL" hidden="1">Addn #REF!</definedName>
    <definedName name="BExUD77T5KGV1KMCMJKLTUEIUBOT" hidden="1">#REF!</definedName>
    <definedName name="BExUDHENQG3NPBADHSVALH1OMEQS" hidden="1">Addn #REF!</definedName>
    <definedName name="BExVQLKII6YMTL20HLVTBTSXKPRG" hidden="1">SEU Func #REF!</definedName>
    <definedName name="BExVR1GBDWIUZT0CFSN1CU5XTQHZ" hidden="1">SEU Driver #REF!</definedName>
    <definedName name="BExVRN15PJ1BT548WRJVE7PWW77Q" hidden="1">SEU Driver #REF!</definedName>
    <definedName name="BExVS0O0VVK0BLMC0WX8X4S7H30F" hidden="1">#REF!</definedName>
    <definedName name="BExVSQL9TJX91PI5EL0NPQ663IV1" hidden="1">Financial &amp; Non-#REF!</definedName>
    <definedName name="BExVSVJD23KTXSSLOWR4ELAVFUU4" hidden="1">Addn #REF!</definedName>
    <definedName name="BExVSX6LRY95YK28YB787Z62GSU8" hidden="1">SEU Func Comm by #REF!</definedName>
    <definedName name="BExVTUR2AONP0W51JBNV7ULISXSW" hidden="1">SEU Driver by Func #REF!</definedName>
    <definedName name="BExVVO37O040HEMW9DCWKFR2IZ8X" hidden="1">SCG Func #REF!</definedName>
    <definedName name="BExVVUTVHOGT5W5F5S9FSPT85DME" hidden="1">#REF!</definedName>
    <definedName name="BExVVY4MDQYOKD5KO5OE78CX0FQT" hidden="1">Addn #REF!</definedName>
    <definedName name="BExVW8WZZ8D43QOE36ETTY1C4U0N" hidden="1">Functional #REF!</definedName>
    <definedName name="BExVWG3ZF46Q1Y5LMBY96EBCWCTQ" hidden="1">SCG Func #REF!</definedName>
    <definedName name="BExVXXLTLVPMHQ9YGP6F4NAE8XAF" hidden="1">Addn #REF!</definedName>
    <definedName name="BExVY1Y7IYT1CYLYSQVAOOFYYFEE" hidden="1">Functional #REF!</definedName>
    <definedName name="BExVZ2IIM7NJ0FNJL35T3IPB09RQ" hidden="1">SEU Driver #REF!</definedName>
    <definedName name="BExVZ7B4Y2NRBJYTDLC11BS9VK05" hidden="1">#REF!</definedName>
    <definedName name="BExVZESVRS1MAPCRIBHZSABWSDTM" hidden="1">Addn #REF!</definedName>
    <definedName name="BExVZHY5G2GCUTJC5TLMBRNLC43J" hidden="1">Financial &amp; Non-#REF!</definedName>
    <definedName name="BExW008AIXVYFYRH2P1XAEE5ZU3C" hidden="1">#REF!</definedName>
    <definedName name="BExW0A4CKTF6KCT8SOA5JRPCFGFB" hidden="1">#REF!</definedName>
    <definedName name="BExW0NGKMSQRK2LL1UQP8M6X5NSC" hidden="1">Addn #REF!</definedName>
    <definedName name="BExW0Y3IHF05N34WK2LSEDEKZBI2" hidden="1">SEU Func #REF!</definedName>
    <definedName name="BExW24NI3G8UBLYOJI2IFS2TXOQH" hidden="1">SEU Func Comm by #REF!</definedName>
    <definedName name="BExW2J1E62XAYXRG0MHY22YU9G5N" hidden="1">Addn #REF!</definedName>
    <definedName name="BExW2UFE0VTQ4GMXB3NKWB0MLQS2" hidden="1">Addn #REF!</definedName>
    <definedName name="BExW2UFES6ZEQ4GZO08U2R6SACB5" hidden="1">Functional #REF!</definedName>
    <definedName name="BExW3A0GVMR7W0IG3FAG61PO39UY" hidden="1">Addn #REF!</definedName>
    <definedName name="BExW3L3P8RSX64V6RKZLOXJJQFKC" hidden="1">SCG Func #REF!</definedName>
    <definedName name="BExW3L8ZM2FIDYWWS285ZDN4MQL0" hidden="1">Addn #REF!</definedName>
    <definedName name="BExW444QYWE12XOFBRD40G87G4B6" hidden="1">SEU Driver #REF!</definedName>
    <definedName name="BExW44VT52264L8A2P8TC2AMVSKI" hidden="1">Addn #REF!</definedName>
    <definedName name="BExW4D4FK90WK8SV70U0TLK56AQQ" hidden="1">#REF!</definedName>
    <definedName name="BExW4GVDF15W6U853J2AE9P3JPTT" hidden="1">#REF!</definedName>
    <definedName name="BExW4IYQQUG2B3RR295564UDF92W" hidden="1">#REF!</definedName>
    <definedName name="BExW4XI448RO1HRW7T507VP4GJTR" hidden="1">SEU Driver by Func #REF!</definedName>
    <definedName name="BExW54E9II3BY15VSHF7D3QBL21K" hidden="1">Financial &amp; Non-#REF!</definedName>
    <definedName name="BExW5852TSTSER7SLK4K2SCHR7OI" hidden="1">SEU Driver by Func #REF!</definedName>
    <definedName name="BExW5DU3OT1XDXRYH812SSKSXGYZ" hidden="1">SEU Func #REF!</definedName>
    <definedName name="BExW5JOFZQ8GVHZD0EYGMA89L796" hidden="1">[0]!SDGE Func #REF!</definedName>
    <definedName name="BExW5KA49ULVKQYGWVHCIO5NLJH7" hidden="1">SEU Func #REF!</definedName>
    <definedName name="BExW6CGDVD0IID1G10TDJ1217F1J" hidden="1">SEU Driver #REF!</definedName>
    <definedName name="BExW78IQJ28QVTSPSF5RYF00RH9O" hidden="1">Addn #REF!</definedName>
    <definedName name="BExW7BTDV3ZL43N2KQOYFU5ZWJA3" hidden="1">Addn #REF!</definedName>
    <definedName name="BExW7O93FSQL8845022ZCTYK15YJ" hidden="1">Addn #REF!</definedName>
    <definedName name="BExW7PWHSLWGW4W6OL1OOBKSRXZW" hidden="1">Addn #REF!</definedName>
    <definedName name="BExW7R3NRPHWT1H6S9GFSWLTPPUX" hidden="1">SEU Func #REF!</definedName>
    <definedName name="BExW7SG4VF01KVUX3XETXJ0WWXBB" hidden="1">SEU Func Comm by #REF!</definedName>
    <definedName name="BExW851AJ4QQF2BY08FCPG1W9TC3" hidden="1">Functional #REF!</definedName>
    <definedName name="BExW8MPWKRBZZMXL13XW0M8MVU6A" hidden="1">#REF!</definedName>
    <definedName name="BExXMMY7K9SSUZ9P15Q89ZHBQCF8" hidden="1">SEU Func Comm by #REF!</definedName>
    <definedName name="BExXMXQMM8TNOSCG4JONY8VFM2EE" hidden="1">Addn #REF!</definedName>
    <definedName name="BExXN0QHOOGNVJHEF6QL4ET2POZD" hidden="1">[0]!SDGE Func #REF!</definedName>
    <definedName name="BExXN2J967PTBZGVGUY8NLKS24TR" hidden="1">Addn #REF!</definedName>
    <definedName name="BExXN6QAKZ8C2F980ATAL486VR2V" hidden="1">SEU Driver by Func #REF!</definedName>
    <definedName name="BExXNBIYGBD8KCL4FI2BMF80ENYA" hidden="1">Addn #REF!</definedName>
    <definedName name="BExXODFQWNNQHXCPLVEYEY4VOBS7" hidden="1">#REF!</definedName>
    <definedName name="BExXOGKYWK9ZP3F4MUJAVZN2JRO7" hidden="1">Addn #REF!</definedName>
    <definedName name="BExXOS9R341ND4H1POY8R4EQJ7SO" hidden="1">#REF!</definedName>
    <definedName name="BExXOV4CEVAER3X96DRN4HH4BZHR" hidden="1">Addn #REF!</definedName>
    <definedName name="BExXPFY5OVLL3K2K90TA90XRYLM6" hidden="1">Addn #REF!</definedName>
    <definedName name="BExXPM8Q4BZDPOJ7U58824CNL7J9" hidden="1">Financial &amp; Non-#REF!</definedName>
    <definedName name="BExXPQAGQFSDEYV65RS08JVXQYYP" hidden="1">SEU Func #REF!</definedName>
    <definedName name="BExXPRHMPBRCHUUJLBSARDLRE22E" hidden="1">Functional #REF!</definedName>
    <definedName name="BExXPV2Z6XDCZ280IE8KLAHDFJA1" hidden="1">Addn #REF!</definedName>
    <definedName name="BExXPZ9ZF0LRZ3ZR6Y1DLV8HTHWV" hidden="1">Addn #REF!</definedName>
    <definedName name="BExXRVM147SVXBLKLP710R2MO5MZ" hidden="1">Functional #REF!</definedName>
    <definedName name="BExXS4R2128DFU2LK3Q08XJ48S42" hidden="1">Addn #REF!</definedName>
    <definedName name="BExXS98VZGW8QG56DGEJHU0JCJJZ" hidden="1">SEU Func #REF!</definedName>
    <definedName name="BExXSH1EUOGXZIWDTB34ZHBBPLMB" hidden="1">Financial &amp; Non-#REF!</definedName>
    <definedName name="BExXSHHIMRQF6S8HC1AZXUGDWXY4" hidden="1">Addn #REF!</definedName>
    <definedName name="BExXT7PP94GE3YW5BGV4U6HWCSPX" hidden="1">SEU Driver #REF!</definedName>
    <definedName name="BExXU7IY0NW19P11Z5YQ9BQIJSF3" hidden="1">Financial &amp; Non-#REF!</definedName>
    <definedName name="BExXUAIVBR3PR1QHJCUT03VW15Z3" hidden="1">#REF!</definedName>
    <definedName name="BExXUCX7X7M52508UFQKPKXBD9HV" hidden="1">[0]!SDGE Func #REF!</definedName>
    <definedName name="BExXUDIQYO3NFEXLUKKBXFGL0I0J" hidden="1">SEU Func #REF!</definedName>
    <definedName name="BExXV1SL2OKDY5I58V7R2CZ6UA1P" hidden="1">Addn #REF!</definedName>
    <definedName name="BExXVYBBSBUSE5YCGR0CV4FQE3PC" hidden="1">Financial &amp; Non-#REF!</definedName>
    <definedName name="BExXW5NLB1XHUSNQW6YWXBK0FT19" hidden="1">Addn #REF!</definedName>
    <definedName name="BExXW93RS0IWAZRQ9SOWQXERPYYZ" hidden="1">Functional #REF!</definedName>
    <definedName name="BExXXC28UJZ8MBCQMEGVPHY4ELL2" hidden="1">Addn #REF!</definedName>
    <definedName name="BExXXLSZ3ABSM127FWVROEVGA4AY" hidden="1">#REF!</definedName>
    <definedName name="BExXXZ52JFPBQNR4WBNEGUSKAOTN" hidden="1">SEU Driver by Func #REF!</definedName>
    <definedName name="BExXYEVFU1HGZQVTNU9QVRVA90FT" hidden="1">Addn #REF!</definedName>
    <definedName name="BExXYT9CBE76MDZW4OQUDY1SEKNE" hidden="1">Functional #REF!</definedName>
    <definedName name="BExXYTK4Y0UMB5113GMQ1F9ETUD2" hidden="1">Addn #REF!</definedName>
    <definedName name="BExXZ3QYMWB5DEHAXEQ77MZ7FIZD" hidden="1">[0]!SDGE Func #REF!</definedName>
    <definedName name="BExXZAXW8F8841455G1F7WXT41AX" hidden="1">[0]!SDGE Func #REF!</definedName>
    <definedName name="BExXZNDLULS7L6GBKG9RU9OGHK9B" hidden="1">Addn #REF!</definedName>
    <definedName name="BExXZWO3RC1R45A9M41GS6LPG2YW" hidden="1">Addn #REF!</definedName>
    <definedName name="BExXZZTG1JTLYWJOFNYTGR4LALK3" hidden="1">Addn #REF!</definedName>
    <definedName name="BExY0C3TNRDQV0J5SI0Q7GLE70KV" hidden="1">Addn #REF!</definedName>
    <definedName name="BExY0DG9VW15FF7OROMAE5SYW4D5" hidden="1">Addn #REF!</definedName>
    <definedName name="BExY0ECOZIOI49PB8W7AR8VPFOVW" hidden="1">#REF!</definedName>
    <definedName name="BExY0PL7UNAVZO1W5HALLPRU9V5X" hidden="1">#REF!</definedName>
    <definedName name="BExY28VU0NLLDWJFKP6DNWTZ559K" hidden="1">[0]!SDGE Func #REF!</definedName>
    <definedName name="BExY2BVVO6QDY0L06G3J0MSGEXD8" hidden="1">[0]!SDGE Func #REF!</definedName>
    <definedName name="BExY2EKSYYHFY4AFZ300ZXMLRXQY" hidden="1">Financial &amp; Non-#REF!</definedName>
    <definedName name="BExY2NKIEE5SPBOV26RNCSKNGTME" hidden="1">Addn #REF!</definedName>
    <definedName name="BExY2NKIMXF1J464XZ175PYA8LDM" hidden="1">SEU Func #REF!</definedName>
    <definedName name="BExY36AXKUMLUKD2VOB5XR70DGDI" hidden="1">SEU Func #REF!</definedName>
    <definedName name="BExY3SXH7FESHTF7PBA3OYIXDH41" hidden="1">#REF!</definedName>
    <definedName name="BExY3WZ2QMSYT0BFBVQJIAPCHAQ1" hidden="1">Addn #REF!</definedName>
    <definedName name="BExY3ZO5J0Z7QKACQUINFDZTRS77" hidden="1">Addn #REF!</definedName>
    <definedName name="BExY48TCAQ2A1XRZ3RVHC0U8VYKQ" hidden="1">SEU Func Comm by #REF!</definedName>
    <definedName name="BExY58MMH9D4SBZCD1RWGTYBRDM8" hidden="1">#REF!</definedName>
    <definedName name="BExY5I7UKXBU395LXGBYD7PJ7IH3" hidden="1">SEU Func #REF!</definedName>
    <definedName name="BExY60SU3PW0FE2YOFC1CR5A86CH" hidden="1">SEU Driver #REF!</definedName>
    <definedName name="BExY63SR27VPDZPXZK9KJCGTZ4TC" hidden="1">Addn #REF!</definedName>
    <definedName name="BExY65LH73RB4VC5HW4RHGQ2KU8G" hidden="1">#REF!</definedName>
    <definedName name="BExY65LHY7ALMYBRAOKCXSFRLNEE" hidden="1">Addn #REF!</definedName>
    <definedName name="BExZJQJI3TXMZTVPYBBJ0JI1C5LL" hidden="1">#REF!</definedName>
    <definedName name="BExZKA64CRCRYCU4JL6TH6AWM96S" hidden="1">Addn #REF!</definedName>
    <definedName name="BExZKCPZD3M8NAZFUDJRYJ5OTIVJ" hidden="1">Functional #REF!</definedName>
    <definedName name="BExZKR3TTP07CE2NJKPT664GAJBL" hidden="1">Addn #REF!</definedName>
    <definedName name="BExZL1LBSYTGVKE79Y97OBLA0SV6" hidden="1">SEU Driver #REF!</definedName>
    <definedName name="BExZLBC2PT5BA4MTL92QWIJ2AGNH" hidden="1">SCG Func #REF!</definedName>
    <definedName name="BExZLUD4NEJMBSGQ93R045ELX10G" hidden="1">SEU Driver #REF!</definedName>
    <definedName name="BExZLX7QQ1MWG33LCZU8LVADH6MW" hidden="1">Addn #REF!</definedName>
    <definedName name="BExZM07LCOTZXP3AS4WC2J3NTE7P" hidden="1">SCG Func #REF!</definedName>
    <definedName name="BExZM7JVUMCAARUACRX7Z54WSG33" hidden="1">SEU Driver by Func #REF!</definedName>
    <definedName name="BExZMIN2YY9W3WI8OAVQ37PKQZXZ" hidden="1">SCG Func #REF!</definedName>
    <definedName name="BExZMQKY0YONB7YBTBQZH62T9MSU" hidden="1">[0]!SDGE Func #REF!</definedName>
    <definedName name="BExZMQVWL07SCJOOFZWV45W59W8P" hidden="1">Addn #REF!</definedName>
    <definedName name="BExZMXXD1Y91UP1BZXET9AXX4JII" hidden="1">Addn #REF!</definedName>
    <definedName name="BExZN3X5WR9FLDRBMX48BRRVYSL4" hidden="1">Functional #REF!</definedName>
    <definedName name="BExZNI0B4ZBV0GKJNGZKFKJP5RSC" hidden="1">Addn #REF!</definedName>
    <definedName name="BExZNSN8EOTXU3NPY0CH5POL7VHK" hidden="1">[0]!SDGE Func #REF!</definedName>
    <definedName name="BExZO0FQOS0A6MKLLZK71QNUN7MD" hidden="1">#REF!</definedName>
    <definedName name="BExZO64RDT6SCKXP96BLAVKAG3PC" hidden="1">Financial &amp; Non-#REF!</definedName>
    <definedName name="BExZOHYVOLL7CEQKABKO256H0X5I" hidden="1">SEU Func #REF!</definedName>
    <definedName name="BExZOKYRP68DOEIM61IGQ1DB8P4J" hidden="1">Addn #REF!</definedName>
    <definedName name="BExZP0UN89BUO3PISTBCWGLIZFUK" hidden="1">#REF!</definedName>
    <definedName name="BExZPEC5D2VVMMZUD002LXWG8LR9" hidden="1">#REF!</definedName>
    <definedName name="BExZPJ4S0GP2IXQ7LAPLCWMFWZ3Q" hidden="1">Addn #REF!</definedName>
    <definedName name="BExZPL8B3I1BIDUU7TG45FWCOYDZ" hidden="1">Addn #REF!</definedName>
    <definedName name="BExZPPVI1XTMHMZCVAPNZF9PF7DJ" hidden="1">#REF!</definedName>
    <definedName name="BExZPW0QM46H23LHKN8SUH8HX6MW" hidden="1">SEU Driver #REF!</definedName>
    <definedName name="BExZQ85NBN2EU2ZRQLIZ0PVW0MYW" hidden="1">#REF!</definedName>
    <definedName name="BExZQ8R77M02QC6H0KAB5KDZXXUB" hidden="1">Addn #REF!</definedName>
    <definedName name="BExZQAURJGFEVTH5WDUKCLX5OG4A" hidden="1">SEU Driver by Func #REF!</definedName>
    <definedName name="BExZQBAVLSDITVZABQBUSIONFI27" hidden="1">SEU Func Area by #REF!</definedName>
    <definedName name="BExZQI1P0I178HRXOOPNWFAS2VIA" hidden="1">Addn #REF!</definedName>
    <definedName name="BExZQIHZQHMHTKFP59DZJH4ZZZ8M" hidden="1">Financial &amp; Non-#REF!</definedName>
    <definedName name="BExZQP8NTJXT3ICCJ063MLH8R2DJ" hidden="1">Addn #REF!</definedName>
    <definedName name="BExZQQ50WUMM8VB4VUHAS899QSKM" hidden="1">Functional #REF!</definedName>
    <definedName name="BExZQQLACR36QE2H9QLJIMC6DKUF" hidden="1">Addn #REF!</definedName>
    <definedName name="BExZQTL645FGXAGZN3H0JZRQ7LUR" hidden="1">#REF!</definedName>
    <definedName name="BExZRE478DWX5VCA7IGKSI1B7GXR" hidden="1">#REF!</definedName>
    <definedName name="BExZRHK6WKHBZAZ1OYTJ21PDV8ZA" hidden="1">[0]!SDGE Func #REF!</definedName>
    <definedName name="BExZSK81EL5HVZ4OMYKFQTE2AHH7" hidden="1">SCG Func #REF!</definedName>
    <definedName name="BExZSMBLFJUAETWYUF2BWVQLJY3M" hidden="1">Addn #REF!</definedName>
    <definedName name="BExZTCJLBH274W38QM1V5VGUDMCW" hidden="1">Additional Information #REF!</definedName>
    <definedName name="BExZUMEF5J9HDYPW4B9JV6QZPKSU" hidden="1">#REF!</definedName>
    <definedName name="BExZVLREJY54J4EBQ1LYNA2L5TBI" hidden="1">#REF!</definedName>
    <definedName name="BExZW6QPLD8LO3MT3M2K30BRWMDD" hidden="1">Addn #REF!</definedName>
    <definedName name="BExZWB8JK798ELJ571MPH730R8L2" hidden="1">Addn #REF!</definedName>
    <definedName name="BExZWF4UI7RVJ13R324EGACALMPV" hidden="1">SEU Func #REF!</definedName>
    <definedName name="BExZWMXBV8BPWJ3LCUYF7NKKPVOD" hidden="1">Addn #REF!</definedName>
    <definedName name="BExZXBSVAPBHW1XT1TBS81NYDSMU" hidden="1">SEU Driver by Func #REF!</definedName>
    <definedName name="BExZXC901CXXL8R9X8S9WEQN00CY" hidden="1">[0]!SDGE Func #REF!</definedName>
    <definedName name="BExZXFJNR29TXZ23G7D8IOQKJC6N" hidden="1">#REF!</definedName>
    <definedName name="BExZXW12MHM5C60916XT6CZRSL4I" hidden="1">SEU Func #REF!</definedName>
    <definedName name="BExZY0Z27CDKC1VBMKTHN76QQ5HH" hidden="1">SEU Func #REF!</definedName>
    <definedName name="BExZY2MHNMJG69CJQF6CLG6X4FGQ" hidden="1">Addn #REF!</definedName>
    <definedName name="BExZYTLJPA30ZEL7XLOBQL25QCR9" hidden="1">Addn #REF!</definedName>
    <definedName name="BExZZ06XR7L2B6NK62DRT95GUSPY" hidden="1">Addn #REF!</definedName>
    <definedName name="BExZZ8FJDLK9Y296DUJ16REILSZN" hidden="1">SEU Driver #REF!</definedName>
    <definedName name="BExZZSYK2WCS5ZY430FJ0E56O3BG" hidden="1">SCG Func #REF!</definedName>
    <definedName name="BG_Del" hidden="1">15</definedName>
    <definedName name="BG_Ins" hidden="1">4</definedName>
    <definedName name="BG_Mod" hidden="1">6</definedName>
    <definedName name="CBWorkbookPriority" hidden="1">-21190210</definedName>
    <definedName name="cccc" hidden="1">{"variance_page",#N/A,FALSE,"template"}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EI_Info1" hidden="1">#REF!</definedName>
    <definedName name="CORPTAX_DATAMAPDEFINITIONS_DataMap_1" hidden="1">#REF!</definedName>
    <definedName name="CORPTAX_DATAMAPDEFINITIONS_DataMap_2" hidden="1">#REF!</definedName>
    <definedName name="CreditStats" hidden="1">#REF!</definedName>
    <definedName name="CurrentRangeName" hidden="1">#REF!</definedName>
    <definedName name="d" hidden="1">{#N/A,#N/A,TRUE,"SDGE";#N/A,#N/A,TRUE,"GBU";#N/A,#N/A,TRUE,"TBU";#N/A,#N/A,TRUE,"EDBU";#N/A,#N/A,TRUE,"ExclCC"}</definedName>
    <definedName name="DCHART4" hidden="1">#REF!</definedName>
    <definedName name="dd" hidden="1">#REF!</definedName>
    <definedName name="ddd" hidden="1">{"SourcesUses",#N/A,TRUE,#N/A;"TransOverview",#N/A,TRUE,"CFMODEL"}</definedName>
    <definedName name="dddd" hidden="1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f" hidden="1">{"2002Frcst","06Month",FALSE,"Frcst Format 2002"}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Z.IndSpec_Left" hidden="1">#REF!</definedName>
    <definedName name="DZ.IndSpec_Right" hidden="1">#REF!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v.Calculation" hidden="1">-4105</definedName>
    <definedName name="ev.Initialized" hidden="1">FALSE</definedName>
    <definedName name="EV__LASTREFTIME__" hidden="1">39504.3191203704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letes" hidden="1">{#N/A,#N/A,FALSE,"Aging Summary";#N/A,#N/A,FALSE,"Ratio Analysis";#N/A,#N/A,FALSE,"Test 120 Day Accts";#N/A,#N/A,FALSE,"Tickmarks"}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ggg" hidden="1">{"SourcesUses",#N/A,TRUE,#N/A;"TransOverview",#N/A,TRUE,"CFMODEL"}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ip" hidden="1">#REF!</definedName>
    <definedName name="hhhh" hidden="1">{"SourcesUses",#N/A,TRUE,#N/A;"TransOverview",#N/A,TRUE,"CFMODEL"}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YearLabel" hidden="1">#REF!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TML_Control1" hidden="1">{"'Attachment'!$A$1:$L$49"}</definedName>
    <definedName name="HTML_Control2" hidden="1">{"'Attachment'!$A$1:$L$49"}</definedName>
    <definedName name="HTML_Control3" hidden="1">{"'Attachment'!$A$1:$L$49"}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hidden="1">{#N/A,#N/A,FALSE,"RECAP";#N/A,#N/A,FALSE,"MATBYCLS";#N/A,#N/A,FALSE,"STATUS";#N/A,#N/A,FALSE,"OP-ACT";#N/A,#N/A,FALSE,"W_O"}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1_0" hidden="1">#REF!</definedName>
    <definedName name="IRR_1_1" hidden="1">#REF!</definedName>
    <definedName name="IRR_1_10" hidden="1">#REF!</definedName>
    <definedName name="IRR_1_2" hidden="1">#REF!</definedName>
    <definedName name="IRR_1_3" hidden="1">#REF!</definedName>
    <definedName name="IRR_1_4" hidden="1">#REF!</definedName>
    <definedName name="IRR_1_5" hidden="1">#REF!</definedName>
    <definedName name="IRR_1_6" hidden="1">#REF!</definedName>
    <definedName name="IRR_1_7" hidden="1">#REF!</definedName>
    <definedName name="IRR_1_8" hidden="1">#REF!</definedName>
    <definedName name="IRR_1_9" hidden="1">#REF!</definedName>
    <definedName name="IRR_2_0" hidden="1">#REF!</definedName>
    <definedName name="IRR_2_1" hidden="1">#REF!</definedName>
    <definedName name="IRR_2_10" hidden="1">#REF!</definedName>
    <definedName name="IRR_2_2" hidden="1">#REF!</definedName>
    <definedName name="IRR_2_3" hidden="1">#REF!</definedName>
    <definedName name="IRR_2_4" hidden="1">#REF!</definedName>
    <definedName name="IRR_2_5" hidden="1">#REF!</definedName>
    <definedName name="IRR_2_6" hidden="1">#REF!</definedName>
    <definedName name="IRR_2_7" hidden="1">#REF!</definedName>
    <definedName name="IRR_2_8" hidden="1">#REF!</definedName>
    <definedName name="IRR_2_9" hidden="1">#REF!</definedName>
    <definedName name="IRR_3_0" hidden="1">#REF!</definedName>
    <definedName name="IRR_3_1" hidden="1">#REF!</definedName>
    <definedName name="IRR_3_10" hidden="1">#REF!</definedName>
    <definedName name="IRR_3_2" hidden="1">#REF!</definedName>
    <definedName name="IRR_3_3" hidden="1">#REF!</definedName>
    <definedName name="IRR_3_4" hidden="1">#REF!</definedName>
    <definedName name="IRR_3_5" hidden="1">#REF!</definedName>
    <definedName name="IRR_3_6" hidden="1">#REF!</definedName>
    <definedName name="IRR_3_7" hidden="1">#REF!</definedName>
    <definedName name="IRR_3_8" hidden="1">#REF!</definedName>
    <definedName name="IRR_3_9" hidden="1">#REF!</definedName>
    <definedName name="IsColHidden" hidden="1">FALSE</definedName>
    <definedName name="IsLTMColHidden" hidden="1">FALSE</definedName>
    <definedName name="JH" hidden="1">{"total_10yr",#N/A,FALSE,"Data (t8-t4)"}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hidden="1">{"2002Frcst","06Month",FALSE,"Frcst Format 2002"}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k" hidden="1">#REF!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LandCost" hidden="1">#REF!</definedName>
    <definedName name="LastRangeName" hidden="1">#REF!</definedName>
    <definedName name="limcount" hidden="1">1</definedName>
    <definedName name="ListOffset" hidden="1">1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ly__IRR__Dates" hidden="1">#REF!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hidden="1">{#N/A,#N/A,TRUE,"SDGE";#N/A,#N/A,TRUE,"GBU";#N/A,#N/A,TRUE,"TBU";#N/A,#N/A,TRUE,"EDBU";#N/A,#N/A,TRUE,"ExclCC"}</definedName>
    <definedName name="NPV_1_0" hidden="1">#REF!</definedName>
    <definedName name="NPV_1_1" hidden="1">#REF!</definedName>
    <definedName name="NPV_1_10" hidden="1">#REF!</definedName>
    <definedName name="NPV_1_2" hidden="1">#REF!</definedName>
    <definedName name="NPV_1_3" hidden="1">#REF!</definedName>
    <definedName name="NPV_1_4" hidden="1">#REF!</definedName>
    <definedName name="NPV_1_5" hidden="1">#REF!</definedName>
    <definedName name="NPV_1_6" hidden="1">#REF!</definedName>
    <definedName name="NPV_1_7" hidden="1">#REF!</definedName>
    <definedName name="NPV_1_8" hidden="1">#REF!</definedName>
    <definedName name="NPV_1_9" hidden="1">#REF!</definedName>
    <definedName name="NPV_2_0" hidden="1">#REF!</definedName>
    <definedName name="NPV_2_1" hidden="1">#REF!</definedName>
    <definedName name="NPV_2_10" hidden="1">#REF!</definedName>
    <definedName name="NPV_2_2" hidden="1">#REF!</definedName>
    <definedName name="NPV_2_3" hidden="1">#REF!</definedName>
    <definedName name="NPV_2_4" hidden="1">#REF!</definedName>
    <definedName name="NPV_2_5" hidden="1">#REF!</definedName>
    <definedName name="NPV_2_6" hidden="1">#REF!</definedName>
    <definedName name="NPV_2_7" hidden="1">#REF!</definedName>
    <definedName name="NPV_2_8" hidden="1">#REF!</definedName>
    <definedName name="NPV_2_9" hidden="1">#REF!</definedName>
    <definedName name="NPV_3_0" hidden="1">#REF!</definedName>
    <definedName name="NPV_3_1" hidden="1">#REF!</definedName>
    <definedName name="NPV_3_10" hidden="1">#REF!</definedName>
    <definedName name="NPV_3_2" hidden="1">#REF!</definedName>
    <definedName name="NPV_3_3" hidden="1">#REF!</definedName>
    <definedName name="NPV_3_4" hidden="1">#REF!</definedName>
    <definedName name="NPV_3_5" hidden="1">#REF!</definedName>
    <definedName name="NPV_3_6" hidden="1">#REF!</definedName>
    <definedName name="NPV_3_7" hidden="1">#REF!</definedName>
    <definedName name="NPV_3_8" hidden="1">#REF!</definedName>
    <definedName name="NPV_3_9" hidden="1">#REF!</definedName>
    <definedName name="NRange103" hidden="1">#REF!</definedName>
    <definedName name="NRange106" hidden="1">#REF!</definedName>
    <definedName name="NRange137" hidden="1">#REF!</definedName>
    <definedName name="NRange237" hidden="1">#REF!</definedName>
    <definedName name="NRange238" hidden="1">#REF!</definedName>
    <definedName name="NRange239" hidden="1">#REF!</definedName>
    <definedName name="NRange251" hidden="1">#REF!</definedName>
    <definedName name="NRange262" hidden="1">#REF!</definedName>
    <definedName name="NRange267" hidden="1">#REF!</definedName>
    <definedName name="NRange276" hidden="1">#REF!</definedName>
    <definedName name="nrerev" hidden="1">{"total_10yr",#N/A,FALSE,"Data (t8-t4)"}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pt_Error_Checker" hidden="1">#REF!</definedName>
    <definedName name="Opt_Flip_0" hidden="1">#REF!</definedName>
    <definedName name="Optimizer__NPV1" hidden="1">#REF!</definedName>
    <definedName name="Optimizer__Target1" hidden="1">#REF!</definedName>
    <definedName name="otherrev" hidden="1">{#N/A,#N/A,TRUE,"SDGE";#N/A,#N/A,TRUE,"GBU";#N/A,#N/A,TRUE,"TBU";#N/A,#N/A,TRUE,"EDBU";#N/A,#N/A,TRUE,"ExclCC"}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1_Tar1" hidden="1">#REF!</definedName>
    <definedName name="P1_Tar2" hidden="1">#REF!</definedName>
    <definedName name="P1_Trsh1_Tar" hidden="1">#REF!</definedName>
    <definedName name="P1_Trsh2_Tar" hidden="1">#REF!</definedName>
    <definedName name="P1GarPay" hidden="1">#REF!</definedName>
    <definedName name="P2_Tar1" hidden="1">#REF!</definedName>
    <definedName name="P2_Tar2" hidden="1">#REF!</definedName>
    <definedName name="P2_Trsh1_Tar" hidden="1">#REF!</definedName>
    <definedName name="P2_Trsh2_Tar" hidden="1">#REF!</definedName>
    <definedName name="P2GarPay" hidden="1">#REF!</definedName>
    <definedName name="P3_Tar1" hidden="1">#REF!</definedName>
    <definedName name="P3_Tar2" hidden="1">#REF!</definedName>
    <definedName name="P3_Trsh1_Tar" hidden="1">#REF!</definedName>
    <definedName name="P3_Trsh2_Tar" hidden="1">#REF!</definedName>
    <definedName name="P3GarPay" hidden="1">#REF!</definedName>
    <definedName name="Partner__1__Name" hidden="1">#REF!</definedName>
    <definedName name="Partner__2__Name" hidden="1">#REF!</definedName>
    <definedName name="Partner__3__Name" hidden="1">#REF!</definedName>
    <definedName name="Partner1" hidden="1">#REF!</definedName>
    <definedName name="PHILIPS" hidden="1">{#N/A,#N/A,FALSE,"RECAP";#N/A,#N/A,FALSE,"MATBYCLS";#N/A,#N/A,FALSE,"STATUS";#N/A,#N/A,FALSE,"OP-ACT";#N/A,#N/A,FALSE,"W_O"}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rcc22" hidden="1">#REF!</definedName>
    <definedName name="prcc23" hidden="1">#REF!</definedName>
    <definedName name="_xlnm.Print_Area" localSheetId="16">'Pg11 As Filed Stmt AV-Cost Adj'!$A$2:$J$156</definedName>
    <definedName name="_xlnm.Print_Area" localSheetId="18">'Pg13 As Filed AV-4-Cost Adj'!$A$2:$F$87</definedName>
    <definedName name="_xlnm.Print_Area" localSheetId="3">'Pg4 App XII C3-Cost Adj'!$A$2:$F$56</definedName>
    <definedName name="_xlnm.Print_Area" localSheetId="4">'Pg4.1 Orig-As Filed App XII C3'!$A$2:$E$54</definedName>
    <definedName name="_xlnm.Print_Area" localSheetId="6">'Pg6 As Filed Sec. 2-Cost Adj'!$A$2:$H$102</definedName>
    <definedName name="_xlnm.Print_Area" localSheetId="8">'Pg7.1 Rev Sec 4-TU-Cost Adj'!$A$2:$N$42</definedName>
    <definedName name="_xlnm.Print_Area" localSheetId="10">'Pg8.1 Rev Stmt AH-Cost Adj'!$A$2:$H$74</definedName>
    <definedName name="_xlnm.Print_Area" localSheetId="12">'Pg8.3 Rev AH-3-Cost Adj'!$A$2:$M$67</definedName>
    <definedName name="_xlnm.Print_Area" localSheetId="14">'Pg9.1 Rev Stmt AL-Cost Adj'!$A$2:$J$33</definedName>
    <definedName name="problem" hidden="1">{#N/A,#N/A,FALSE,"trates"}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rt" hidden="1">{"'Attachment'!$A$1:$L$49"}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FALSE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samasra" hidden="1">{#N/A,#N/A,TRUE,"SDGE";#N/A,#N/A,TRUE,"GBU";#N/A,#N/A,TRUE,"TBU";#N/A,#N/A,TRUE,"EDBU";#N/A,#N/A,TRUE,"ExclCC"}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dafsadf" hidden="1">{#N/A,#N/A,FALSE,"Aging Summary";#N/A,#N/A,FALSE,"Ratio Analysis";#N/A,#N/A,FALSE,"Test 120 Day Accts";#N/A,#N/A,FALSE,"Tickmarks"}</definedName>
    <definedName name="sencount" hidden="1">1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pFor" hidden="1">#REF!</definedName>
    <definedName name="SpFor15" hidden="1">#REF!</definedName>
    <definedName name="SpFor22" hidden="1">#REF!</definedName>
    <definedName name="sss" hidden="1">{"SourcesUses",#N/A,TRUE,#N/A;"TransOverview",#N/A,TRUE,"CFMODEL"}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T1PR2_Capital_Accounts" hidden="1">#REF!</definedName>
    <definedName name="T1PR2_Cash_Flow" hidden="1">#REF!</definedName>
    <definedName name="T1PR2_Minimum_Gain_Chargeback" hidden="1">#REF!</definedName>
    <definedName name="T1PR2_Net_Cash_Flow_After_Tax" hidden="1">#REF!</definedName>
    <definedName name="T1PR2_Taxable_Income_Loss_Actual" hidden="1">#REF!</definedName>
    <definedName name="T1PR2_Total_Payments" hidden="1">#REF!</definedName>
    <definedName name="T1PR2_Total_Tax_Benefits" hidden="1">#REF!</definedName>
    <definedName name="T7ACM2Chk" hidden="1">#REF!</definedName>
    <definedName name="T7ACM2Chk2" hidden="1">#REF!</definedName>
    <definedName name="t7cm2chk" hidden="1">#REF!</definedName>
    <definedName name="T7CM2Chk2" hidden="1">#REF!</definedName>
    <definedName name="T8ACMChk" hidden="1">#REF!</definedName>
    <definedName name="T8ACMChk2" hidden="1">#REF!</definedName>
    <definedName name="T8CMChk" hidden="1">#REF!</definedName>
    <definedName name="T8CMChk2" hidden="1">#REF!</definedName>
    <definedName name="Table1_Check" hidden="1">#REF!</definedName>
    <definedName name="Table1_Store1_Description" hidden="1">#REF!</definedName>
    <definedName name="Target1__IRR" hidden="1">#REF!</definedName>
    <definedName name="Target2__IRR" hidden="1">#REF!</definedName>
    <definedName name="TDM" hidden="1">{#N/A,#N/A,FALSE,"Aging Summary";#N/A,#N/A,FALSE,"Ratio Analysis";#N/A,#N/A,FALSE,"Test 120 Day Accts";#N/A,#N/A,FALSE,"Tickmarks"}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hidden="1">{"Control_DataContact",#N/A,FALSE,"Control"}</definedName>
    <definedName name="test_1" hidden="1">{"Control_DataContact",#N/A,FALSE,"Control"}</definedName>
    <definedName name="test1_1" hidden="1">{"Sch.D_P_1Gas",#N/A,FALSE,"Sch.D";"Sch.D_P_2Elec",#N/A,FALSE,"Sch.D"}</definedName>
    <definedName name="test2006" hidden="1">{"SourcesUses",#N/A,TRUE,#N/A;"TransOverview",#N/A,TRUE,"CFMODEL"}</definedName>
    <definedName name="test3_1" hidden="1">{"Sch.E_PayrollExp",#N/A,TRUE,"Sch.E,F,G,H";"Sch.F_PayrollTaxes",#N/A,TRUE,"Sch.E,F,G,H";"Sch.G_IncentComp",#N/A,TRUE,"Sch.E,F,G,H";"Sch.H_P1_EmplBeneSum",#N/A,TRUE,"Sch.E,F,G,H"}</definedName>
    <definedName name="TextRefCopyRangeCount" hidden="1">39</definedName>
    <definedName name="This_Model_Enabled" hidden="1">#REF!</definedName>
    <definedName name="Top_of_Partner_Inputs_Sheet" hidden="1">#REF!</definedName>
    <definedName name="Top_Section_2" hidden="1">#REF!</definedName>
    <definedName name="Top_Section_3" hidden="1">#REF!</definedName>
    <definedName name="Top_Section_4" hidden="1">#REF!</definedName>
    <definedName name="Top_Section_5" hidden="1">#REF!</definedName>
    <definedName name="Top_Section_6" hidden="1">#REF!</definedName>
    <definedName name="Top_Section_7" hidden="1">#REF!</definedName>
    <definedName name="Top_Section_8" hidden="1">#REF!</definedName>
    <definedName name="TP_Footer_User" hidden="1">"Melvin Williams"</definedName>
    <definedName name="TP_Footer_Version" hidden="1">"v3.00"</definedName>
    <definedName name="TUCU" hidden="1">#REF!</definedName>
    <definedName name="w" hidden="1">{"SourcesUses",#N/A,TRUE,"CFMODEL";"TransOverview",#N/A,TRUE,"CFMODEL"}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ind_Partner_Data" hidden="1">#REF!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{"RPT610",#N/A,FALSE,"Sheet1";"RPT611",#N/A,FALSE,"Sheet1"}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hidden="1">{#N/A,#N/A,FALSE,"trates"}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hidden="1">{#N/A,#N/A,TRUE,"SDGE";#N/A,#N/A,TRUE,"GBU";#N/A,#N/A,TRUE,"TBU";#N/A,#N/A,TRUE,"EDBU";#N/A,#N/A,TRUE,"ExclCC"}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hidden="1">{#N/A,#N/A,FALSE,"RECAP";#N/A,#N/A,FALSE,"MATBYCLS";#N/A,#N/A,FALSE,"STATUS";#N/A,#N/A,FALSE,"OP-ACT";#N/A,#N/A,FALSE,"W_O"}</definedName>
    <definedName name="wrn.Data." hidden="1">{#N/A,#N/A,FALSE,"3 Year Plan"}</definedName>
    <definedName name="wrn.Data_Contact." hidden="1">{"Control_DataContact",#N/A,FALSE,"Control"}</definedName>
    <definedName name="wrn.Data_Contact._1" hidden="1">{"Control_DataContact",#N/A,FALSE,"Control"}</definedName>
    <definedName name="wrn.Est_2003.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cst." hidden="1">{"fcst",#N/A,FALSE,"data input"}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TEs." hidden="1">{#N/A,#N/A,FALSE,"94 FTE";#N/A,#N/A,FALSE,"95 FTE";#N/A,#N/A,FALSE,"96 FTE"}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hidden="1">{#N/A,#N/A,FALSE,"A"}</definedName>
    <definedName name="wrn.Inputs." hidden="1">{"[Cost of Service] COS Inputs Sch 1",#N/A,FALSE,"Cost of Service Model"}</definedName>
    <definedName name="wrn.June2002." hidden="1">{"2002Frcst","06Month",FALSE,"Frcst Format 2002"}</definedName>
    <definedName name="wrn.JVREPORT." hidden="1">{#N/A,#N/A,FALSE,"202";#N/A,#N/A,FALSE,"203";#N/A,#N/A,FALSE,"204";#N/A,#N/A,FALSE,"205";#N/A,#N/A,FALSE,"205A"}</definedName>
    <definedName name="wrn.May2002." hidden="1">{"2002Frcst","05Month",FALSE,"Frcst Format 2002"}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hidden="1">{"Equipment",#N/A,FALSE,"A";"Summary",#N/A,FALSE,"B"}</definedName>
    <definedName name="wrn.MyTestReport." hidden="1">{"Alberta",#N/A,FALSE,"Pivot Data";#N/A,#N/A,FALSE,"Pivot Data";"HiddenColumns",#N/A,FALSE,"Pivot Data"}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lan." hidden="1">{"plan",#N/A,FALSE,"data input"}</definedName>
    <definedName name="wrn.PRINT.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hidden="1">{"Var_page",#N/A,FALSE,"template"}</definedName>
    <definedName name="wrn.Print_Variance." hidden="1">{"month_variance",#N/A,FALSE,"template"}</definedName>
    <definedName name="wrn.Print_Variance_Page." hidden="1">{"variance_page",#N/A,FALSE,"template"}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hidden="1">{"RPT1",#N/A,FALSE,"OIC650A"}</definedName>
    <definedName name="wrn.RPT610." hidden="1">{"RPT610",#N/A,FALSE,"Sheet1"}</definedName>
    <definedName name="wrn.Sch.A._.B.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hidden="1">{"Sch.C_Rev_lag",#N/A,FALSE,"Sch.C"}</definedName>
    <definedName name="wrn.Sch.C._1" hidden="1">{"Sch.C_Rev_lag",#N/A,FALSE,"Sch.C"}</definedName>
    <definedName name="wrn.Sch.D.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hidden="1">{"Sch.E_PayrollExp",#N/A,TRUE,"Sch.E,F";"Sch.F_FICA",#N/A,TRUE,"Sch.E,F"}</definedName>
    <definedName name="wrn.Sch.E._.F._1" hidden="1">{"Sch.E_PayrollExp",#N/A,TRUE,"Sch.E,F";"Sch.F_FICA",#N/A,TRUE,"Sch.E,F"}</definedName>
    <definedName name="wrn.Sch.G." hidden="1">{"Sch.G_ICP",#N/A,FALSE,"Sch.G"}</definedName>
    <definedName name="wrn.Sch.G._1" hidden="1">{"Sch.G_ICP",#N/A,FALSE,"Sch.G"}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hidden="1">{"Sch.I_Goods&amp;Svcs",#N/A,FALSE,"Sch.I"}</definedName>
    <definedName name="wrn.Sch.I._1" hidden="1">{"Sch.I_Goods&amp;Svcs",#N/A,FALSE,"Sch.I"}</definedName>
    <definedName name="wrn.Sch.J." hidden="1">{"Sch.J_CorpChgs",#N/A,FALSE,"Sch.J"}</definedName>
    <definedName name="wrn.Sch.J._1" hidden="1">{"Sch.J_CorpChgs",#N/A,FALSE,"Sch.J"}</definedName>
    <definedName name="wrn.Sch.K.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hidden="1">{"Sch.L_MaterialIssue",#N/A,FALSE,"Sch.L"}</definedName>
    <definedName name="wrn.Sch.L._1" hidden="1">{"Sch.L_MaterialIssue",#N/A,FALSE,"Sch.L"}</definedName>
    <definedName name="wrn.Sch.M." hidden="1">{"Sch.M_Prop&amp;FFTaxes",#N/A,FALSE,"Sch.M"}</definedName>
    <definedName name="wrn.Sch.M._1" hidden="1">{"Sch.M_Prop&amp;FFTaxes",#N/A,FALSE,"Sch.M"}</definedName>
    <definedName name="wrn.Sch.N." hidden="1">{"Sch.N_IncTaxes",#N/A,FALSE,"Sch. N, O"}</definedName>
    <definedName name="wrn.Sch.N._1" hidden="1">{"Sch.N_IncTaxes",#N/A,FALSE,"Sch. N, O"}</definedName>
    <definedName name="wrn.Sch.O.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hidden="1">{"Sch.P_BS_Bal",#N/A,FALSE,"WP-BS Elem"}</definedName>
    <definedName name="wrn.Sch.P._.Accts." hidden="1">{"Sch.P_BS_Accts",#N/A,FALSE,"WP-BS Elem"}</definedName>
    <definedName name="wrn.Sch.P._.Accts._1" hidden="1">{"Sch.P_BS_Accts",#N/A,FALSE,"WP-BS Elem"}</definedName>
    <definedName name="wrn.Sch.P._1" hidden="1">{"Sch.P_BS_Bal",#N/A,FALSE,"WP-BS Elem"}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610." hidden="1">{"TEST610",#N/A,FALSE,"Sheet1"}</definedName>
    <definedName name="wrn.TEST611." hidden="1">{"TEST611",#N/A,FALSE,"Sheet1"}</definedName>
    <definedName name="wrn.total._.10._.yr." hidden="1">{"total_10yr",#N/A,FALSE,"Data (t8-t4)"}</definedName>
    <definedName name="wrn.total._.98." hidden="1">{"total_98",#N/A,FALSE,"Data (t8-t4)"}</definedName>
    <definedName name="wrn.XX." hidden="1">{#N/A,#N/A,FALSE,"337"}</definedName>
    <definedName name="WTDEVCOSTS" hidden="1">#REF!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es" hidden="1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RangeCount" hidden="1">3</definedName>
    <definedName name="xxx" hidden="1">#REF!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Z_598CECA0_5C60_11D3_B382_005004054BC5_.wvu.Rows" hidden="1">#REF!,#REF!,#REF!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4" i="207" l="1"/>
  <c r="E51" i="173"/>
  <c r="B39" i="173"/>
  <c r="B105" i="173" s="1"/>
  <c r="B38" i="173"/>
  <c r="B52" i="209"/>
  <c r="B51" i="209"/>
  <c r="B33" i="205"/>
  <c r="B32" i="205"/>
  <c r="B75" i="194"/>
  <c r="E45" i="194"/>
  <c r="E54" i="213" l="1"/>
  <c r="E25" i="213" s="1"/>
  <c r="F25" i="213" s="1"/>
  <c r="J25" i="213" s="1"/>
  <c r="M25" i="213" s="1"/>
  <c r="E52" i="213"/>
  <c r="E49" i="213"/>
  <c r="E43" i="213"/>
  <c r="E41" i="213"/>
  <c r="E17" i="213" s="1"/>
  <c r="F17" i="213" s="1"/>
  <c r="J17" i="213" s="1"/>
  <c r="M17" i="213" s="1"/>
  <c r="E38" i="213"/>
  <c r="E56" i="213" s="1"/>
  <c r="J29" i="213"/>
  <c r="M29" i="213" s="1"/>
  <c r="F29" i="213"/>
  <c r="L27" i="213"/>
  <c r="L31" i="213" s="1"/>
  <c r="D27" i="213"/>
  <c r="D31" i="213" s="1"/>
  <c r="M24" i="213"/>
  <c r="J24" i="213"/>
  <c r="F24" i="213"/>
  <c r="E23" i="213"/>
  <c r="F23" i="213" s="1"/>
  <c r="J23" i="213" s="1"/>
  <c r="M23" i="213" s="1"/>
  <c r="E22" i="213"/>
  <c r="F22" i="213" s="1"/>
  <c r="J22" i="213" s="1"/>
  <c r="M22" i="213" s="1"/>
  <c r="F21" i="213"/>
  <c r="J21" i="213" s="1"/>
  <c r="M21" i="213" s="1"/>
  <c r="F20" i="213"/>
  <c r="J20" i="213" s="1"/>
  <c r="M20" i="213" s="1"/>
  <c r="E20" i="213"/>
  <c r="E19" i="213"/>
  <c r="F19" i="213" s="1"/>
  <c r="J19" i="213" s="1"/>
  <c r="M19" i="213" s="1"/>
  <c r="L18" i="213"/>
  <c r="E18" i="213"/>
  <c r="F18" i="213" s="1"/>
  <c r="J18" i="213" s="1"/>
  <c r="M18" i="213" s="1"/>
  <c r="L17" i="213"/>
  <c r="M16" i="213"/>
  <c r="J16" i="213"/>
  <c r="F16" i="213"/>
  <c r="L15" i="213"/>
  <c r="H14" i="213"/>
  <c r="H27" i="213" s="1"/>
  <c r="H31" i="213" s="1"/>
  <c r="J13" i="213"/>
  <c r="M13" i="213" s="1"/>
  <c r="F13" i="213"/>
  <c r="L12" i="213"/>
  <c r="E12" i="213"/>
  <c r="F12" i="213" s="1"/>
  <c r="J12" i="213" s="1"/>
  <c r="M12" i="213" s="1"/>
  <c r="A12" i="213"/>
  <c r="A13" i="213" s="1"/>
  <c r="O11" i="213"/>
  <c r="L11" i="213"/>
  <c r="E11" i="213"/>
  <c r="F11" i="213" s="1"/>
  <c r="A14" i="213" l="1"/>
  <c r="O13" i="213"/>
  <c r="J11" i="213"/>
  <c r="F27" i="213"/>
  <c r="F31" i="213" s="1"/>
  <c r="E14" i="213"/>
  <c r="F14" i="213" s="1"/>
  <c r="J14" i="213" s="1"/>
  <c r="M14" i="213" s="1"/>
  <c r="E27" i="213"/>
  <c r="E31" i="213" s="1"/>
  <c r="O12" i="213"/>
  <c r="J27" i="213" l="1"/>
  <c r="J31" i="213" s="1"/>
  <c r="M11" i="213"/>
  <c r="M27" i="213" s="1"/>
  <c r="M31" i="213" s="1"/>
  <c r="O14" i="213"/>
  <c r="A15" i="213"/>
  <c r="A16" i="213" l="1"/>
  <c r="O15" i="213"/>
  <c r="A17" i="213" l="1"/>
  <c r="O16" i="213"/>
  <c r="A18" i="213" l="1"/>
  <c r="O17" i="213"/>
  <c r="O18" i="213" l="1"/>
  <c r="A19" i="213"/>
  <c r="A20" i="213" l="1"/>
  <c r="O19" i="213"/>
  <c r="O20" i="213" l="1"/>
  <c r="A21" i="213"/>
  <c r="A22" i="213" l="1"/>
  <c r="O21" i="213"/>
  <c r="A23" i="213" l="1"/>
  <c r="O22" i="213"/>
  <c r="A24" i="213" l="1"/>
  <c r="O23" i="213"/>
  <c r="A25" i="213" l="1"/>
  <c r="O24" i="213"/>
  <c r="O25" i="213" l="1"/>
  <c r="N27" i="213"/>
  <c r="A26" i="213"/>
  <c r="O26" i="213" l="1"/>
  <c r="A27" i="213"/>
  <c r="O27" i="213" l="1"/>
  <c r="A28" i="213"/>
  <c r="A29" i="213" l="1"/>
  <c r="O28" i="213"/>
  <c r="O29" i="213" l="1"/>
  <c r="A30" i="213"/>
  <c r="A31" i="213" l="1"/>
  <c r="O30" i="213"/>
  <c r="A32" i="213" l="1"/>
  <c r="O31" i="213"/>
  <c r="O32" i="213" l="1"/>
  <c r="A33" i="213"/>
  <c r="O33" i="213" l="1"/>
  <c r="A34" i="213"/>
  <c r="A35" i="213" l="1"/>
  <c r="O34" i="213"/>
  <c r="A36" i="213" l="1"/>
  <c r="O35" i="213"/>
  <c r="O36" i="213" l="1"/>
  <c r="A37" i="213"/>
  <c r="A38" i="213" l="1"/>
  <c r="O37" i="213"/>
  <c r="A39" i="213" l="1"/>
  <c r="O38" i="213"/>
  <c r="A40" i="213" l="1"/>
  <c r="O39" i="213"/>
  <c r="A41" i="213" l="1"/>
  <c r="O40" i="213"/>
  <c r="A42" i="213" l="1"/>
  <c r="O41" i="213"/>
  <c r="A43" i="213" l="1"/>
  <c r="O42" i="213"/>
  <c r="A44" i="213" l="1"/>
  <c r="O43" i="213"/>
  <c r="A45" i="213" l="1"/>
  <c r="O44" i="213"/>
  <c r="A46" i="213" l="1"/>
  <c r="O45" i="213"/>
  <c r="A47" i="213" l="1"/>
  <c r="O46" i="213"/>
  <c r="O47" i="213" l="1"/>
  <c r="A48" i="213"/>
  <c r="O48" i="213" l="1"/>
  <c r="A49" i="213"/>
  <c r="A50" i="213" l="1"/>
  <c r="O49" i="213"/>
  <c r="O50" i="213" l="1"/>
  <c r="A51" i="213"/>
  <c r="A52" i="213" l="1"/>
  <c r="O51" i="213"/>
  <c r="A53" i="213" l="1"/>
  <c r="O52" i="213"/>
  <c r="A54" i="213" l="1"/>
  <c r="O53" i="213"/>
  <c r="O54" i="213" l="1"/>
  <c r="A55" i="213"/>
  <c r="O55" i="213" l="1"/>
  <c r="A56" i="213"/>
  <c r="A57" i="213" l="1"/>
  <c r="O56" i="213"/>
  <c r="A58" i="213" l="1"/>
  <c r="O57" i="213"/>
  <c r="O58" i="213" l="1"/>
  <c r="A59" i="213"/>
  <c r="A60" i="213" l="1"/>
  <c r="O59" i="213"/>
  <c r="A61" i="213" l="1"/>
  <c r="O60" i="213"/>
  <c r="A62" i="213" l="1"/>
  <c r="O61" i="213"/>
  <c r="O62" i="213" l="1"/>
  <c r="A63" i="213"/>
  <c r="A64" i="213" l="1"/>
  <c r="O63" i="213"/>
  <c r="A65" i="213" l="1"/>
  <c r="O64" i="213"/>
  <c r="O65" i="213" l="1"/>
  <c r="A66" i="213"/>
  <c r="O66" i="213" s="1"/>
  <c r="B113" i="207" l="1"/>
  <c r="B74" i="194"/>
  <c r="B104" i="173" l="1"/>
  <c r="E51" i="170" l="1"/>
  <c r="E47" i="170"/>
  <c r="E45" i="170"/>
  <c r="E43" i="170"/>
  <c r="E39" i="170"/>
  <c r="E37" i="170"/>
  <c r="E35" i="170"/>
  <c r="E26" i="170"/>
  <c r="E22" i="170"/>
  <c r="E20" i="170"/>
  <c r="E16" i="170"/>
  <c r="E14" i="170"/>
  <c r="E12" i="170"/>
  <c r="C51" i="170"/>
  <c r="C26" i="170"/>
  <c r="C22" i="170"/>
  <c r="C12" i="170"/>
  <c r="C18" i="210"/>
  <c r="C19" i="210" s="1"/>
  <c r="C20" i="210" s="1"/>
  <c r="C21" i="210" s="1"/>
  <c r="C22" i="210" s="1"/>
  <c r="C23" i="210" s="1"/>
  <c r="C24" i="210" s="1"/>
  <c r="C25" i="210" s="1"/>
  <c r="C26" i="210" s="1"/>
  <c r="C27" i="210" s="1"/>
  <c r="C28" i="210" s="1"/>
  <c r="C29" i="210" s="1"/>
  <c r="C30" i="210" s="1"/>
  <c r="C31" i="210" s="1"/>
  <c r="C32" i="210" s="1"/>
  <c r="C33" i="210" s="1"/>
  <c r="C34" i="210" s="1"/>
  <c r="C35" i="210" s="1"/>
  <c r="C36" i="210" s="1"/>
  <c r="C37" i="210" s="1"/>
  <c r="C38" i="210" s="1"/>
  <c r="C39" i="210" s="1"/>
  <c r="C40" i="210" s="1"/>
  <c r="C41" i="210" s="1"/>
  <c r="C42" i="210" s="1"/>
  <c r="C43" i="210" s="1"/>
  <c r="C44" i="210" s="1"/>
  <c r="C45" i="210" s="1"/>
  <c r="C46" i="210" s="1"/>
  <c r="C47" i="210" s="1"/>
  <c r="C48" i="210" s="1"/>
  <c r="C49" i="210" s="1"/>
  <c r="C50" i="210" s="1"/>
  <c r="C51" i="210" s="1"/>
  <c r="C52" i="210" s="1"/>
  <c r="A15" i="210"/>
  <c r="A16" i="210" s="1"/>
  <c r="A17" i="210" s="1"/>
  <c r="A18" i="210" s="1"/>
  <c r="A19" i="210" s="1"/>
  <c r="A20" i="210" s="1"/>
  <c r="A21" i="210" s="1"/>
  <c r="A22" i="210" s="1"/>
  <c r="A23" i="210" s="1"/>
  <c r="A24" i="210" s="1"/>
  <c r="A25" i="210" s="1"/>
  <c r="A26" i="210" s="1"/>
  <c r="A27" i="210" s="1"/>
  <c r="A28" i="210" s="1"/>
  <c r="A29" i="210" s="1"/>
  <c r="A30" i="210" s="1"/>
  <c r="A31" i="210" s="1"/>
  <c r="A32" i="210" s="1"/>
  <c r="A33" i="210" s="1"/>
  <c r="A34" i="210" s="1"/>
  <c r="A35" i="210" s="1"/>
  <c r="A36" i="210" s="1"/>
  <c r="A37" i="210" s="1"/>
  <c r="A38" i="210" s="1"/>
  <c r="A39" i="210" s="1"/>
  <c r="A40" i="210" s="1"/>
  <c r="A41" i="210" s="1"/>
  <c r="A42" i="210" s="1"/>
  <c r="A43" i="210" s="1"/>
  <c r="A44" i="210" s="1"/>
  <c r="A45" i="210" s="1"/>
  <c r="A46" i="210" s="1"/>
  <c r="A47" i="210" s="1"/>
  <c r="A48" i="210" s="1"/>
  <c r="A49" i="210" s="1"/>
  <c r="A50" i="210" s="1"/>
  <c r="A51" i="210" s="1"/>
  <c r="A52" i="210" s="1"/>
  <c r="A53" i="210" s="1"/>
  <c r="A54" i="210" s="1"/>
  <c r="A55" i="210" s="1"/>
  <c r="A56" i="210" s="1"/>
  <c r="A57" i="210" s="1"/>
  <c r="A58" i="210" s="1"/>
  <c r="A59" i="210" s="1"/>
  <c r="A60" i="210" s="1"/>
  <c r="A61" i="210" s="1"/>
  <c r="A62" i="210" s="1"/>
  <c r="A63" i="210" s="1"/>
  <c r="A64" i="210" s="1"/>
  <c r="A65" i="210" s="1"/>
  <c r="A66" i="210" s="1"/>
  <c r="A67" i="210" s="1"/>
  <c r="A68" i="210" s="1"/>
  <c r="A69" i="210" s="1"/>
  <c r="A70" i="210" s="1"/>
  <c r="A71" i="210" s="1"/>
  <c r="A72" i="210" s="1"/>
  <c r="A73" i="210" s="1"/>
  <c r="A74" i="210" s="1"/>
  <c r="A75" i="210" s="1"/>
  <c r="A76" i="210" s="1"/>
  <c r="A77" i="210" s="1"/>
  <c r="I11" i="210"/>
  <c r="I12" i="210" s="1"/>
  <c r="I13" i="210" s="1"/>
  <c r="I14" i="210" s="1"/>
  <c r="I15" i="210" s="1"/>
  <c r="I16" i="210" s="1"/>
  <c r="I17" i="210" s="1"/>
  <c r="I18" i="210" s="1"/>
  <c r="I19" i="210" s="1"/>
  <c r="I20" i="210" s="1"/>
  <c r="I21" i="210" s="1"/>
  <c r="I22" i="210" s="1"/>
  <c r="I23" i="210" s="1"/>
  <c r="I24" i="210" s="1"/>
  <c r="I25" i="210" s="1"/>
  <c r="I26" i="210" s="1"/>
  <c r="I27" i="210" s="1"/>
  <c r="I28" i="210" s="1"/>
  <c r="I29" i="210" s="1"/>
  <c r="I30" i="210" s="1"/>
  <c r="I31" i="210" s="1"/>
  <c r="I32" i="210" s="1"/>
  <c r="I33" i="210" s="1"/>
  <c r="I34" i="210" s="1"/>
  <c r="I35" i="210" s="1"/>
  <c r="I36" i="210" s="1"/>
  <c r="I37" i="210" s="1"/>
  <c r="I38" i="210" s="1"/>
  <c r="I39" i="210" s="1"/>
  <c r="I40" i="210" s="1"/>
  <c r="I41" i="210" s="1"/>
  <c r="I42" i="210" s="1"/>
  <c r="I43" i="210" s="1"/>
  <c r="I44" i="210" s="1"/>
  <c r="I45" i="210" s="1"/>
  <c r="I46" i="210" s="1"/>
  <c r="I47" i="210" s="1"/>
  <c r="I48" i="210" s="1"/>
  <c r="I49" i="210" s="1"/>
  <c r="I50" i="210" s="1"/>
  <c r="I51" i="210" s="1"/>
  <c r="I52" i="210" s="1"/>
  <c r="I53" i="210" s="1"/>
  <c r="I54" i="210" s="1"/>
  <c r="I55" i="210" s="1"/>
  <c r="I56" i="210" s="1"/>
  <c r="I57" i="210" s="1"/>
  <c r="I58" i="210" s="1"/>
  <c r="I59" i="210" s="1"/>
  <c r="I60" i="210" s="1"/>
  <c r="I61" i="210" s="1"/>
  <c r="I62" i="210" s="1"/>
  <c r="I63" i="210" s="1"/>
  <c r="I64" i="210" s="1"/>
  <c r="I65" i="210" s="1"/>
  <c r="I66" i="210" s="1"/>
  <c r="I67" i="210" s="1"/>
  <c r="I68" i="210" s="1"/>
  <c r="I69" i="210" s="1"/>
  <c r="I70" i="210" s="1"/>
  <c r="I71" i="210" s="1"/>
  <c r="I72" i="210" s="1"/>
  <c r="I73" i="210" s="1"/>
  <c r="I74" i="210" s="1"/>
  <c r="I75" i="210" s="1"/>
  <c r="I76" i="210" s="1"/>
  <c r="I77" i="210" s="1"/>
  <c r="A11" i="210"/>
  <c r="A12" i="210" s="1"/>
  <c r="A13" i="210" s="1"/>
  <c r="A14" i="210" s="1"/>
  <c r="C80" i="209"/>
  <c r="C14" i="209" s="1"/>
  <c r="E87" i="173" s="1"/>
  <c r="F87" i="209"/>
  <c r="E87" i="209"/>
  <c r="C87" i="209"/>
  <c r="F86" i="209"/>
  <c r="F85" i="209"/>
  <c r="F84" i="209"/>
  <c r="F83" i="209"/>
  <c r="F82" i="209"/>
  <c r="E82" i="209"/>
  <c r="F81" i="209"/>
  <c r="E81" i="209"/>
  <c r="F80" i="209"/>
  <c r="E80" i="209"/>
  <c r="F79" i="209"/>
  <c r="E79" i="209"/>
  <c r="F78" i="209"/>
  <c r="E78" i="209"/>
  <c r="F77" i="209"/>
  <c r="F76" i="209"/>
  <c r="F75" i="209"/>
  <c r="F74" i="209"/>
  <c r="F73" i="209"/>
  <c r="F72" i="209"/>
  <c r="F71" i="209"/>
  <c r="F70" i="209"/>
  <c r="F69" i="209"/>
  <c r="F68" i="209"/>
  <c r="F67" i="209"/>
  <c r="F66" i="209"/>
  <c r="F65" i="209"/>
  <c r="F64" i="209"/>
  <c r="F63" i="209"/>
  <c r="B56" i="209"/>
  <c r="B55" i="209"/>
  <c r="B54" i="209"/>
  <c r="C46" i="209"/>
  <c r="C41" i="209"/>
  <c r="C21" i="209"/>
  <c r="A12" i="209"/>
  <c r="A13" i="209" s="1"/>
  <c r="A14" i="209" s="1"/>
  <c r="A15" i="209" s="1"/>
  <c r="A16" i="209" s="1"/>
  <c r="A17" i="209" s="1"/>
  <c r="A18" i="209" s="1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F11" i="209"/>
  <c r="F12" i="209" s="1"/>
  <c r="F13" i="209" s="1"/>
  <c r="F14" i="209" s="1"/>
  <c r="F15" i="209" s="1"/>
  <c r="F16" i="209" s="1"/>
  <c r="F17" i="209" s="1"/>
  <c r="F18" i="209" s="1"/>
  <c r="F19" i="209" s="1"/>
  <c r="F20" i="209" s="1"/>
  <c r="F21" i="209" s="1"/>
  <c r="F22" i="209" s="1"/>
  <c r="F23" i="209" s="1"/>
  <c r="F24" i="209" s="1"/>
  <c r="F25" i="209" s="1"/>
  <c r="F26" i="209" s="1"/>
  <c r="F27" i="209" s="1"/>
  <c r="F28" i="209" s="1"/>
  <c r="F29" i="209" s="1"/>
  <c r="F30" i="209" s="1"/>
  <c r="F31" i="209" s="1"/>
  <c r="F32" i="209" s="1"/>
  <c r="F33" i="209" s="1"/>
  <c r="F34" i="209" s="1"/>
  <c r="F35" i="209" s="1"/>
  <c r="F36" i="209" s="1"/>
  <c r="F37" i="209" s="1"/>
  <c r="F38" i="209" s="1"/>
  <c r="F39" i="209" s="1"/>
  <c r="F40" i="209" s="1"/>
  <c r="F41" i="209" s="1"/>
  <c r="F42" i="209" s="1"/>
  <c r="F43" i="209" s="1"/>
  <c r="F44" i="209" s="1"/>
  <c r="F45" i="209" s="1"/>
  <c r="F46" i="209" s="1"/>
  <c r="F47" i="209" s="1"/>
  <c r="F48" i="209" s="1"/>
  <c r="F87" i="208"/>
  <c r="E87" i="208"/>
  <c r="C87" i="208"/>
  <c r="F86" i="208"/>
  <c r="F85" i="208"/>
  <c r="F84" i="208"/>
  <c r="F83" i="208"/>
  <c r="F82" i="208"/>
  <c r="E82" i="208"/>
  <c r="F81" i="208"/>
  <c r="E81" i="208"/>
  <c r="C81" i="208"/>
  <c r="C16" i="208" s="1"/>
  <c r="F80" i="208"/>
  <c r="E80" i="208"/>
  <c r="C80" i="208"/>
  <c r="F79" i="208"/>
  <c r="E79" i="208"/>
  <c r="C79" i="208"/>
  <c r="F78" i="208"/>
  <c r="E78" i="208"/>
  <c r="C78" i="208"/>
  <c r="C82" i="208" s="1"/>
  <c r="F77" i="208"/>
  <c r="F76" i="208"/>
  <c r="F75" i="208"/>
  <c r="C75" i="208"/>
  <c r="F74" i="208"/>
  <c r="F73" i="208"/>
  <c r="F72" i="208"/>
  <c r="F71" i="208"/>
  <c r="F70" i="208"/>
  <c r="F69" i="208"/>
  <c r="F68" i="208"/>
  <c r="C68" i="208"/>
  <c r="F67" i="208"/>
  <c r="F66" i="208"/>
  <c r="F65" i="208"/>
  <c r="F64" i="208"/>
  <c r="F63" i="208"/>
  <c r="B56" i="208"/>
  <c r="B55" i="208"/>
  <c r="B54" i="208"/>
  <c r="C47" i="208"/>
  <c r="C42" i="208"/>
  <c r="C33" i="208"/>
  <c r="C27" i="208"/>
  <c r="C22" i="208"/>
  <c r="C15" i="208"/>
  <c r="C14" i="208"/>
  <c r="A14" i="208"/>
  <c r="A15" i="208" s="1"/>
  <c r="A16" i="208" s="1"/>
  <c r="A17" i="208" s="1"/>
  <c r="A18" i="208" s="1"/>
  <c r="A19" i="208" s="1"/>
  <c r="A20" i="208" s="1"/>
  <c r="A21" i="208" s="1"/>
  <c r="A22" i="208" s="1"/>
  <c r="A23" i="208" s="1"/>
  <c r="A24" i="208" s="1"/>
  <c r="A25" i="208" s="1"/>
  <c r="A26" i="208" s="1"/>
  <c r="A27" i="208" s="1"/>
  <c r="A28" i="208" s="1"/>
  <c r="A29" i="208" s="1"/>
  <c r="A30" i="208" s="1"/>
  <c r="A31" i="208" s="1"/>
  <c r="A32" i="208" s="1"/>
  <c r="A33" i="208" s="1"/>
  <c r="A34" i="208" s="1"/>
  <c r="A35" i="208" s="1"/>
  <c r="A36" i="208" s="1"/>
  <c r="A37" i="208" s="1"/>
  <c r="A38" i="208" s="1"/>
  <c r="A39" i="208" s="1"/>
  <c r="A40" i="208" s="1"/>
  <c r="A41" i="208" s="1"/>
  <c r="A42" i="208" s="1"/>
  <c r="A43" i="208" s="1"/>
  <c r="A44" i="208" s="1"/>
  <c r="A45" i="208" s="1"/>
  <c r="A46" i="208" s="1"/>
  <c r="A47" i="208" s="1"/>
  <c r="A48" i="208" s="1"/>
  <c r="A49" i="208" s="1"/>
  <c r="A13" i="208"/>
  <c r="F12" i="208"/>
  <c r="F13" i="208" s="1"/>
  <c r="F14" i="208" s="1"/>
  <c r="F15" i="208" s="1"/>
  <c r="F16" i="208" s="1"/>
  <c r="F17" i="208" s="1"/>
  <c r="F18" i="208" s="1"/>
  <c r="F19" i="208" s="1"/>
  <c r="F20" i="208" s="1"/>
  <c r="F21" i="208" s="1"/>
  <c r="F22" i="208" s="1"/>
  <c r="F23" i="208" s="1"/>
  <c r="F24" i="208" s="1"/>
  <c r="F25" i="208" s="1"/>
  <c r="F26" i="208" s="1"/>
  <c r="F27" i="208" s="1"/>
  <c r="F28" i="208" s="1"/>
  <c r="F29" i="208" s="1"/>
  <c r="F30" i="208" s="1"/>
  <c r="F31" i="208" s="1"/>
  <c r="F32" i="208" s="1"/>
  <c r="F33" i="208" s="1"/>
  <c r="F34" i="208" s="1"/>
  <c r="F35" i="208" s="1"/>
  <c r="F36" i="208" s="1"/>
  <c r="F37" i="208" s="1"/>
  <c r="F38" i="208" s="1"/>
  <c r="F39" i="208" s="1"/>
  <c r="F40" i="208" s="1"/>
  <c r="F41" i="208" s="1"/>
  <c r="F42" i="208" s="1"/>
  <c r="F43" i="208" s="1"/>
  <c r="F44" i="208" s="1"/>
  <c r="F45" i="208" s="1"/>
  <c r="F46" i="208" s="1"/>
  <c r="F47" i="208" s="1"/>
  <c r="F48" i="208" s="1"/>
  <c r="F49" i="208" s="1"/>
  <c r="G148" i="207"/>
  <c r="B148" i="207"/>
  <c r="B147" i="207"/>
  <c r="G146" i="207"/>
  <c r="G145" i="207"/>
  <c r="B145" i="207"/>
  <c r="B144" i="207"/>
  <c r="G136" i="207"/>
  <c r="B136" i="207"/>
  <c r="B133" i="207"/>
  <c r="B132" i="207"/>
  <c r="J128" i="207"/>
  <c r="J129" i="207" s="1"/>
  <c r="J130" i="207" s="1"/>
  <c r="J131" i="207" s="1"/>
  <c r="J132" i="207" s="1"/>
  <c r="J133" i="207" s="1"/>
  <c r="J134" i="207" s="1"/>
  <c r="J135" i="207" s="1"/>
  <c r="J136" i="207" s="1"/>
  <c r="J137" i="207" s="1"/>
  <c r="J138" i="207" s="1"/>
  <c r="J139" i="207" s="1"/>
  <c r="J140" i="207" s="1"/>
  <c r="J141" i="207" s="1"/>
  <c r="J142" i="207" s="1"/>
  <c r="J143" i="207" s="1"/>
  <c r="J144" i="207" s="1"/>
  <c r="J145" i="207" s="1"/>
  <c r="J146" i="207" s="1"/>
  <c r="J147" i="207" s="1"/>
  <c r="J148" i="207" s="1"/>
  <c r="J149" i="207" s="1"/>
  <c r="J150" i="207" s="1"/>
  <c r="J151" i="207" s="1"/>
  <c r="J152" i="207" s="1"/>
  <c r="J153" i="207" s="1"/>
  <c r="J154" i="207" s="1"/>
  <c r="J155" i="207" s="1"/>
  <c r="J156" i="207" s="1"/>
  <c r="J157" i="207" s="1"/>
  <c r="A128" i="207"/>
  <c r="A129" i="207" s="1"/>
  <c r="A130" i="207" s="1"/>
  <c r="A131" i="207" s="1"/>
  <c r="A132" i="207" s="1"/>
  <c r="B121" i="207"/>
  <c r="G98" i="207"/>
  <c r="J81" i="207"/>
  <c r="J82" i="207" s="1"/>
  <c r="J83" i="207" s="1"/>
  <c r="J84" i="207" s="1"/>
  <c r="J85" i="207" s="1"/>
  <c r="J86" i="207" s="1"/>
  <c r="J87" i="207" s="1"/>
  <c r="J88" i="207" s="1"/>
  <c r="J89" i="207" s="1"/>
  <c r="J90" i="207" s="1"/>
  <c r="J91" i="207" s="1"/>
  <c r="J92" i="207" s="1"/>
  <c r="J93" i="207" s="1"/>
  <c r="J94" i="207" s="1"/>
  <c r="J95" i="207" s="1"/>
  <c r="J96" i="207" s="1"/>
  <c r="J97" i="207" s="1"/>
  <c r="J98" i="207" s="1"/>
  <c r="J99" i="207" s="1"/>
  <c r="J100" i="207" s="1"/>
  <c r="J101" i="207" s="1"/>
  <c r="J102" i="207" s="1"/>
  <c r="J103" i="207" s="1"/>
  <c r="J104" i="207" s="1"/>
  <c r="J105" i="207" s="1"/>
  <c r="J106" i="207" s="1"/>
  <c r="J107" i="207" s="1"/>
  <c r="J108" i="207" s="1"/>
  <c r="J109" i="207" s="1"/>
  <c r="J110" i="207" s="1"/>
  <c r="A81" i="207"/>
  <c r="A82" i="207" s="1"/>
  <c r="A83" i="207" s="1"/>
  <c r="A84" i="207" s="1"/>
  <c r="A85" i="207" s="1"/>
  <c r="B74" i="207"/>
  <c r="D63" i="207"/>
  <c r="C63" i="207"/>
  <c r="G62" i="207"/>
  <c r="G61" i="207"/>
  <c r="G65" i="207" s="1"/>
  <c r="G132" i="207" s="1"/>
  <c r="G60" i="207"/>
  <c r="G63" i="207" s="1"/>
  <c r="G155" i="207" s="1"/>
  <c r="E49" i="207"/>
  <c r="C48" i="207"/>
  <c r="G39" i="207"/>
  <c r="C49" i="207" s="1"/>
  <c r="G32" i="207"/>
  <c r="E48" i="207" s="1"/>
  <c r="G25" i="207"/>
  <c r="G17" i="207"/>
  <c r="A12" i="207"/>
  <c r="J11" i="207"/>
  <c r="J12" i="207" s="1"/>
  <c r="J13" i="207" s="1"/>
  <c r="J14" i="207" s="1"/>
  <c r="J15" i="207" s="1"/>
  <c r="J16" i="207" s="1"/>
  <c r="J17" i="207" s="1"/>
  <c r="J18" i="207" s="1"/>
  <c r="J19" i="207" s="1"/>
  <c r="J20" i="207" s="1"/>
  <c r="J21" i="207" s="1"/>
  <c r="J22" i="207" s="1"/>
  <c r="J23" i="207" s="1"/>
  <c r="J24" i="207" s="1"/>
  <c r="J25" i="207" s="1"/>
  <c r="J26" i="207" s="1"/>
  <c r="J27" i="207" s="1"/>
  <c r="J28" i="207" s="1"/>
  <c r="J29" i="207" s="1"/>
  <c r="J30" i="207" s="1"/>
  <c r="J31" i="207" s="1"/>
  <c r="J32" i="207" s="1"/>
  <c r="J33" i="207" s="1"/>
  <c r="J34" i="207" s="1"/>
  <c r="J35" i="207" s="1"/>
  <c r="J36" i="207" s="1"/>
  <c r="J37" i="207" s="1"/>
  <c r="J38" i="207" s="1"/>
  <c r="J39" i="207" s="1"/>
  <c r="J40" i="207" s="1"/>
  <c r="J41" i="207" s="1"/>
  <c r="J42" i="207" s="1"/>
  <c r="J43" i="207" s="1"/>
  <c r="J44" i="207" s="1"/>
  <c r="J45" i="207" s="1"/>
  <c r="J46" i="207" s="1"/>
  <c r="J47" i="207" s="1"/>
  <c r="J48" i="207" s="1"/>
  <c r="J49" i="207" s="1"/>
  <c r="J50" i="207" s="1"/>
  <c r="J51" i="207" s="1"/>
  <c r="J52" i="207" s="1"/>
  <c r="J53" i="207" s="1"/>
  <c r="J54" i="207" s="1"/>
  <c r="J55" i="207" s="1"/>
  <c r="J56" i="207" s="1"/>
  <c r="J57" i="207" s="1"/>
  <c r="J58" i="207" s="1"/>
  <c r="J59" i="207" s="1"/>
  <c r="J60" i="207" s="1"/>
  <c r="J61" i="207" s="1"/>
  <c r="J62" i="207" s="1"/>
  <c r="J63" i="207" s="1"/>
  <c r="J64" i="207" s="1"/>
  <c r="J65" i="207" s="1"/>
  <c r="G147" i="206"/>
  <c r="B147" i="206"/>
  <c r="B146" i="206"/>
  <c r="G145" i="206"/>
  <c r="G144" i="206"/>
  <c r="B144" i="206"/>
  <c r="B143" i="206"/>
  <c r="G135" i="206"/>
  <c r="B135" i="206"/>
  <c r="B132" i="206"/>
  <c r="B131" i="206"/>
  <c r="A128" i="206"/>
  <c r="A129" i="206" s="1"/>
  <c r="A130" i="206" s="1"/>
  <c r="A131" i="206" s="1"/>
  <c r="J127" i="206"/>
  <c r="J128" i="206" s="1"/>
  <c r="J129" i="206" s="1"/>
  <c r="J130" i="206" s="1"/>
  <c r="J131" i="206" s="1"/>
  <c r="J132" i="206" s="1"/>
  <c r="J133" i="206" s="1"/>
  <c r="J134" i="206" s="1"/>
  <c r="J135" i="206" s="1"/>
  <c r="J136" i="206" s="1"/>
  <c r="J137" i="206" s="1"/>
  <c r="J138" i="206" s="1"/>
  <c r="J139" i="206" s="1"/>
  <c r="J140" i="206" s="1"/>
  <c r="J141" i="206" s="1"/>
  <c r="J142" i="206" s="1"/>
  <c r="J143" i="206" s="1"/>
  <c r="J144" i="206" s="1"/>
  <c r="J145" i="206" s="1"/>
  <c r="J146" i="206" s="1"/>
  <c r="J147" i="206" s="1"/>
  <c r="J148" i="206" s="1"/>
  <c r="J149" i="206" s="1"/>
  <c r="J150" i="206" s="1"/>
  <c r="J151" i="206" s="1"/>
  <c r="J152" i="206" s="1"/>
  <c r="J153" i="206" s="1"/>
  <c r="J154" i="206" s="1"/>
  <c r="J155" i="206" s="1"/>
  <c r="J156" i="206" s="1"/>
  <c r="A127" i="206"/>
  <c r="B120" i="206"/>
  <c r="G99" i="206"/>
  <c r="G100" i="206"/>
  <c r="A83" i="206"/>
  <c r="A84" i="206" s="1"/>
  <c r="A85" i="206" s="1"/>
  <c r="A86" i="206" s="1"/>
  <c r="I98" i="206" s="1"/>
  <c r="J82" i="206"/>
  <c r="J83" i="206" s="1"/>
  <c r="J84" i="206" s="1"/>
  <c r="J85" i="206" s="1"/>
  <c r="J86" i="206" s="1"/>
  <c r="J87" i="206" s="1"/>
  <c r="J88" i="206" s="1"/>
  <c r="J89" i="206" s="1"/>
  <c r="J90" i="206" s="1"/>
  <c r="J91" i="206" s="1"/>
  <c r="J92" i="206" s="1"/>
  <c r="J93" i="206" s="1"/>
  <c r="J94" i="206" s="1"/>
  <c r="J95" i="206" s="1"/>
  <c r="J96" i="206" s="1"/>
  <c r="J97" i="206" s="1"/>
  <c r="J98" i="206" s="1"/>
  <c r="J99" i="206" s="1"/>
  <c r="J100" i="206" s="1"/>
  <c r="J101" i="206" s="1"/>
  <c r="J102" i="206" s="1"/>
  <c r="J103" i="206" s="1"/>
  <c r="J104" i="206" s="1"/>
  <c r="J105" i="206" s="1"/>
  <c r="J106" i="206" s="1"/>
  <c r="J107" i="206" s="1"/>
  <c r="J108" i="206" s="1"/>
  <c r="J109" i="206" s="1"/>
  <c r="J110" i="206" s="1"/>
  <c r="J111" i="206" s="1"/>
  <c r="A82" i="206"/>
  <c r="B75" i="206"/>
  <c r="D64" i="206"/>
  <c r="C64" i="206"/>
  <c r="G63" i="206"/>
  <c r="G62" i="206"/>
  <c r="G61" i="206"/>
  <c r="E50" i="206"/>
  <c r="C49" i="206"/>
  <c r="G40" i="206"/>
  <c r="C50" i="206" s="1"/>
  <c r="G33" i="206"/>
  <c r="E49" i="206" s="1"/>
  <c r="G26" i="206"/>
  <c r="G18" i="206"/>
  <c r="G28" i="206" s="1"/>
  <c r="E48" i="206" s="1"/>
  <c r="A14" i="206"/>
  <c r="A15" i="206" s="1"/>
  <c r="A16" i="206" s="1"/>
  <c r="A17" i="206" s="1"/>
  <c r="A18" i="206" s="1"/>
  <c r="A19" i="206" s="1"/>
  <c r="A20" i="206" s="1"/>
  <c r="A21" i="206" s="1"/>
  <c r="A13" i="206"/>
  <c r="J12" i="206"/>
  <c r="J13" i="206" s="1"/>
  <c r="J14" i="206" s="1"/>
  <c r="J15" i="206" s="1"/>
  <c r="J16" i="206" s="1"/>
  <c r="J17" i="206" s="1"/>
  <c r="J18" i="206" s="1"/>
  <c r="J19" i="206" s="1"/>
  <c r="J20" i="206" s="1"/>
  <c r="J21" i="206" s="1"/>
  <c r="J22" i="206" s="1"/>
  <c r="J23" i="206" s="1"/>
  <c r="J24" i="206" s="1"/>
  <c r="J25" i="206" s="1"/>
  <c r="J26" i="206" s="1"/>
  <c r="J27" i="206" s="1"/>
  <c r="J28" i="206" s="1"/>
  <c r="J29" i="206" s="1"/>
  <c r="J30" i="206" s="1"/>
  <c r="J31" i="206" s="1"/>
  <c r="J32" i="206" s="1"/>
  <c r="J33" i="206" s="1"/>
  <c r="J34" i="206" s="1"/>
  <c r="J35" i="206" s="1"/>
  <c r="J36" i="206" s="1"/>
  <c r="J37" i="206" s="1"/>
  <c r="J38" i="206" s="1"/>
  <c r="J39" i="206" s="1"/>
  <c r="J40" i="206" s="1"/>
  <c r="J41" i="206" s="1"/>
  <c r="J42" i="206" s="1"/>
  <c r="J43" i="206" s="1"/>
  <c r="J44" i="206" s="1"/>
  <c r="J45" i="206" s="1"/>
  <c r="J46" i="206" s="1"/>
  <c r="J47" i="206" s="1"/>
  <c r="J48" i="206" s="1"/>
  <c r="J49" i="206" s="1"/>
  <c r="J50" i="206" s="1"/>
  <c r="J51" i="206" s="1"/>
  <c r="J52" i="206" s="1"/>
  <c r="J53" i="206" s="1"/>
  <c r="J54" i="206" s="1"/>
  <c r="J55" i="206" s="1"/>
  <c r="J56" i="206" s="1"/>
  <c r="J57" i="206" s="1"/>
  <c r="J58" i="206" s="1"/>
  <c r="J59" i="206" s="1"/>
  <c r="J60" i="206" s="1"/>
  <c r="J61" i="206" s="1"/>
  <c r="J62" i="206" s="1"/>
  <c r="J63" i="206" s="1"/>
  <c r="J64" i="206" s="1"/>
  <c r="J65" i="206" s="1"/>
  <c r="J66" i="206" s="1"/>
  <c r="G19" i="205"/>
  <c r="E76" i="173" s="1"/>
  <c r="E27" i="205"/>
  <c r="A12" i="205"/>
  <c r="A13" i="205" s="1"/>
  <c r="A14" i="205" s="1"/>
  <c r="A15" i="205" s="1"/>
  <c r="A16" i="205" s="1"/>
  <c r="A17" i="205" s="1"/>
  <c r="A18" i="205" s="1"/>
  <c r="A19" i="205" s="1"/>
  <c r="A20" i="205" s="1"/>
  <c r="A21" i="205" s="1"/>
  <c r="A22" i="205" s="1"/>
  <c r="A23" i="205" s="1"/>
  <c r="A24" i="205" s="1"/>
  <c r="A25" i="205" s="1"/>
  <c r="A26" i="205" s="1"/>
  <c r="A27" i="205" s="1"/>
  <c r="A28" i="205" s="1"/>
  <c r="A29" i="205" s="1"/>
  <c r="J11" i="205"/>
  <c r="J12" i="205" s="1"/>
  <c r="J13" i="205" s="1"/>
  <c r="J14" i="205" s="1"/>
  <c r="J15" i="205" s="1"/>
  <c r="J16" i="205" s="1"/>
  <c r="J17" i="205" s="1"/>
  <c r="J18" i="205" s="1"/>
  <c r="J19" i="205" s="1"/>
  <c r="J20" i="205" s="1"/>
  <c r="J21" i="205" s="1"/>
  <c r="J22" i="205" s="1"/>
  <c r="J23" i="205" s="1"/>
  <c r="J24" i="205" s="1"/>
  <c r="J25" i="205" s="1"/>
  <c r="J26" i="205" s="1"/>
  <c r="J27" i="205" s="1"/>
  <c r="J28" i="205" s="1"/>
  <c r="J29" i="205" s="1"/>
  <c r="E28" i="204"/>
  <c r="E26" i="204"/>
  <c r="E30" i="204" s="1"/>
  <c r="G20" i="204"/>
  <c r="G16" i="204"/>
  <c r="A13" i="204"/>
  <c r="A14" i="204" s="1"/>
  <c r="A15" i="204" s="1"/>
  <c r="A16" i="204" s="1"/>
  <c r="A17" i="204" s="1"/>
  <c r="A18" i="204" s="1"/>
  <c r="A19" i="204" s="1"/>
  <c r="A20" i="204" s="1"/>
  <c r="A21" i="204" s="1"/>
  <c r="A22" i="204" s="1"/>
  <c r="A23" i="204" s="1"/>
  <c r="A24" i="204" s="1"/>
  <c r="A25" i="204" s="1"/>
  <c r="A26" i="204" s="1"/>
  <c r="A27" i="204" s="1"/>
  <c r="A28" i="204" s="1"/>
  <c r="A29" i="204" s="1"/>
  <c r="A30" i="204" s="1"/>
  <c r="J12" i="204"/>
  <c r="J13" i="204" s="1"/>
  <c r="J14" i="204" s="1"/>
  <c r="J15" i="204" s="1"/>
  <c r="J16" i="204" s="1"/>
  <c r="J17" i="204" s="1"/>
  <c r="J18" i="204" s="1"/>
  <c r="J19" i="204" s="1"/>
  <c r="J20" i="204" s="1"/>
  <c r="J21" i="204" s="1"/>
  <c r="J22" i="204" s="1"/>
  <c r="J23" i="204" s="1"/>
  <c r="J24" i="204" s="1"/>
  <c r="J25" i="204" s="1"/>
  <c r="J26" i="204" s="1"/>
  <c r="J27" i="204" s="1"/>
  <c r="J28" i="204" s="1"/>
  <c r="J29" i="204" s="1"/>
  <c r="J30" i="204" s="1"/>
  <c r="C78" i="209" l="1"/>
  <c r="C12" i="209" s="1"/>
  <c r="C75" i="209"/>
  <c r="C30" i="209"/>
  <c r="C81" i="209"/>
  <c r="C15" i="209" s="1"/>
  <c r="E89" i="173" s="1"/>
  <c r="C68" i="209"/>
  <c r="C79" i="209"/>
  <c r="C13" i="209" s="1"/>
  <c r="C82" i="209"/>
  <c r="C16" i="209"/>
  <c r="C13" i="208"/>
  <c r="C17" i="208" s="1"/>
  <c r="C37" i="208" s="1"/>
  <c r="A13" i="207"/>
  <c r="A14" i="207" s="1"/>
  <c r="A15" i="207" s="1"/>
  <c r="A16" i="207" s="1"/>
  <c r="A17" i="207" s="1"/>
  <c r="A18" i="207" s="1"/>
  <c r="A19" i="207" s="1"/>
  <c r="A20" i="207" s="1"/>
  <c r="G27" i="207"/>
  <c r="E47" i="207" s="1"/>
  <c r="A133" i="207"/>
  <c r="A134" i="207" s="1"/>
  <c r="I144" i="207"/>
  <c r="I97" i="207"/>
  <c r="A86" i="207"/>
  <c r="A87" i="207" s="1"/>
  <c r="G138" i="207"/>
  <c r="G147" i="207" s="1"/>
  <c r="G144" i="207"/>
  <c r="C47" i="207"/>
  <c r="I18" i="206"/>
  <c r="G64" i="206"/>
  <c r="G154" i="206" s="1"/>
  <c r="C48" i="206"/>
  <c r="C51" i="206" s="1"/>
  <c r="D49" i="206" s="1"/>
  <c r="G49" i="206" s="1"/>
  <c r="G66" i="206"/>
  <c r="G131" i="206" s="1"/>
  <c r="A22" i="206"/>
  <c r="A23" i="206" s="1"/>
  <c r="A24" i="206" s="1"/>
  <c r="A25" i="206" s="1"/>
  <c r="A26" i="206" s="1"/>
  <c r="G137" i="206"/>
  <c r="G146" i="206" s="1"/>
  <c r="G143" i="206"/>
  <c r="D48" i="206"/>
  <c r="A132" i="206"/>
  <c r="A133" i="206" s="1"/>
  <c r="I143" i="206"/>
  <c r="A87" i="206"/>
  <c r="A88" i="206" s="1"/>
  <c r="G15" i="205"/>
  <c r="E46" i="194"/>
  <c r="E55" i="198"/>
  <c r="E53" i="198"/>
  <c r="E50" i="198"/>
  <c r="E44" i="198"/>
  <c r="E42" i="198"/>
  <c r="E39" i="198"/>
  <c r="F30" i="198"/>
  <c r="J30" i="198" s="1"/>
  <c r="E28" i="198"/>
  <c r="E32" i="198" s="1"/>
  <c r="D28" i="198"/>
  <c r="D32" i="198" s="1"/>
  <c r="F26" i="198"/>
  <c r="J26" i="198" s="1"/>
  <c r="F25" i="198"/>
  <c r="J25" i="198" s="1"/>
  <c r="F24" i="198"/>
  <c r="J24" i="198" s="1"/>
  <c r="F23" i="198"/>
  <c r="J23" i="198" s="1"/>
  <c r="F22" i="198"/>
  <c r="J22" i="198" s="1"/>
  <c r="F21" i="198"/>
  <c r="J21" i="198" s="1"/>
  <c r="F20" i="198"/>
  <c r="J20" i="198" s="1"/>
  <c r="F19" i="198"/>
  <c r="J19" i="198" s="1"/>
  <c r="F18" i="198"/>
  <c r="J18" i="198" s="1"/>
  <c r="F17" i="198"/>
  <c r="J17" i="198" s="1"/>
  <c r="H15" i="198"/>
  <c r="H28" i="198" s="1"/>
  <c r="H32" i="198" s="1"/>
  <c r="F15" i="198"/>
  <c r="F14" i="198"/>
  <c r="J14" i="198" s="1"/>
  <c r="L13" i="198"/>
  <c r="L14" i="198" s="1"/>
  <c r="L15" i="198" s="1"/>
  <c r="L16" i="198" s="1"/>
  <c r="L17" i="198" s="1"/>
  <c r="L18" i="198" s="1"/>
  <c r="L19" i="198" s="1"/>
  <c r="L20" i="198" s="1"/>
  <c r="L21" i="198" s="1"/>
  <c r="L22" i="198" s="1"/>
  <c r="L23" i="198" s="1"/>
  <c r="L24" i="198" s="1"/>
  <c r="L25" i="198" s="1"/>
  <c r="L26" i="198" s="1"/>
  <c r="L27" i="198" s="1"/>
  <c r="L28" i="198" s="1"/>
  <c r="L29" i="198" s="1"/>
  <c r="L30" i="198" s="1"/>
  <c r="L31" i="198" s="1"/>
  <c r="L32" i="198" s="1"/>
  <c r="L33" i="198" s="1"/>
  <c r="L34" i="198" s="1"/>
  <c r="L35" i="198" s="1"/>
  <c r="L36" i="198" s="1"/>
  <c r="L37" i="198" s="1"/>
  <c r="L38" i="198" s="1"/>
  <c r="L39" i="198" s="1"/>
  <c r="L40" i="198" s="1"/>
  <c r="L41" i="198" s="1"/>
  <c r="L42" i="198" s="1"/>
  <c r="L43" i="198" s="1"/>
  <c r="L44" i="198" s="1"/>
  <c r="L45" i="198" s="1"/>
  <c r="L46" i="198" s="1"/>
  <c r="L47" i="198" s="1"/>
  <c r="L48" i="198" s="1"/>
  <c r="L49" i="198" s="1"/>
  <c r="L50" i="198" s="1"/>
  <c r="L51" i="198" s="1"/>
  <c r="L52" i="198" s="1"/>
  <c r="L53" i="198" s="1"/>
  <c r="L54" i="198" s="1"/>
  <c r="L55" i="198" s="1"/>
  <c r="L56" i="198" s="1"/>
  <c r="L57" i="198" s="1"/>
  <c r="L58" i="198" s="1"/>
  <c r="L59" i="198" s="1"/>
  <c r="L60" i="198" s="1"/>
  <c r="L61" i="198" s="1"/>
  <c r="L62" i="198" s="1"/>
  <c r="L63" i="198" s="1"/>
  <c r="L64" i="198" s="1"/>
  <c r="L65" i="198" s="1"/>
  <c r="L66" i="198" s="1"/>
  <c r="L67" i="198" s="1"/>
  <c r="F13" i="198"/>
  <c r="J13" i="198" s="1"/>
  <c r="A13" i="198"/>
  <c r="A14" i="198" s="1"/>
  <c r="A15" i="198" s="1"/>
  <c r="A16" i="198" s="1"/>
  <c r="A17" i="198" s="1"/>
  <c r="A18" i="198" s="1"/>
  <c r="A19" i="198" s="1"/>
  <c r="A20" i="198" s="1"/>
  <c r="A21" i="198" s="1"/>
  <c r="A22" i="198" s="1"/>
  <c r="A23" i="198" s="1"/>
  <c r="A24" i="198" s="1"/>
  <c r="A25" i="198" s="1"/>
  <c r="A26" i="198" s="1"/>
  <c r="L12" i="198"/>
  <c r="F12" i="198"/>
  <c r="J12" i="198" s="1"/>
  <c r="E28" i="194"/>
  <c r="E54" i="173" l="1"/>
  <c r="E22" i="205"/>
  <c r="E75" i="173"/>
  <c r="C29" i="209"/>
  <c r="G150" i="207"/>
  <c r="G153" i="207" s="1"/>
  <c r="G157" i="207" s="1"/>
  <c r="A21" i="207"/>
  <c r="A22" i="207" s="1"/>
  <c r="A23" i="207" s="1"/>
  <c r="A24" i="207" s="1"/>
  <c r="A25" i="207" s="1"/>
  <c r="A26" i="207" s="1"/>
  <c r="A27" i="207" s="1"/>
  <c r="I17" i="207"/>
  <c r="I27" i="207"/>
  <c r="I98" i="207"/>
  <c r="A88" i="207"/>
  <c r="C50" i="207"/>
  <c r="D47" i="207" s="1"/>
  <c r="I145" i="207"/>
  <c r="A135" i="207"/>
  <c r="D50" i="206"/>
  <c r="G50" i="206" s="1"/>
  <c r="G53" i="206" s="1"/>
  <c r="G86" i="206" s="1"/>
  <c r="I144" i="206"/>
  <c r="A134" i="206"/>
  <c r="G48" i="206"/>
  <c r="G149" i="206"/>
  <c r="G152" i="206" s="1"/>
  <c r="G156" i="206" s="1"/>
  <c r="A89" i="206"/>
  <c r="I99" i="206"/>
  <c r="I28" i="206"/>
  <c r="A27" i="206"/>
  <c r="A28" i="206" s="1"/>
  <c r="I26" i="206"/>
  <c r="E57" i="198"/>
  <c r="A27" i="198"/>
  <c r="A28" i="198" s="1"/>
  <c r="J15" i="198"/>
  <c r="J28" i="198" s="1"/>
  <c r="J32" i="198" s="1"/>
  <c r="F28" i="198"/>
  <c r="F32" i="198" s="1"/>
  <c r="I25" i="207" l="1"/>
  <c r="G47" i="207"/>
  <c r="I146" i="207"/>
  <c r="A136" i="207"/>
  <c r="A137" i="207" s="1"/>
  <c r="A138" i="207" s="1"/>
  <c r="I99" i="207"/>
  <c r="A89" i="207"/>
  <c r="A28" i="207"/>
  <c r="A29" i="207" s="1"/>
  <c r="A30" i="207" s="1"/>
  <c r="I47" i="207"/>
  <c r="D48" i="207"/>
  <c r="G48" i="207" s="1"/>
  <c r="D49" i="207"/>
  <c r="G49" i="207" s="1"/>
  <c r="G98" i="206"/>
  <c r="G92" i="206"/>
  <c r="G101" i="206" s="1"/>
  <c r="D51" i="206"/>
  <c r="G51" i="206"/>
  <c r="G109" i="206" s="1"/>
  <c r="I100" i="206"/>
  <c r="A90" i="206"/>
  <c r="I48" i="206"/>
  <c r="A29" i="206"/>
  <c r="A30" i="206" s="1"/>
  <c r="A31" i="206" s="1"/>
  <c r="I145" i="206"/>
  <c r="A135" i="206"/>
  <c r="A136" i="206" s="1"/>
  <c r="A137" i="206" s="1"/>
  <c r="A29" i="198"/>
  <c r="A30" i="198" s="1"/>
  <c r="A31" i="198" s="1"/>
  <c r="A32" i="198" s="1"/>
  <c r="A33" i="198" s="1"/>
  <c r="A34" i="198" s="1"/>
  <c r="A35" i="198" s="1"/>
  <c r="A36" i="198" s="1"/>
  <c r="A37" i="198" s="1"/>
  <c r="A38" i="198" s="1"/>
  <c r="A39" i="198" s="1"/>
  <c r="A40" i="198" s="1"/>
  <c r="A41" i="198" s="1"/>
  <c r="A42" i="198" s="1"/>
  <c r="A43" i="198" s="1"/>
  <c r="A44" i="198" s="1"/>
  <c r="A45" i="198" s="1"/>
  <c r="A46" i="198" s="1"/>
  <c r="A47" i="198" s="1"/>
  <c r="A48" i="198" s="1"/>
  <c r="A49" i="198" s="1"/>
  <c r="A50" i="198" s="1"/>
  <c r="A51" i="198" s="1"/>
  <c r="A52" i="198" s="1"/>
  <c r="A53" i="198" s="1"/>
  <c r="A54" i="198" s="1"/>
  <c r="A55" i="198" s="1"/>
  <c r="A56" i="198" s="1"/>
  <c r="A57" i="198" s="1"/>
  <c r="A58" i="198" s="1"/>
  <c r="A59" i="198" s="1"/>
  <c r="A60" i="198" s="1"/>
  <c r="A61" i="198" s="1"/>
  <c r="A62" i="198" s="1"/>
  <c r="A63" i="198" s="1"/>
  <c r="A64" i="198" s="1"/>
  <c r="A65" i="198" s="1"/>
  <c r="A66" i="198" s="1"/>
  <c r="A67" i="198" s="1"/>
  <c r="I136" i="207" l="1"/>
  <c r="A90" i="207"/>
  <c r="A91" i="207" s="1"/>
  <c r="A31" i="207"/>
  <c r="I36" i="207"/>
  <c r="A139" i="207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I147" i="207"/>
  <c r="D50" i="207"/>
  <c r="G52" i="207"/>
  <c r="G85" i="207" s="1"/>
  <c r="G50" i="207"/>
  <c r="G108" i="207" s="1"/>
  <c r="G104" i="206"/>
  <c r="G107" i="206" s="1"/>
  <c r="G111" i="206" s="1"/>
  <c r="A138" i="206"/>
  <c r="A139" i="206" s="1"/>
  <c r="A140" i="206" s="1"/>
  <c r="A141" i="206" s="1"/>
  <c r="A142" i="206" s="1"/>
  <c r="A143" i="206" s="1"/>
  <c r="A144" i="206" s="1"/>
  <c r="A145" i="206" s="1"/>
  <c r="A146" i="206" s="1"/>
  <c r="A147" i="206" s="1"/>
  <c r="A148" i="206" s="1"/>
  <c r="A149" i="206" s="1"/>
  <c r="A150" i="206" s="1"/>
  <c r="A151" i="206" s="1"/>
  <c r="A152" i="206" s="1"/>
  <c r="I146" i="206"/>
  <c r="I135" i="206"/>
  <c r="A91" i="206"/>
  <c r="A92" i="206" s="1"/>
  <c r="A32" i="206"/>
  <c r="I37" i="206"/>
  <c r="I153" i="207" l="1"/>
  <c r="A154" i="207"/>
  <c r="A155" i="207" s="1"/>
  <c r="A156" i="207" s="1"/>
  <c r="A157" i="207" s="1"/>
  <c r="I32" i="207"/>
  <c r="A32" i="207"/>
  <c r="I100" i="207"/>
  <c r="A92" i="207"/>
  <c r="A93" i="207" s="1"/>
  <c r="A94" i="207" s="1"/>
  <c r="A95" i="207" s="1"/>
  <c r="A96" i="207" s="1"/>
  <c r="A97" i="207" s="1"/>
  <c r="A98" i="207" s="1"/>
  <c r="A99" i="207" s="1"/>
  <c r="A100" i="207" s="1"/>
  <c r="A101" i="207" s="1"/>
  <c r="G97" i="207"/>
  <c r="A33" i="206"/>
  <c r="I33" i="206"/>
  <c r="I101" i="206"/>
  <c r="A93" i="206"/>
  <c r="A94" i="206" s="1"/>
  <c r="A95" i="206" s="1"/>
  <c r="A96" i="206" s="1"/>
  <c r="A97" i="206" s="1"/>
  <c r="A98" i="206" s="1"/>
  <c r="A99" i="206" s="1"/>
  <c r="A100" i="206" s="1"/>
  <c r="A101" i="206" s="1"/>
  <c r="A102" i="206" s="1"/>
  <c r="I152" i="206"/>
  <c r="A153" i="206"/>
  <c r="A154" i="206" s="1"/>
  <c r="A155" i="206" s="1"/>
  <c r="A156" i="206" s="1"/>
  <c r="I148" i="207" l="1"/>
  <c r="A102" i="207"/>
  <c r="A103" i="207" s="1"/>
  <c r="I48" i="207"/>
  <c r="A33" i="207"/>
  <c r="A34" i="207" s="1"/>
  <c r="A35" i="207" s="1"/>
  <c r="I157" i="207"/>
  <c r="I156" i="206"/>
  <c r="I147" i="206"/>
  <c r="A103" i="206"/>
  <c r="A104" i="206" s="1"/>
  <c r="I49" i="206"/>
  <c r="A34" i="206"/>
  <c r="A35" i="206" s="1"/>
  <c r="A36" i="206" s="1"/>
  <c r="A36" i="207" l="1"/>
  <c r="A37" i="207" s="1"/>
  <c r="A38" i="207" s="1"/>
  <c r="A39" i="207" s="1"/>
  <c r="A40" i="207" s="1"/>
  <c r="A41" i="207" s="1"/>
  <c r="A42" i="207" s="1"/>
  <c r="A104" i="207"/>
  <c r="A105" i="207" s="1"/>
  <c r="A106" i="207" s="1"/>
  <c r="I106" i="207"/>
  <c r="A105" i="206"/>
  <c r="A106" i="206" s="1"/>
  <c r="A107" i="206" s="1"/>
  <c r="I107" i="206"/>
  <c r="A37" i="206"/>
  <c r="A38" i="206" s="1"/>
  <c r="A39" i="206" s="1"/>
  <c r="A40" i="206" s="1"/>
  <c r="A41" i="206" s="1"/>
  <c r="A42" i="206" s="1"/>
  <c r="A43" i="206" s="1"/>
  <c r="A43" i="207" l="1"/>
  <c r="A44" i="207" s="1"/>
  <c r="A45" i="207" s="1"/>
  <c r="A46" i="207" s="1"/>
  <c r="A47" i="207" s="1"/>
  <c r="I49" i="207"/>
  <c r="A107" i="207"/>
  <c r="A108" i="207" s="1"/>
  <c r="A109" i="207" s="1"/>
  <c r="A110" i="207" s="1"/>
  <c r="I39" i="207"/>
  <c r="I50" i="206"/>
  <c r="A44" i="206"/>
  <c r="A45" i="206" s="1"/>
  <c r="A46" i="206" s="1"/>
  <c r="A47" i="206" s="1"/>
  <c r="A48" i="206" s="1"/>
  <c r="I40" i="206"/>
  <c r="A108" i="206"/>
  <c r="A109" i="206" s="1"/>
  <c r="A110" i="206" s="1"/>
  <c r="A111" i="206" s="1"/>
  <c r="I110" i="207" l="1"/>
  <c r="A48" i="207"/>
  <c r="I111" i="206"/>
  <c r="A49" i="206"/>
  <c r="A49" i="207" l="1"/>
  <c r="A50" i="206"/>
  <c r="A50" i="207" l="1"/>
  <c r="I50" i="207"/>
  <c r="I52" i="207"/>
  <c r="A51" i="206"/>
  <c r="I51" i="206"/>
  <c r="I53" i="206"/>
  <c r="I108" i="207" l="1"/>
  <c r="A51" i="207"/>
  <c r="A52" i="207" s="1"/>
  <c r="I109" i="206"/>
  <c r="A52" i="206"/>
  <c r="A53" i="206" s="1"/>
  <c r="A53" i="207" l="1"/>
  <c r="A54" i="207" s="1"/>
  <c r="A55" i="207" s="1"/>
  <c r="A56" i="207" s="1"/>
  <c r="A57" i="207" s="1"/>
  <c r="A58" i="207" s="1"/>
  <c r="A59" i="207" s="1"/>
  <c r="A60" i="207" s="1"/>
  <c r="I85" i="207"/>
  <c r="I86" i="206"/>
  <c r="A54" i="206"/>
  <c r="A55" i="206" s="1"/>
  <c r="A56" i="206" s="1"/>
  <c r="A57" i="206" s="1"/>
  <c r="A58" i="206" s="1"/>
  <c r="A59" i="206" s="1"/>
  <c r="A60" i="206" s="1"/>
  <c r="A61" i="206" s="1"/>
  <c r="A61" i="207" l="1"/>
  <c r="A62" i="206"/>
  <c r="A62" i="207" l="1"/>
  <c r="I65" i="207"/>
  <c r="A63" i="206"/>
  <c r="I66" i="206" s="1"/>
  <c r="A63" i="207" l="1"/>
  <c r="I63" i="207"/>
  <c r="A64" i="206"/>
  <c r="I64" i="206"/>
  <c r="I155" i="207" l="1"/>
  <c r="A64" i="207"/>
  <c r="A65" i="207" s="1"/>
  <c r="I132" i="207" s="1"/>
  <c r="I154" i="206"/>
  <c r="A65" i="206"/>
  <c r="A66" i="206" s="1"/>
  <c r="I131" i="206" s="1"/>
  <c r="E61" i="194" l="1"/>
  <c r="E69" i="194" s="1"/>
  <c r="E59" i="194"/>
  <c r="E48" i="194"/>
  <c r="E50" i="194" s="1"/>
  <c r="A12" i="194"/>
  <c r="A13" i="194" s="1"/>
  <c r="A14" i="194" s="1"/>
  <c r="A15" i="194" s="1"/>
  <c r="A16" i="194" s="1"/>
  <c r="A17" i="194" s="1"/>
  <c r="A18" i="194" s="1"/>
  <c r="A19" i="194" s="1"/>
  <c r="A20" i="194" s="1"/>
  <c r="A21" i="194" s="1"/>
  <c r="A22" i="194" s="1"/>
  <c r="A23" i="194" s="1"/>
  <c r="A24" i="194" s="1"/>
  <c r="A25" i="194" s="1"/>
  <c r="A26" i="194" s="1"/>
  <c r="A27" i="194" s="1"/>
  <c r="A28" i="194" s="1"/>
  <c r="A29" i="194" s="1"/>
  <c r="H11" i="194"/>
  <c r="H12" i="194" s="1"/>
  <c r="H13" i="194" s="1"/>
  <c r="H14" i="194" s="1"/>
  <c r="H15" i="194" s="1"/>
  <c r="H16" i="194" s="1"/>
  <c r="H17" i="194" s="1"/>
  <c r="H18" i="194" s="1"/>
  <c r="H19" i="194" s="1"/>
  <c r="H20" i="194" s="1"/>
  <c r="H21" i="194" s="1"/>
  <c r="H22" i="194" s="1"/>
  <c r="H23" i="194" s="1"/>
  <c r="H24" i="194" s="1"/>
  <c r="H25" i="194" s="1"/>
  <c r="H26" i="194" s="1"/>
  <c r="H27" i="194" s="1"/>
  <c r="H28" i="194" s="1"/>
  <c r="H29" i="194" s="1"/>
  <c r="E61" i="195"/>
  <c r="E69" i="195" s="1"/>
  <c r="E71" i="195" s="1"/>
  <c r="E59" i="195"/>
  <c r="A13" i="195"/>
  <c r="A14" i="195" s="1"/>
  <c r="A15" i="195" s="1"/>
  <c r="A16" i="195" s="1"/>
  <c r="A17" i="195" s="1"/>
  <c r="A18" i="195" s="1"/>
  <c r="A19" i="195" s="1"/>
  <c r="A20" i="195" s="1"/>
  <c r="A21" i="195" s="1"/>
  <c r="A22" i="195" s="1"/>
  <c r="A23" i="195" s="1"/>
  <c r="A24" i="195" s="1"/>
  <c r="A25" i="195" s="1"/>
  <c r="A26" i="195" s="1"/>
  <c r="A27" i="195" s="1"/>
  <c r="A28" i="195" s="1"/>
  <c r="A29" i="195" s="1"/>
  <c r="A30" i="195" s="1"/>
  <c r="A31" i="195" s="1"/>
  <c r="A32" i="195" s="1"/>
  <c r="A33" i="195" s="1"/>
  <c r="A34" i="195" s="1"/>
  <c r="A35" i="195" s="1"/>
  <c r="A36" i="195" s="1"/>
  <c r="A37" i="195" s="1"/>
  <c r="A38" i="195" s="1"/>
  <c r="A39" i="195" s="1"/>
  <c r="A40" i="195" s="1"/>
  <c r="A41" i="195" s="1"/>
  <c r="A42" i="195" s="1"/>
  <c r="A43" i="195" s="1"/>
  <c r="A44" i="195" s="1"/>
  <c r="A45" i="195" s="1"/>
  <c r="A46" i="195" s="1"/>
  <c r="A47" i="195" s="1"/>
  <c r="A48" i="195" s="1"/>
  <c r="A49" i="195" s="1"/>
  <c r="A50" i="195" s="1"/>
  <c r="A51" i="195" s="1"/>
  <c r="A52" i="195" s="1"/>
  <c r="A53" i="195" s="1"/>
  <c r="A54" i="195" s="1"/>
  <c r="A55" i="195" s="1"/>
  <c r="A56" i="195" s="1"/>
  <c r="A57" i="195" s="1"/>
  <c r="A58" i="195" s="1"/>
  <c r="A59" i="195" s="1"/>
  <c r="A60" i="195" s="1"/>
  <c r="A61" i="195" s="1"/>
  <c r="A62" i="195" s="1"/>
  <c r="A63" i="195" s="1"/>
  <c r="A64" i="195" s="1"/>
  <c r="A65" i="195" s="1"/>
  <c r="A66" i="195" s="1"/>
  <c r="A67" i="195" s="1"/>
  <c r="A68" i="195" s="1"/>
  <c r="A69" i="195" s="1"/>
  <c r="A70" i="195" s="1"/>
  <c r="A71" i="195" s="1"/>
  <c r="H12" i="195"/>
  <c r="H13" i="195" s="1"/>
  <c r="H14" i="195" s="1"/>
  <c r="H15" i="195" s="1"/>
  <c r="H16" i="195" s="1"/>
  <c r="H17" i="195" s="1"/>
  <c r="H18" i="195" s="1"/>
  <c r="H19" i="195" s="1"/>
  <c r="H20" i="195" s="1"/>
  <c r="H21" i="195" s="1"/>
  <c r="H22" i="195" s="1"/>
  <c r="H23" i="195" s="1"/>
  <c r="H24" i="195" s="1"/>
  <c r="H25" i="195" s="1"/>
  <c r="H26" i="195" s="1"/>
  <c r="H27" i="195" s="1"/>
  <c r="H28" i="195" s="1"/>
  <c r="H29" i="195" s="1"/>
  <c r="H30" i="195" s="1"/>
  <c r="H31" i="195" s="1"/>
  <c r="H32" i="195" s="1"/>
  <c r="H33" i="195" s="1"/>
  <c r="H34" i="195" s="1"/>
  <c r="H35" i="195" s="1"/>
  <c r="H36" i="195" s="1"/>
  <c r="H37" i="195" s="1"/>
  <c r="H38" i="195" s="1"/>
  <c r="H39" i="195" s="1"/>
  <c r="H40" i="195" s="1"/>
  <c r="H41" i="195" s="1"/>
  <c r="H42" i="195" s="1"/>
  <c r="H43" i="195" s="1"/>
  <c r="H44" i="195" s="1"/>
  <c r="H45" i="195" s="1"/>
  <c r="H46" i="195" s="1"/>
  <c r="H47" i="195" s="1"/>
  <c r="H48" i="195" s="1"/>
  <c r="H49" i="195" s="1"/>
  <c r="H50" i="195" s="1"/>
  <c r="H51" i="195" s="1"/>
  <c r="H52" i="195" s="1"/>
  <c r="H53" i="195" s="1"/>
  <c r="H54" i="195" s="1"/>
  <c r="H55" i="195" s="1"/>
  <c r="H56" i="195" s="1"/>
  <c r="H57" i="195" s="1"/>
  <c r="H58" i="195" s="1"/>
  <c r="H59" i="195" s="1"/>
  <c r="H60" i="195" s="1"/>
  <c r="H61" i="195" s="1"/>
  <c r="H62" i="195" s="1"/>
  <c r="H63" i="195" s="1"/>
  <c r="H64" i="195" s="1"/>
  <c r="H65" i="195" s="1"/>
  <c r="H66" i="195" s="1"/>
  <c r="H67" i="195" s="1"/>
  <c r="H68" i="195" s="1"/>
  <c r="H69" i="195" s="1"/>
  <c r="H70" i="195" s="1"/>
  <c r="H71" i="195" s="1"/>
  <c r="A30" i="194" l="1"/>
  <c r="A31" i="194" s="1"/>
  <c r="A32" i="194" s="1"/>
  <c r="A33" i="194" s="1"/>
  <c r="A34" i="194" s="1"/>
  <c r="A35" i="194" s="1"/>
  <c r="A36" i="194" s="1"/>
  <c r="A37" i="194" s="1"/>
  <c r="A38" i="194" s="1"/>
  <c r="A39" i="194" s="1"/>
  <c r="A40" i="194" s="1"/>
  <c r="A41" i="194" s="1"/>
  <c r="A42" i="194" s="1"/>
  <c r="A43" i="194" s="1"/>
  <c r="A44" i="194" s="1"/>
  <c r="H30" i="194"/>
  <c r="H31" i="194" s="1"/>
  <c r="H32" i="194" s="1"/>
  <c r="H33" i="194" s="1"/>
  <c r="H34" i="194" s="1"/>
  <c r="H35" i="194" s="1"/>
  <c r="H36" i="194" s="1"/>
  <c r="H37" i="194" s="1"/>
  <c r="H38" i="194" s="1"/>
  <c r="H39" i="194" s="1"/>
  <c r="H40" i="194" s="1"/>
  <c r="H41" i="194" s="1"/>
  <c r="H42" i="194" s="1"/>
  <c r="H43" i="194" s="1"/>
  <c r="H44" i="194" s="1"/>
  <c r="E71" i="194"/>
  <c r="E46" i="195"/>
  <c r="E48" i="195" s="1"/>
  <c r="E50" i="195" s="1"/>
  <c r="E29" i="195"/>
  <c r="E51" i="195"/>
  <c r="E51" i="194" l="1"/>
  <c r="E52" i="194" s="1"/>
  <c r="H45" i="194"/>
  <c r="H46" i="194" s="1"/>
  <c r="H47" i="194" s="1"/>
  <c r="H48" i="194" s="1"/>
  <c r="H49" i="194" s="1"/>
  <c r="H50" i="194" s="1"/>
  <c r="H51" i="194" s="1"/>
  <c r="H52" i="194" s="1"/>
  <c r="H53" i="194" s="1"/>
  <c r="H54" i="194" s="1"/>
  <c r="H55" i="194" s="1"/>
  <c r="H56" i="194" s="1"/>
  <c r="H57" i="194" s="1"/>
  <c r="H58" i="194" s="1"/>
  <c r="H59" i="194" s="1"/>
  <c r="H60" i="194" s="1"/>
  <c r="H61" i="194" s="1"/>
  <c r="H62" i="194" s="1"/>
  <c r="H63" i="194" s="1"/>
  <c r="H64" i="194" s="1"/>
  <c r="H65" i="194" s="1"/>
  <c r="H66" i="194" s="1"/>
  <c r="H67" i="194" s="1"/>
  <c r="H68" i="194" s="1"/>
  <c r="H69" i="194" s="1"/>
  <c r="H70" i="194" s="1"/>
  <c r="H71" i="194" s="1"/>
  <c r="A45" i="194"/>
  <c r="A46" i="194" s="1"/>
  <c r="A47" i="194" s="1"/>
  <c r="A48" i="194" s="1"/>
  <c r="A49" i="194" s="1"/>
  <c r="A50" i="194" s="1"/>
  <c r="A51" i="194" s="1"/>
  <c r="A52" i="194" s="1"/>
  <c r="A53" i="194" s="1"/>
  <c r="A54" i="194" s="1"/>
  <c r="A55" i="194" s="1"/>
  <c r="A56" i="194" s="1"/>
  <c r="A57" i="194" s="1"/>
  <c r="A58" i="194" s="1"/>
  <c r="A59" i="194" s="1"/>
  <c r="A60" i="194" s="1"/>
  <c r="A61" i="194" s="1"/>
  <c r="A62" i="194" s="1"/>
  <c r="A63" i="194" s="1"/>
  <c r="A64" i="194" s="1"/>
  <c r="A65" i="194" s="1"/>
  <c r="A66" i="194" s="1"/>
  <c r="A67" i="194" s="1"/>
  <c r="A68" i="194" s="1"/>
  <c r="A69" i="194" s="1"/>
  <c r="A70" i="194" s="1"/>
  <c r="A71" i="194" s="1"/>
  <c r="E52" i="195"/>
  <c r="E59" i="173" l="1"/>
  <c r="E23" i="205"/>
  <c r="E25" i="205" s="1"/>
  <c r="E29" i="205" s="1"/>
  <c r="E77" i="173" l="1"/>
  <c r="C31" i="209"/>
  <c r="C32" i="209" s="1"/>
  <c r="G30" i="176" l="1"/>
  <c r="F30" i="176"/>
  <c r="E30" i="176"/>
  <c r="H30" i="176" s="1"/>
  <c r="G29" i="176"/>
  <c r="F29" i="176"/>
  <c r="E29" i="176"/>
  <c r="G28" i="176"/>
  <c r="F28" i="176"/>
  <c r="E28" i="176"/>
  <c r="H28" i="176" s="1"/>
  <c r="G27" i="176"/>
  <c r="F27" i="176"/>
  <c r="E27" i="176"/>
  <c r="G26" i="176"/>
  <c r="F26" i="176"/>
  <c r="E26" i="176"/>
  <c r="G25" i="176"/>
  <c r="F25" i="176"/>
  <c r="E25" i="176"/>
  <c r="H24" i="176"/>
  <c r="H23" i="176"/>
  <c r="I23" i="176" s="1"/>
  <c r="H22" i="176"/>
  <c r="I22" i="176" s="1"/>
  <c r="H21" i="176"/>
  <c r="I21" i="176" s="1"/>
  <c r="H20" i="176"/>
  <c r="I20" i="176" s="1"/>
  <c r="H19" i="176"/>
  <c r="I19" i="176" s="1"/>
  <c r="C19" i="176"/>
  <c r="C29" i="176" s="1"/>
  <c r="N12" i="176"/>
  <c r="M12" i="176"/>
  <c r="K12" i="176"/>
  <c r="I12" i="176"/>
  <c r="H12" i="176"/>
  <c r="P11" i="176"/>
  <c r="P12" i="176" s="1"/>
  <c r="P13" i="176" s="1"/>
  <c r="P14" i="176" s="1"/>
  <c r="P15" i="176" s="1"/>
  <c r="P16" i="176" s="1"/>
  <c r="P17" i="176" s="1"/>
  <c r="P18" i="176" s="1"/>
  <c r="P19" i="176" s="1"/>
  <c r="P20" i="176" s="1"/>
  <c r="P21" i="176" s="1"/>
  <c r="P22" i="176" s="1"/>
  <c r="P23" i="176" s="1"/>
  <c r="P24" i="176" s="1"/>
  <c r="P25" i="176" s="1"/>
  <c r="P26" i="176" s="1"/>
  <c r="P27" i="176" s="1"/>
  <c r="P28" i="176" s="1"/>
  <c r="P29" i="176" s="1"/>
  <c r="P30" i="176" s="1"/>
  <c r="P31" i="176" s="1"/>
  <c r="A11" i="176"/>
  <c r="A12" i="176" s="1"/>
  <c r="A13" i="176" s="1"/>
  <c r="A14" i="176" s="1"/>
  <c r="A15" i="176" s="1"/>
  <c r="A16" i="176" s="1"/>
  <c r="A17" i="176" s="1"/>
  <c r="A18" i="176" s="1"/>
  <c r="A19" i="176" s="1"/>
  <c r="A20" i="176" s="1"/>
  <c r="A21" i="176" s="1"/>
  <c r="A22" i="176" s="1"/>
  <c r="A23" i="176" s="1"/>
  <c r="A24" i="176" s="1"/>
  <c r="A25" i="176" s="1"/>
  <c r="A26" i="176" s="1"/>
  <c r="A27" i="176" s="1"/>
  <c r="A28" i="176" s="1"/>
  <c r="A29" i="176" s="1"/>
  <c r="A30" i="176" s="1"/>
  <c r="A31" i="176" s="1"/>
  <c r="F12" i="176" s="1"/>
  <c r="G31" i="175"/>
  <c r="F31" i="175"/>
  <c r="H31" i="175" s="1"/>
  <c r="E31" i="175"/>
  <c r="G30" i="175"/>
  <c r="H30" i="175" s="1"/>
  <c r="F30" i="175"/>
  <c r="E30" i="175"/>
  <c r="G29" i="175"/>
  <c r="F29" i="175"/>
  <c r="E29" i="175"/>
  <c r="G28" i="175"/>
  <c r="F28" i="175"/>
  <c r="E28" i="175"/>
  <c r="G27" i="175"/>
  <c r="F27" i="175"/>
  <c r="E27" i="175"/>
  <c r="G26" i="175"/>
  <c r="H26" i="175" s="1"/>
  <c r="F26" i="175"/>
  <c r="E26" i="175"/>
  <c r="E32" i="175" s="1"/>
  <c r="H25" i="175"/>
  <c r="D31" i="175"/>
  <c r="I31" i="175" s="1"/>
  <c r="H24" i="175"/>
  <c r="I24" i="175" s="1"/>
  <c r="H23" i="175"/>
  <c r="I23" i="175" s="1"/>
  <c r="H22" i="175"/>
  <c r="I22" i="175" s="1"/>
  <c r="H21" i="175"/>
  <c r="I21" i="175" s="1"/>
  <c r="H20" i="175"/>
  <c r="C20" i="175"/>
  <c r="C31" i="175" s="1"/>
  <c r="M13" i="175"/>
  <c r="L13" i="175"/>
  <c r="K13" i="175"/>
  <c r="I13" i="175"/>
  <c r="H13" i="175"/>
  <c r="N12" i="175"/>
  <c r="N13" i="175" s="1"/>
  <c r="N14" i="175" s="1"/>
  <c r="N15" i="175" s="1"/>
  <c r="N16" i="175" s="1"/>
  <c r="N17" i="175" s="1"/>
  <c r="N18" i="175" s="1"/>
  <c r="N19" i="175" s="1"/>
  <c r="N20" i="175" s="1"/>
  <c r="N21" i="175" s="1"/>
  <c r="N22" i="175" s="1"/>
  <c r="N23" i="175" s="1"/>
  <c r="N24" i="175" s="1"/>
  <c r="N25" i="175" s="1"/>
  <c r="N26" i="175" s="1"/>
  <c r="N27" i="175" s="1"/>
  <c r="N28" i="175" s="1"/>
  <c r="N29" i="175" s="1"/>
  <c r="N30" i="175" s="1"/>
  <c r="N31" i="175" s="1"/>
  <c r="N32" i="175" s="1"/>
  <c r="A12" i="175"/>
  <c r="A13" i="175" s="1"/>
  <c r="A14" i="175" s="1"/>
  <c r="A15" i="175" s="1"/>
  <c r="A16" i="175" s="1"/>
  <c r="A17" i="175" s="1"/>
  <c r="A18" i="175" s="1"/>
  <c r="A19" i="175" s="1"/>
  <c r="A20" i="175" s="1"/>
  <c r="A21" i="175" s="1"/>
  <c r="A22" i="175" s="1"/>
  <c r="A23" i="175" s="1"/>
  <c r="A24" i="175" s="1"/>
  <c r="A25" i="175" s="1"/>
  <c r="A26" i="175" s="1"/>
  <c r="A27" i="175" s="1"/>
  <c r="A28" i="175" s="1"/>
  <c r="A29" i="175" s="1"/>
  <c r="A30" i="175" s="1"/>
  <c r="A31" i="175" s="1"/>
  <c r="A32" i="175" s="1"/>
  <c r="F13" i="175" s="1"/>
  <c r="E90" i="174"/>
  <c r="E92" i="174"/>
  <c r="E77" i="174"/>
  <c r="E81" i="174" s="1"/>
  <c r="E83" i="174" s="1"/>
  <c r="E21" i="174" s="1"/>
  <c r="E65" i="174"/>
  <c r="E17" i="174" s="1"/>
  <c r="E60" i="174"/>
  <c r="E15" i="174" s="1"/>
  <c r="E55" i="174"/>
  <c r="E13" i="174" s="1"/>
  <c r="A51" i="174"/>
  <c r="A52" i="174" s="1"/>
  <c r="A53" i="174" s="1"/>
  <c r="A54" i="174" s="1"/>
  <c r="A55" i="174" s="1"/>
  <c r="H50" i="174"/>
  <c r="H51" i="174" s="1"/>
  <c r="H52" i="174" s="1"/>
  <c r="H53" i="174" s="1"/>
  <c r="H54" i="174" s="1"/>
  <c r="H55" i="174" s="1"/>
  <c r="H56" i="174" s="1"/>
  <c r="H57" i="174" s="1"/>
  <c r="H58" i="174" s="1"/>
  <c r="H59" i="174" s="1"/>
  <c r="H60" i="174" s="1"/>
  <c r="H61" i="174" s="1"/>
  <c r="H62" i="174" s="1"/>
  <c r="H63" i="174" s="1"/>
  <c r="H64" i="174" s="1"/>
  <c r="H65" i="174" s="1"/>
  <c r="H66" i="174" s="1"/>
  <c r="H67" i="174" s="1"/>
  <c r="H68" i="174" s="1"/>
  <c r="H69" i="174" s="1"/>
  <c r="H70" i="174" s="1"/>
  <c r="H71" i="174" s="1"/>
  <c r="H72" i="174" s="1"/>
  <c r="H73" i="174" s="1"/>
  <c r="H74" i="174" s="1"/>
  <c r="H75" i="174" s="1"/>
  <c r="H76" i="174" s="1"/>
  <c r="H77" i="174" s="1"/>
  <c r="H78" i="174" s="1"/>
  <c r="H79" i="174" s="1"/>
  <c r="H80" i="174" s="1"/>
  <c r="H81" i="174" s="1"/>
  <c r="H82" i="174" s="1"/>
  <c r="H83" i="174" s="1"/>
  <c r="H84" i="174" s="1"/>
  <c r="H85" i="174" s="1"/>
  <c r="H86" i="174" s="1"/>
  <c r="H87" i="174" s="1"/>
  <c r="H88" i="174" s="1"/>
  <c r="H89" i="174" s="1"/>
  <c r="H90" i="174" s="1"/>
  <c r="H91" i="174" s="1"/>
  <c r="H92" i="174" s="1"/>
  <c r="H93" i="174" s="1"/>
  <c r="H94" i="174" s="1"/>
  <c r="H95" i="174" s="1"/>
  <c r="H96" i="174" s="1"/>
  <c r="H97" i="174" s="1"/>
  <c r="H98" i="174" s="1"/>
  <c r="H99" i="174" s="1"/>
  <c r="H100" i="174" s="1"/>
  <c r="E70" i="174"/>
  <c r="E19" i="174" s="1"/>
  <c r="B45" i="174"/>
  <c r="B44" i="174"/>
  <c r="B43" i="174"/>
  <c r="B42" i="174"/>
  <c r="B41" i="174"/>
  <c r="A13" i="174"/>
  <c r="A14" i="174" s="1"/>
  <c r="A15" i="174" s="1"/>
  <c r="A16" i="174" s="1"/>
  <c r="A17" i="174" s="1"/>
  <c r="A18" i="174" s="1"/>
  <c r="A19" i="174" s="1"/>
  <c r="A20" i="174" s="1"/>
  <c r="A21" i="174" s="1"/>
  <c r="A22" i="174" s="1"/>
  <c r="A23" i="174" s="1"/>
  <c r="H12" i="174"/>
  <c r="H13" i="174" s="1"/>
  <c r="H14" i="174" s="1"/>
  <c r="H15" i="174" s="1"/>
  <c r="H16" i="174" s="1"/>
  <c r="H17" i="174" s="1"/>
  <c r="H18" i="174" s="1"/>
  <c r="H19" i="174" s="1"/>
  <c r="H20" i="174" s="1"/>
  <c r="H21" i="174" s="1"/>
  <c r="H22" i="174" s="1"/>
  <c r="H23" i="174" s="1"/>
  <c r="H24" i="174" s="1"/>
  <c r="H25" i="174" s="1"/>
  <c r="H26" i="174" s="1"/>
  <c r="H27" i="174" s="1"/>
  <c r="H28" i="174" s="1"/>
  <c r="H29" i="174" s="1"/>
  <c r="H30" i="174" s="1"/>
  <c r="H31" i="174" s="1"/>
  <c r="H32" i="174" s="1"/>
  <c r="H33" i="174" s="1"/>
  <c r="H34" i="174" s="1"/>
  <c r="H35" i="174" s="1"/>
  <c r="H36" i="174" s="1"/>
  <c r="A52" i="173"/>
  <c r="A53" i="173" s="1"/>
  <c r="A54" i="173" s="1"/>
  <c r="A55" i="173" s="1"/>
  <c r="A56" i="173" s="1"/>
  <c r="A57" i="173" s="1"/>
  <c r="A58" i="173" s="1"/>
  <c r="A59" i="173" s="1"/>
  <c r="A60" i="173" s="1"/>
  <c r="A61" i="173" s="1"/>
  <c r="A62" i="173" s="1"/>
  <c r="A63" i="173" s="1"/>
  <c r="A64" i="173" s="1"/>
  <c r="A65" i="173" s="1"/>
  <c r="A66" i="173" s="1"/>
  <c r="A67" i="173" s="1"/>
  <c r="A68" i="173" s="1"/>
  <c r="A69" i="173" s="1"/>
  <c r="A70" i="173" s="1"/>
  <c r="A71" i="173" s="1"/>
  <c r="A72" i="173" s="1"/>
  <c r="A73" i="173" s="1"/>
  <c r="A74" i="173" s="1"/>
  <c r="A75" i="173" s="1"/>
  <c r="A76" i="173" s="1"/>
  <c r="A77" i="173" s="1"/>
  <c r="A78" i="173" s="1"/>
  <c r="A79" i="173" s="1"/>
  <c r="A80" i="173" s="1"/>
  <c r="A81" i="173" s="1"/>
  <c r="A82" i="173" s="1"/>
  <c r="A83" i="173" s="1"/>
  <c r="A84" i="173" s="1"/>
  <c r="A85" i="173" s="1"/>
  <c r="A86" i="173" s="1"/>
  <c r="A87" i="173" s="1"/>
  <c r="A88" i="173" s="1"/>
  <c r="A89" i="173" s="1"/>
  <c r="A90" i="173" s="1"/>
  <c r="A91" i="173" s="1"/>
  <c r="A92" i="173" s="1"/>
  <c r="A93" i="173" s="1"/>
  <c r="A94" i="173" s="1"/>
  <c r="A95" i="173" s="1"/>
  <c r="A96" i="173" s="1"/>
  <c r="A97" i="173" s="1"/>
  <c r="A98" i="173" s="1"/>
  <c r="A99" i="173" s="1"/>
  <c r="A100" i="173" s="1"/>
  <c r="A101" i="173" s="1"/>
  <c r="H51" i="173"/>
  <c r="H52" i="173" s="1"/>
  <c r="H53" i="173" s="1"/>
  <c r="H54" i="173" s="1"/>
  <c r="H55" i="173" s="1"/>
  <c r="H56" i="173" s="1"/>
  <c r="H57" i="173" s="1"/>
  <c r="H58" i="173" s="1"/>
  <c r="H59" i="173" s="1"/>
  <c r="H60" i="173" s="1"/>
  <c r="H61" i="173" s="1"/>
  <c r="H62" i="173" s="1"/>
  <c r="H63" i="173" s="1"/>
  <c r="H64" i="173" s="1"/>
  <c r="H65" i="173" s="1"/>
  <c r="H66" i="173" s="1"/>
  <c r="H67" i="173" s="1"/>
  <c r="H68" i="173" s="1"/>
  <c r="H69" i="173" s="1"/>
  <c r="H70" i="173" s="1"/>
  <c r="H71" i="173" s="1"/>
  <c r="H72" i="173" s="1"/>
  <c r="H73" i="173" s="1"/>
  <c r="H74" i="173" s="1"/>
  <c r="H75" i="173" s="1"/>
  <c r="H76" i="173" s="1"/>
  <c r="H77" i="173" s="1"/>
  <c r="H78" i="173" s="1"/>
  <c r="H79" i="173" s="1"/>
  <c r="H80" i="173" s="1"/>
  <c r="H81" i="173" s="1"/>
  <c r="H82" i="173" s="1"/>
  <c r="H83" i="173" s="1"/>
  <c r="H84" i="173" s="1"/>
  <c r="H85" i="173" s="1"/>
  <c r="H86" i="173" s="1"/>
  <c r="H87" i="173" s="1"/>
  <c r="H88" i="173" s="1"/>
  <c r="H89" i="173" s="1"/>
  <c r="H90" i="173" s="1"/>
  <c r="H91" i="173" s="1"/>
  <c r="H92" i="173" s="1"/>
  <c r="H93" i="173" s="1"/>
  <c r="H94" i="173" s="1"/>
  <c r="H95" i="173" s="1"/>
  <c r="H96" i="173" s="1"/>
  <c r="H97" i="173" s="1"/>
  <c r="H98" i="173" s="1"/>
  <c r="H99" i="173" s="1"/>
  <c r="H100" i="173" s="1"/>
  <c r="H101" i="173" s="1"/>
  <c r="B46" i="173"/>
  <c r="B45" i="173"/>
  <c r="B44" i="173"/>
  <c r="A12" i="173"/>
  <c r="A13" i="173" s="1"/>
  <c r="A14" i="173" s="1"/>
  <c r="A15" i="173" s="1"/>
  <c r="A16" i="173" s="1"/>
  <c r="A17" i="173" s="1"/>
  <c r="A18" i="173" s="1"/>
  <c r="A19" i="173" s="1"/>
  <c r="A20" i="173" s="1"/>
  <c r="A21" i="173" s="1"/>
  <c r="A22" i="173" s="1"/>
  <c r="A23" i="173" s="1"/>
  <c r="A24" i="173" s="1"/>
  <c r="A25" i="173" s="1"/>
  <c r="A26" i="173" s="1"/>
  <c r="A27" i="173" s="1"/>
  <c r="A28" i="173" s="1"/>
  <c r="A29" i="173" s="1"/>
  <c r="A30" i="173" s="1"/>
  <c r="A31" i="173" s="1"/>
  <c r="A32" i="173" s="1"/>
  <c r="A33" i="173" s="1"/>
  <c r="A34" i="173" s="1"/>
  <c r="A35" i="173" s="1"/>
  <c r="H11" i="173"/>
  <c r="H12" i="173" s="1"/>
  <c r="H13" i="173" s="1"/>
  <c r="H14" i="173" s="1"/>
  <c r="H15" i="173" s="1"/>
  <c r="H16" i="173" s="1"/>
  <c r="H17" i="173" s="1"/>
  <c r="H18" i="173" s="1"/>
  <c r="H19" i="173" s="1"/>
  <c r="H20" i="173" s="1"/>
  <c r="H21" i="173" s="1"/>
  <c r="H22" i="173" s="1"/>
  <c r="H23" i="173" s="1"/>
  <c r="H24" i="173" s="1"/>
  <c r="H25" i="173" s="1"/>
  <c r="H26" i="173" s="1"/>
  <c r="H27" i="173" s="1"/>
  <c r="H28" i="173" s="1"/>
  <c r="H29" i="173" s="1"/>
  <c r="H30" i="173" s="1"/>
  <c r="H31" i="173" s="1"/>
  <c r="H32" i="173" s="1"/>
  <c r="H33" i="173" s="1"/>
  <c r="H34" i="173" s="1"/>
  <c r="H35" i="173" s="1"/>
  <c r="B3" i="173"/>
  <c r="B43" i="173" s="1"/>
  <c r="B2" i="173"/>
  <c r="B42" i="173" s="1"/>
  <c r="H29" i="176" l="1"/>
  <c r="C30" i="176"/>
  <c r="C28" i="176"/>
  <c r="E31" i="176"/>
  <c r="G31" i="176"/>
  <c r="C26" i="176"/>
  <c r="H27" i="176"/>
  <c r="F31" i="176"/>
  <c r="K19" i="176"/>
  <c r="M19" i="176"/>
  <c r="H25" i="176"/>
  <c r="C20" i="176"/>
  <c r="C21" i="176"/>
  <c r="C22" i="176"/>
  <c r="C23" i="176"/>
  <c r="C24" i="176"/>
  <c r="C25" i="176"/>
  <c r="C27" i="176"/>
  <c r="H26" i="176"/>
  <c r="H27" i="175"/>
  <c r="H32" i="175" s="1"/>
  <c r="H28" i="175"/>
  <c r="F32" i="175"/>
  <c r="H29" i="175"/>
  <c r="C22" i="175"/>
  <c r="C26" i="175"/>
  <c r="C30" i="175"/>
  <c r="D26" i="175"/>
  <c r="I26" i="175" s="1"/>
  <c r="D28" i="175"/>
  <c r="I28" i="175" s="1"/>
  <c r="I25" i="175"/>
  <c r="C23" i="175"/>
  <c r="C25" i="175"/>
  <c r="C28" i="175"/>
  <c r="I20" i="175"/>
  <c r="D30" i="175"/>
  <c r="I30" i="175" s="1"/>
  <c r="G32" i="175"/>
  <c r="C21" i="175"/>
  <c r="C24" i="175"/>
  <c r="C27" i="175"/>
  <c r="C29" i="175"/>
  <c r="D27" i="175"/>
  <c r="D29" i="175"/>
  <c r="I29" i="175" s="1"/>
  <c r="E94" i="174"/>
  <c r="E98" i="174" s="1"/>
  <c r="E100" i="174" s="1"/>
  <c r="E23" i="174" s="1"/>
  <c r="E25" i="174" s="1"/>
  <c r="A24" i="174"/>
  <c r="A25" i="174" s="1"/>
  <c r="A56" i="174"/>
  <c r="A57" i="174" s="1"/>
  <c r="A58" i="174" s="1"/>
  <c r="A59" i="174" s="1"/>
  <c r="A60" i="174" s="1"/>
  <c r="N19" i="176" l="1"/>
  <c r="H31" i="176"/>
  <c r="I27" i="175"/>
  <c r="I32" i="175" s="1"/>
  <c r="D32" i="175"/>
  <c r="L20" i="175"/>
  <c r="K20" i="175"/>
  <c r="E27" i="174"/>
  <c r="E29" i="174" s="1"/>
  <c r="E34" i="174" s="1"/>
  <c r="E36" i="174" s="1"/>
  <c r="A61" i="174"/>
  <c r="A62" i="174" s="1"/>
  <c r="A63" i="174" s="1"/>
  <c r="A64" i="174" s="1"/>
  <c r="A65" i="174" s="1"/>
  <c r="A26" i="174"/>
  <c r="A27" i="174" s="1"/>
  <c r="A28" i="174" s="1"/>
  <c r="A29" i="174" s="1"/>
  <c r="K20" i="176" l="1"/>
  <c r="M20" i="176"/>
  <c r="M20" i="175"/>
  <c r="A66" i="174"/>
  <c r="A67" i="174" s="1"/>
  <c r="A68" i="174" s="1"/>
  <c r="A69" i="174" s="1"/>
  <c r="A70" i="174" s="1"/>
  <c r="A30" i="174"/>
  <c r="A31" i="174" s="1"/>
  <c r="A32" i="174" s="1"/>
  <c r="N20" i="176" l="1"/>
  <c r="K21" i="175"/>
  <c r="A33" i="174"/>
  <c r="A34" i="174" s="1"/>
  <c r="A35" i="174" s="1"/>
  <c r="A36" i="174" s="1"/>
  <c r="A71" i="174"/>
  <c r="A72" i="174" s="1"/>
  <c r="A73" i="174" s="1"/>
  <c r="A74" i="174" s="1"/>
  <c r="A75" i="174" s="1"/>
  <c r="A76" i="174" s="1"/>
  <c r="A77" i="174" s="1"/>
  <c r="A78" i="174" s="1"/>
  <c r="A79" i="174" s="1"/>
  <c r="A80" i="174" s="1"/>
  <c r="A81" i="174" s="1"/>
  <c r="A82" i="174" s="1"/>
  <c r="A83" i="174" s="1"/>
  <c r="K21" i="176" l="1"/>
  <c r="M21" i="176" s="1"/>
  <c r="L21" i="175"/>
  <c r="A84" i="174"/>
  <c r="A85" i="174" s="1"/>
  <c r="A86" i="174" s="1"/>
  <c r="A87" i="174" s="1"/>
  <c r="A88" i="174" s="1"/>
  <c r="A89" i="174" s="1"/>
  <c r="A90" i="174" s="1"/>
  <c r="A91" i="174" s="1"/>
  <c r="A92" i="174" s="1"/>
  <c r="A93" i="174" s="1"/>
  <c r="A94" i="174" s="1"/>
  <c r="A95" i="174" s="1"/>
  <c r="A96" i="174" s="1"/>
  <c r="A97" i="174" s="1"/>
  <c r="A98" i="174" s="1"/>
  <c r="A99" i="174" s="1"/>
  <c r="A100" i="174" s="1"/>
  <c r="N21" i="176" l="1"/>
  <c r="M21" i="175"/>
  <c r="K22" i="176" l="1"/>
  <c r="M22" i="176"/>
  <c r="K22" i="175"/>
  <c r="N22" i="176" l="1"/>
  <c r="L22" i="175"/>
  <c r="K23" i="176" l="1"/>
  <c r="M23" i="176"/>
  <c r="M22" i="175"/>
  <c r="N23" i="176" l="1"/>
  <c r="K23" i="175"/>
  <c r="L23" i="175" s="1"/>
  <c r="M23" i="175" l="1"/>
  <c r="K24" i="175" l="1"/>
  <c r="L24" i="175" l="1"/>
  <c r="M24" i="175" s="1"/>
  <c r="K25" i="175" l="1"/>
  <c r="L25" i="175" l="1"/>
  <c r="M25" i="175" s="1"/>
  <c r="K26" i="175" l="1"/>
  <c r="L26" i="175" l="1"/>
  <c r="M26" i="175" s="1"/>
  <c r="K27" i="175" l="1"/>
  <c r="L27" i="175" l="1"/>
  <c r="M27" i="175" s="1"/>
  <c r="K28" i="175" l="1"/>
  <c r="L28" i="175" s="1"/>
  <c r="M28" i="175" l="1"/>
  <c r="K29" i="175" l="1"/>
  <c r="L29" i="175" l="1"/>
  <c r="M29" i="175" s="1"/>
  <c r="K30" i="175" l="1"/>
  <c r="L30" i="175"/>
  <c r="M30" i="175" l="1"/>
  <c r="K31" i="175" l="1"/>
  <c r="L31" i="175" l="1"/>
  <c r="L32" i="175" s="1"/>
  <c r="M31" i="175" l="1"/>
  <c r="B52" i="172" l="1"/>
  <c r="C46" i="172"/>
  <c r="C47" i="170" s="1"/>
  <c r="B46" i="172"/>
  <c r="C44" i="172"/>
  <c r="C45" i="170" s="1"/>
  <c r="B44" i="172"/>
  <c r="B42" i="172"/>
  <c r="B38" i="172"/>
  <c r="B36" i="172"/>
  <c r="E34" i="172"/>
  <c r="C34" i="172"/>
  <c r="C35" i="170" s="1"/>
  <c r="B34" i="172"/>
  <c r="E32" i="172"/>
  <c r="C32" i="172"/>
  <c r="A12" i="172"/>
  <c r="A13" i="172" s="1"/>
  <c r="F11" i="172"/>
  <c r="F12" i="172" s="1"/>
  <c r="F13" i="172" s="1"/>
  <c r="F14" i="172" s="1"/>
  <c r="F15" i="172" s="1"/>
  <c r="F16" i="172" s="1"/>
  <c r="F17" i="172" s="1"/>
  <c r="F18" i="172" s="1"/>
  <c r="F19" i="172" s="1"/>
  <c r="F20" i="172" s="1"/>
  <c r="F21" i="172" s="1"/>
  <c r="F22" i="172" s="1"/>
  <c r="F23" i="172" s="1"/>
  <c r="F24" i="172" s="1"/>
  <c r="F25" i="172" s="1"/>
  <c r="F26" i="172" s="1"/>
  <c r="F27" i="172" s="1"/>
  <c r="F28" i="172" s="1"/>
  <c r="F33" i="172" s="1"/>
  <c r="F34" i="172" s="1"/>
  <c r="F35" i="172" s="1"/>
  <c r="F36" i="172" s="1"/>
  <c r="F37" i="172" s="1"/>
  <c r="F38" i="172" s="1"/>
  <c r="F39" i="172" s="1"/>
  <c r="F40" i="172" s="1"/>
  <c r="F41" i="172" s="1"/>
  <c r="F42" i="172" s="1"/>
  <c r="F43" i="172" s="1"/>
  <c r="F44" i="172" s="1"/>
  <c r="F45" i="172" s="1"/>
  <c r="F46" i="172" s="1"/>
  <c r="F47" i="172" s="1"/>
  <c r="F48" i="172" s="1"/>
  <c r="F49" i="172" s="1"/>
  <c r="F50" i="172" s="1"/>
  <c r="F51" i="172" s="1"/>
  <c r="F52" i="172" s="1"/>
  <c r="F53" i="172" s="1"/>
  <c r="B53" i="169"/>
  <c r="C47" i="169"/>
  <c r="B47" i="169"/>
  <c r="C45" i="169"/>
  <c r="B45" i="169"/>
  <c r="B43" i="169"/>
  <c r="C39" i="169"/>
  <c r="B39" i="169"/>
  <c r="B37" i="169"/>
  <c r="E35" i="169"/>
  <c r="C35" i="169"/>
  <c r="B35" i="169"/>
  <c r="E33" i="169"/>
  <c r="C33" i="169"/>
  <c r="C43" i="169"/>
  <c r="C18" i="169"/>
  <c r="C24" i="169" s="1"/>
  <c r="C28" i="169" s="1"/>
  <c r="A13" i="169"/>
  <c r="A14" i="169" s="1"/>
  <c r="F12" i="169"/>
  <c r="F13" i="169" s="1"/>
  <c r="F14" i="169" s="1"/>
  <c r="F15" i="169" s="1"/>
  <c r="F16" i="169" s="1"/>
  <c r="F17" i="169" s="1"/>
  <c r="F18" i="169" s="1"/>
  <c r="F19" i="169" s="1"/>
  <c r="F20" i="169" s="1"/>
  <c r="F21" i="169" s="1"/>
  <c r="F22" i="169" s="1"/>
  <c r="F23" i="169" s="1"/>
  <c r="F24" i="169" s="1"/>
  <c r="F25" i="169" s="1"/>
  <c r="F26" i="169" s="1"/>
  <c r="F27" i="169" s="1"/>
  <c r="F28" i="169" s="1"/>
  <c r="F29" i="169" s="1"/>
  <c r="F34" i="169" s="1"/>
  <c r="F35" i="169" s="1"/>
  <c r="F36" i="169" s="1"/>
  <c r="F37" i="169" s="1"/>
  <c r="F38" i="169" s="1"/>
  <c r="F39" i="169" s="1"/>
  <c r="F40" i="169" s="1"/>
  <c r="F41" i="169" s="1"/>
  <c r="F42" i="169" s="1"/>
  <c r="F43" i="169" s="1"/>
  <c r="F44" i="169" s="1"/>
  <c r="F45" i="169" s="1"/>
  <c r="F46" i="169" s="1"/>
  <c r="F47" i="169" s="1"/>
  <c r="F48" i="169" s="1"/>
  <c r="F49" i="169" s="1"/>
  <c r="F50" i="169" s="1"/>
  <c r="F51" i="169" s="1"/>
  <c r="F52" i="169" s="1"/>
  <c r="F53" i="169" s="1"/>
  <c r="F54" i="169" s="1"/>
  <c r="E36" i="172" l="1"/>
  <c r="A14" i="172"/>
  <c r="A15" i="172" s="1"/>
  <c r="E37" i="169"/>
  <c r="A15" i="169"/>
  <c r="A16" i="169" s="1"/>
  <c r="C37" i="169"/>
  <c r="C41" i="169" s="1"/>
  <c r="C49" i="169" s="1"/>
  <c r="C53" i="169" s="1"/>
  <c r="A16" i="172" l="1"/>
  <c r="A17" i="172" s="1"/>
  <c r="A18" i="172" s="1"/>
  <c r="A19" i="172" s="1"/>
  <c r="E38" i="172"/>
  <c r="A17" i="169"/>
  <c r="A18" i="169" s="1"/>
  <c r="A19" i="169" s="1"/>
  <c r="A20" i="169" s="1"/>
  <c r="E39" i="169"/>
  <c r="A20" i="172" l="1"/>
  <c r="A21" i="172" s="1"/>
  <c r="E42" i="172"/>
  <c r="A21" i="169"/>
  <c r="A22" i="169" s="1"/>
  <c r="E43" i="169"/>
  <c r="E44" i="172" l="1"/>
  <c r="A22" i="172"/>
  <c r="A23" i="172" s="1"/>
  <c r="A24" i="172" s="1"/>
  <c r="A25" i="172" s="1"/>
  <c r="E45" i="169"/>
  <c r="A23" i="169"/>
  <c r="A24" i="169" s="1"/>
  <c r="A25" i="169" s="1"/>
  <c r="A26" i="169" s="1"/>
  <c r="E46" i="172" l="1"/>
  <c r="A26" i="172"/>
  <c r="A27" i="172" s="1"/>
  <c r="A28" i="172" s="1"/>
  <c r="A33" i="172" s="1"/>
  <c r="A34" i="172" s="1"/>
  <c r="E47" i="169"/>
  <c r="A27" i="169"/>
  <c r="A28" i="169" s="1"/>
  <c r="A29" i="169" s="1"/>
  <c r="A34" i="169" s="1"/>
  <c r="A35" i="169" s="1"/>
  <c r="A35" i="172" l="1"/>
  <c r="A36" i="172" s="1"/>
  <c r="A37" i="172" s="1"/>
  <c r="A38" i="172" s="1"/>
  <c r="A39" i="172" s="1"/>
  <c r="A40" i="172" s="1"/>
  <c r="A36" i="169"/>
  <c r="A37" i="169" s="1"/>
  <c r="A38" i="169" s="1"/>
  <c r="A39" i="169" s="1"/>
  <c r="A40" i="169" s="1"/>
  <c r="A41" i="169" s="1"/>
  <c r="E41" i="169"/>
  <c r="A41" i="172" l="1"/>
  <c r="A42" i="172" s="1"/>
  <c r="A43" i="172" s="1"/>
  <c r="A44" i="172" s="1"/>
  <c r="A45" i="172" s="1"/>
  <c r="A46" i="172" s="1"/>
  <c r="A47" i="172" s="1"/>
  <c r="A48" i="172" s="1"/>
  <c r="E40" i="172"/>
  <c r="A42" i="169"/>
  <c r="A43" i="169" s="1"/>
  <c r="A44" i="169" s="1"/>
  <c r="A45" i="169" s="1"/>
  <c r="A46" i="169" s="1"/>
  <c r="A47" i="169" s="1"/>
  <c r="A48" i="169" s="1"/>
  <c r="A49" i="169" s="1"/>
  <c r="A49" i="172" l="1"/>
  <c r="A50" i="172" s="1"/>
  <c r="A51" i="172" s="1"/>
  <c r="A52" i="172" s="1"/>
  <c r="A53" i="172" s="1"/>
  <c r="E48" i="172"/>
  <c r="A50" i="169"/>
  <c r="A51" i="169" s="1"/>
  <c r="A52" i="169" s="1"/>
  <c r="A53" i="169" s="1"/>
  <c r="A54" i="169" s="1"/>
  <c r="E49" i="169"/>
  <c r="E52" i="172" l="1"/>
  <c r="E53" i="169"/>
  <c r="B53" i="170" l="1"/>
  <c r="G51" i="170"/>
  <c r="G47" i="170"/>
  <c r="B47" i="170"/>
  <c r="G45" i="170"/>
  <c r="B45" i="170"/>
  <c r="B43" i="170"/>
  <c r="E41" i="170"/>
  <c r="E49" i="170" s="1"/>
  <c r="E53" i="170" s="1"/>
  <c r="B39" i="170"/>
  <c r="B37" i="170"/>
  <c r="G35" i="170"/>
  <c r="B35" i="170"/>
  <c r="H33" i="170"/>
  <c r="G33" i="170"/>
  <c r="E33" i="170"/>
  <c r="C33" i="170"/>
  <c r="G32" i="170"/>
  <c r="E32" i="170"/>
  <c r="C32" i="170"/>
  <c r="G22" i="170"/>
  <c r="A13" i="170"/>
  <c r="A14" i="170" s="1"/>
  <c r="I12" i="170"/>
  <c r="I13" i="170" s="1"/>
  <c r="I14" i="170" s="1"/>
  <c r="I15" i="170" s="1"/>
  <c r="I16" i="170" s="1"/>
  <c r="I17" i="170" s="1"/>
  <c r="I18" i="170" s="1"/>
  <c r="I19" i="170" s="1"/>
  <c r="I20" i="170" s="1"/>
  <c r="I21" i="170" s="1"/>
  <c r="I22" i="170" s="1"/>
  <c r="I23" i="170" s="1"/>
  <c r="I24" i="170" s="1"/>
  <c r="I25" i="170" s="1"/>
  <c r="I26" i="170" s="1"/>
  <c r="I27" i="170" s="1"/>
  <c r="I28" i="170" s="1"/>
  <c r="I29" i="170" s="1"/>
  <c r="I34" i="170" s="1"/>
  <c r="I35" i="170" s="1"/>
  <c r="I36" i="170" s="1"/>
  <c r="I37" i="170" s="1"/>
  <c r="I38" i="170" s="1"/>
  <c r="I39" i="170" s="1"/>
  <c r="I40" i="170" s="1"/>
  <c r="I41" i="170" s="1"/>
  <c r="I42" i="170" s="1"/>
  <c r="I43" i="170" s="1"/>
  <c r="I44" i="170" s="1"/>
  <c r="I45" i="170" s="1"/>
  <c r="I46" i="170" s="1"/>
  <c r="I47" i="170" s="1"/>
  <c r="I48" i="170" s="1"/>
  <c r="I49" i="170" s="1"/>
  <c r="I50" i="170" s="1"/>
  <c r="I51" i="170" s="1"/>
  <c r="I52" i="170" s="1"/>
  <c r="I53" i="170" s="1"/>
  <c r="I54" i="170" s="1"/>
  <c r="G12" i="170"/>
  <c r="E18" i="170"/>
  <c r="E24" i="170" s="1"/>
  <c r="E28" i="170" s="1"/>
  <c r="G12" i="171"/>
  <c r="G13" i="171" s="1"/>
  <c r="G14" i="171" s="1"/>
  <c r="G15" i="171" s="1"/>
  <c r="G16" i="171" s="1"/>
  <c r="G17" i="171" s="1"/>
  <c r="G18" i="171" s="1"/>
  <c r="G19" i="171" s="1"/>
  <c r="G20" i="171" s="1"/>
  <c r="G21" i="171" s="1"/>
  <c r="A12" i="171"/>
  <c r="A13" i="171" s="1"/>
  <c r="A14" i="171" s="1"/>
  <c r="A15" i="171" s="1"/>
  <c r="A16" i="171" s="1"/>
  <c r="A17" i="171" s="1"/>
  <c r="A18" i="171" s="1"/>
  <c r="A19" i="171" s="1"/>
  <c r="A20" i="171" s="1"/>
  <c r="A21" i="171" s="1"/>
  <c r="A15" i="170" l="1"/>
  <c r="A16" i="170" s="1"/>
  <c r="A17" i="170" s="1"/>
  <c r="A18" i="170" s="1"/>
  <c r="A19" i="170" l="1"/>
  <c r="A20" i="170" s="1"/>
  <c r="A21" i="170" s="1"/>
  <c r="A22" i="170" s="1"/>
  <c r="A23" i="170" s="1"/>
  <c r="A24" i="170" s="1"/>
  <c r="H24" i="170"/>
  <c r="H18" i="170"/>
  <c r="A25" i="170" l="1"/>
  <c r="A26" i="170" s="1"/>
  <c r="A27" i="170" s="1"/>
  <c r="A28" i="170" s="1"/>
  <c r="A29" i="170" s="1"/>
  <c r="A34" i="170" s="1"/>
  <c r="A35" i="170" s="1"/>
  <c r="A36" i="170" l="1"/>
  <c r="A37" i="170" s="1"/>
  <c r="A38" i="170" s="1"/>
  <c r="A39" i="170" s="1"/>
  <c r="A40" i="170" s="1"/>
  <c r="A41" i="170" s="1"/>
  <c r="H28" i="170"/>
  <c r="H41" i="170" l="1"/>
  <c r="A42" i="170"/>
  <c r="A43" i="170" s="1"/>
  <c r="A44" i="170" s="1"/>
  <c r="A45" i="170" s="1"/>
  <c r="A46" i="170" s="1"/>
  <c r="A47" i="170" s="1"/>
  <c r="A48" i="170" s="1"/>
  <c r="A49" i="170" s="1"/>
  <c r="A50" i="170" s="1"/>
  <c r="A51" i="170" s="1"/>
  <c r="A52" i="170" s="1"/>
  <c r="A53" i="170" s="1"/>
  <c r="A54" i="170" s="1"/>
  <c r="H49" i="170"/>
  <c r="C26" i="209" l="1"/>
  <c r="C36" i="209" s="1"/>
  <c r="G88" i="207" l="1"/>
  <c r="G99" i="207" s="1"/>
  <c r="G91" i="207"/>
  <c r="G100" i="207" s="1"/>
  <c r="G103" i="207" l="1"/>
  <c r="G106" i="207" s="1"/>
  <c r="G110" i="207" s="1"/>
  <c r="C47" i="112"/>
  <c r="E80" i="173" l="1"/>
  <c r="D35" i="112"/>
  <c r="B47" i="112" l="1"/>
  <c r="D33" i="112"/>
  <c r="C33" i="112"/>
  <c r="C45" i="112" l="1"/>
  <c r="B53" i="112" l="1"/>
  <c r="B43" i="112" l="1"/>
  <c r="B39" i="112"/>
  <c r="B37" i="112"/>
  <c r="B35" i="112"/>
  <c r="E12" i="112"/>
  <c r="E13" i="112" s="1"/>
  <c r="A13" i="112"/>
  <c r="A14" i="112" s="1"/>
  <c r="D37" i="112" l="1"/>
  <c r="A15" i="112"/>
  <c r="A16" i="112" s="1"/>
  <c r="A17" i="112" s="1"/>
  <c r="A18" i="112" s="1"/>
  <c r="A19" i="112" l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D18" i="112"/>
  <c r="D39" i="112"/>
  <c r="D45" i="112" l="1"/>
  <c r="D43" i="112"/>
  <c r="D24" i="112"/>
  <c r="D47" i="112" l="1"/>
  <c r="D28" i="112"/>
  <c r="B45" i="112" l="1"/>
  <c r="E14" i="112"/>
  <c r="E15" i="112" s="1"/>
  <c r="E16" i="112" s="1"/>
  <c r="E17" i="112" s="1"/>
  <c r="E18" i="112" s="1"/>
  <c r="E19" i="112" s="1"/>
  <c r="E20" i="112" s="1"/>
  <c r="E21" i="112" s="1"/>
  <c r="E22" i="112" s="1"/>
  <c r="E23" i="112" s="1"/>
  <c r="E24" i="112" s="1"/>
  <c r="E25" i="112" s="1"/>
  <c r="E26" i="112" s="1"/>
  <c r="E27" i="112" s="1"/>
  <c r="E28" i="112" s="1"/>
  <c r="E29" i="112" s="1"/>
  <c r="E34" i="112" l="1"/>
  <c r="E35" i="112" s="1"/>
  <c r="E36" i="112" s="1"/>
  <c r="E37" i="112" s="1"/>
  <c r="E38" i="112" s="1"/>
  <c r="E39" i="112" s="1"/>
  <c r="E40" i="112" s="1"/>
  <c r="E41" i="112" s="1"/>
  <c r="E42" i="112" s="1"/>
  <c r="E43" i="112" s="1"/>
  <c r="E44" i="112" s="1"/>
  <c r="E45" i="112" s="1"/>
  <c r="E46" i="112" s="1"/>
  <c r="E47" i="112" s="1"/>
  <c r="E48" i="112" s="1"/>
  <c r="E49" i="112" s="1"/>
  <c r="E50" i="112" s="1"/>
  <c r="E51" i="112" s="1"/>
  <c r="E52" i="112" s="1"/>
  <c r="E53" i="112" s="1"/>
  <c r="E54" i="112" s="1"/>
  <c r="A34" i="112" l="1"/>
  <c r="A35" i="112" s="1"/>
  <c r="A36" i="112" l="1"/>
  <c r="A37" i="112" s="1"/>
  <c r="A38" i="112" s="1"/>
  <c r="A39" i="112" s="1"/>
  <c r="A40" i="112" s="1"/>
  <c r="A41" i="112" s="1"/>
  <c r="A42" i="112" l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A54" i="112" s="1"/>
  <c r="D41" i="112"/>
  <c r="D49" i="112" l="1"/>
  <c r="D53" i="112" l="1"/>
  <c r="E78" i="173" l="1"/>
  <c r="E91" i="173" l="1"/>
  <c r="E71" i="173" l="1"/>
  <c r="E18" i="173" s="1"/>
  <c r="E56" i="173"/>
  <c r="E12" i="173" s="1"/>
  <c r="E61" i="173"/>
  <c r="E14" i="173" s="1"/>
  <c r="E66" i="173"/>
  <c r="E16" i="173" s="1"/>
  <c r="E93" i="173" l="1"/>
  <c r="E95" i="173" s="1"/>
  <c r="E99" i="173" s="1"/>
  <c r="E101" i="173" s="1"/>
  <c r="E22" i="173" s="1"/>
  <c r="E82" i="173"/>
  <c r="E84" i="173" s="1"/>
  <c r="E20" i="173" s="1"/>
  <c r="C16" i="170" l="1"/>
  <c r="C38" i="172"/>
  <c r="E24" i="173"/>
  <c r="E26" i="173" s="1"/>
  <c r="E28" i="173" s="1"/>
  <c r="E33" i="173" s="1"/>
  <c r="E35" i="173" s="1"/>
  <c r="C13" i="172" s="1"/>
  <c r="C14" i="170" l="1"/>
  <c r="G14" i="170" s="1"/>
  <c r="C36" i="172"/>
  <c r="C37" i="170" s="1"/>
  <c r="G37" i="170" s="1"/>
  <c r="C17" i="172"/>
  <c r="C39" i="170"/>
  <c r="G16" i="170"/>
  <c r="C35" i="112"/>
  <c r="C18" i="170" l="1"/>
  <c r="C40" i="172"/>
  <c r="D24" i="176" s="1"/>
  <c r="G18" i="170"/>
  <c r="C41" i="170"/>
  <c r="G39" i="170"/>
  <c r="G41" i="170" l="1"/>
  <c r="D29" i="176"/>
  <c r="I29" i="176" s="1"/>
  <c r="D28" i="176"/>
  <c r="I28" i="176" s="1"/>
  <c r="D26" i="176"/>
  <c r="I26" i="176" s="1"/>
  <c r="D25" i="176"/>
  <c r="I25" i="176" s="1"/>
  <c r="D30" i="176"/>
  <c r="I30" i="176" s="1"/>
  <c r="D27" i="176"/>
  <c r="I27" i="176" s="1"/>
  <c r="I24" i="176"/>
  <c r="C37" i="112"/>
  <c r="D31" i="176" l="1"/>
  <c r="K24" i="176"/>
  <c r="M24" i="176" s="1"/>
  <c r="N24" i="176" s="1"/>
  <c r="I31" i="176"/>
  <c r="C39" i="112"/>
  <c r="K25" i="176" l="1"/>
  <c r="M25" i="176" s="1"/>
  <c r="N25" i="176" s="1"/>
  <c r="K26" i="176" s="1"/>
  <c r="C18" i="112"/>
  <c r="C41" i="112"/>
  <c r="M26" i="176" l="1"/>
  <c r="N26" i="176" s="1"/>
  <c r="K27" i="176" l="1"/>
  <c r="M27" i="176" s="1"/>
  <c r="N27" i="176" s="1"/>
  <c r="K28" i="176" s="1"/>
  <c r="M28" i="176" l="1"/>
  <c r="N28" i="176" s="1"/>
  <c r="K29" i="176" s="1"/>
  <c r="M29" i="176" l="1"/>
  <c r="N29" i="176" s="1"/>
  <c r="K30" i="176" s="1"/>
  <c r="M30" i="176" l="1"/>
  <c r="M31" i="176" s="1"/>
  <c r="N30" i="176" l="1"/>
  <c r="C19" i="172" s="1"/>
  <c r="C20" i="170" s="1"/>
  <c r="G20" i="170" s="1"/>
  <c r="C23" i="172" l="1"/>
  <c r="C27" i="172" s="1"/>
  <c r="C42" i="172"/>
  <c r="C43" i="170" s="1"/>
  <c r="G24" i="170"/>
  <c r="C24" i="170"/>
  <c r="C28" i="170" s="1"/>
  <c r="G28" i="170" s="1"/>
  <c r="C48" i="172" l="1"/>
  <c r="C52" i="172" s="1"/>
  <c r="D17" i="210"/>
  <c r="D13" i="171"/>
  <c r="G43" i="170"/>
  <c r="G49" i="170" s="1"/>
  <c r="C49" i="170"/>
  <c r="C53" i="170" s="1"/>
  <c r="G53" i="170" s="1"/>
  <c r="D18" i="210" l="1"/>
  <c r="D19" i="210" s="1"/>
  <c r="D20" i="210" s="1"/>
  <c r="D21" i="210" s="1"/>
  <c r="D22" i="210" s="1"/>
  <c r="D23" i="210" s="1"/>
  <c r="D24" i="210" s="1"/>
  <c r="D25" i="210" s="1"/>
  <c r="D26" i="210" s="1"/>
  <c r="D27" i="210" s="1"/>
  <c r="D28" i="210" s="1"/>
  <c r="G17" i="210"/>
  <c r="F17" i="210"/>
  <c r="H17" i="210" l="1"/>
  <c r="F18" i="210" s="1"/>
  <c r="G18" i="210" s="1"/>
  <c r="D77" i="210"/>
  <c r="H18" i="210" l="1"/>
  <c r="F19" i="210" l="1"/>
  <c r="G19" i="210" s="1"/>
  <c r="H19" i="210" l="1"/>
  <c r="F20" i="210" l="1"/>
  <c r="G20" i="210" s="1"/>
  <c r="H20" i="210" s="1"/>
  <c r="F21" i="210" l="1"/>
  <c r="G21" i="210" s="1"/>
  <c r="H21" i="210" s="1"/>
  <c r="F22" i="210" l="1"/>
  <c r="G22" i="210" s="1"/>
  <c r="H22" i="210" s="1"/>
  <c r="F23" i="210" l="1"/>
  <c r="G23" i="210" s="1"/>
  <c r="H23" i="210" s="1"/>
  <c r="F24" i="210" l="1"/>
  <c r="G24" i="210" s="1"/>
  <c r="H24" i="210" s="1"/>
  <c r="F25" i="210" l="1"/>
  <c r="G25" i="210" s="1"/>
  <c r="H25" i="210" l="1"/>
  <c r="F26" i="210" l="1"/>
  <c r="G26" i="210" s="1"/>
  <c r="H26" i="210" s="1"/>
  <c r="F27" i="210" l="1"/>
  <c r="G27" i="210" s="1"/>
  <c r="H27" i="210" s="1"/>
  <c r="F28" i="210" l="1"/>
  <c r="G28" i="210" s="1"/>
  <c r="H28" i="210" s="1"/>
  <c r="F29" i="210" l="1"/>
  <c r="G29" i="210" s="1"/>
  <c r="H29" i="210" s="1"/>
  <c r="F30" i="210" l="1"/>
  <c r="G30" i="210" s="1"/>
  <c r="H30" i="210" s="1"/>
  <c r="F31" i="210" l="1"/>
  <c r="G31" i="210" s="1"/>
  <c r="H31" i="210" s="1"/>
  <c r="F32" i="210" l="1"/>
  <c r="G32" i="210" s="1"/>
  <c r="H32" i="210" s="1"/>
  <c r="F33" i="210" l="1"/>
  <c r="G33" i="210" s="1"/>
  <c r="H33" i="210" s="1"/>
  <c r="C24" i="112"/>
  <c r="C28" i="112" s="1"/>
  <c r="C43" i="112"/>
  <c r="C49" i="112" s="1"/>
  <c r="C53" i="112" s="1"/>
  <c r="F34" i="210" l="1"/>
  <c r="G34" i="210" s="1"/>
  <c r="H34" i="210" s="1"/>
  <c r="F35" i="210" s="1"/>
  <c r="G35" i="210" l="1"/>
  <c r="H35" i="210" s="1"/>
  <c r="F36" i="210" l="1"/>
  <c r="G36" i="210" s="1"/>
  <c r="H36" i="210" s="1"/>
  <c r="F37" i="210" s="1"/>
  <c r="G37" i="210" l="1"/>
  <c r="H37" i="210" s="1"/>
  <c r="F38" i="210" s="1"/>
  <c r="G38" i="210" l="1"/>
  <c r="H38" i="210" s="1"/>
  <c r="F39" i="210" s="1"/>
  <c r="G39" i="210" l="1"/>
  <c r="H39" i="210" s="1"/>
  <c r="F40" i="210" l="1"/>
  <c r="G40" i="210" s="1"/>
  <c r="H40" i="210" s="1"/>
  <c r="F41" i="210" l="1"/>
  <c r="G41" i="210" s="1"/>
  <c r="H41" i="210" s="1"/>
  <c r="F42" i="210" s="1"/>
  <c r="G42" i="210" l="1"/>
  <c r="H42" i="210" s="1"/>
  <c r="F43" i="210" s="1"/>
  <c r="G43" i="210" l="1"/>
  <c r="H43" i="210" s="1"/>
  <c r="F44" i="210" l="1"/>
  <c r="G44" i="210" s="1"/>
  <c r="H44" i="210" s="1"/>
  <c r="F45" i="210" l="1"/>
  <c r="G45" i="210" s="1"/>
  <c r="H45" i="210" s="1"/>
  <c r="F46" i="210" l="1"/>
  <c r="G46" i="210" s="1"/>
  <c r="H46" i="210" s="1"/>
  <c r="F47" i="210" l="1"/>
  <c r="G47" i="210" s="1"/>
  <c r="H47" i="210" l="1"/>
  <c r="F48" i="210" l="1"/>
  <c r="G48" i="210" s="1"/>
  <c r="H48" i="210" s="1"/>
  <c r="F49" i="210" l="1"/>
  <c r="G49" i="210" s="1"/>
  <c r="H49" i="210" s="1"/>
  <c r="F50" i="210" l="1"/>
  <c r="G50" i="210" s="1"/>
  <c r="H50" i="210" s="1"/>
  <c r="F51" i="210" s="1"/>
  <c r="G51" i="210" l="1"/>
  <c r="H51" i="210" s="1"/>
  <c r="F52" i="210" l="1"/>
  <c r="G52" i="210" s="1"/>
  <c r="H52" i="210" s="1"/>
  <c r="F53" i="210" l="1"/>
  <c r="G53" i="210" s="1"/>
  <c r="H53" i="210" s="1"/>
  <c r="F54" i="210" l="1"/>
  <c r="G54" i="210" s="1"/>
  <c r="H54" i="210" l="1"/>
  <c r="F55" i="210" s="1"/>
  <c r="G55" i="210" l="1"/>
  <c r="H55" i="210" s="1"/>
  <c r="F56" i="210" l="1"/>
  <c r="G56" i="210" s="1"/>
  <c r="H56" i="210" l="1"/>
  <c r="F57" i="210" l="1"/>
  <c r="G57" i="210" s="1"/>
  <c r="H57" i="210" s="1"/>
  <c r="F58" i="210" l="1"/>
  <c r="G58" i="210" s="1"/>
  <c r="H58" i="210" s="1"/>
  <c r="F59" i="210" l="1"/>
  <c r="G59" i="210" s="1"/>
  <c r="H59" i="210" l="1"/>
  <c r="F60" i="210" l="1"/>
  <c r="G60" i="210" s="1"/>
  <c r="H60" i="210" s="1"/>
  <c r="F61" i="210" l="1"/>
  <c r="G61" i="210" s="1"/>
  <c r="H61" i="210" s="1"/>
  <c r="F62" i="210" l="1"/>
  <c r="G62" i="210" s="1"/>
  <c r="H62" i="210" l="1"/>
  <c r="F63" i="210" l="1"/>
  <c r="G63" i="210" s="1"/>
  <c r="H63" i="210" s="1"/>
  <c r="F64" i="210" l="1"/>
  <c r="G64" i="210" s="1"/>
  <c r="H64" i="210" s="1"/>
  <c r="F65" i="210" l="1"/>
  <c r="G65" i="210" s="1"/>
  <c r="H65" i="210" s="1"/>
  <c r="F66" i="210" l="1"/>
  <c r="G66" i="210" s="1"/>
  <c r="H66" i="210" s="1"/>
  <c r="F67" i="210" s="1"/>
  <c r="G67" i="210" l="1"/>
  <c r="H67" i="210" s="1"/>
  <c r="F68" i="210" l="1"/>
  <c r="G68" i="210" s="1"/>
  <c r="H68" i="210" s="1"/>
  <c r="F69" i="210" l="1"/>
  <c r="G69" i="210" s="1"/>
  <c r="H69" i="210" s="1"/>
  <c r="F70" i="210" l="1"/>
  <c r="G70" i="210" s="1"/>
  <c r="H70" i="210" l="1"/>
  <c r="F71" i="210" l="1"/>
  <c r="G71" i="210" s="1"/>
  <c r="H71" i="210" s="1"/>
  <c r="F72" i="210" l="1"/>
  <c r="G72" i="210" s="1"/>
  <c r="H72" i="210" s="1"/>
  <c r="F73" i="210" l="1"/>
  <c r="G73" i="210" s="1"/>
  <c r="H73" i="210" s="1"/>
  <c r="F74" i="210" l="1"/>
  <c r="G74" i="210" s="1"/>
  <c r="H74" i="210" s="1"/>
  <c r="F75" i="210" l="1"/>
  <c r="G75" i="210" s="1"/>
  <c r="H75" i="210" s="1"/>
  <c r="F76" i="210" s="1"/>
  <c r="G76" i="210" l="1"/>
  <c r="G77" i="210" s="1"/>
  <c r="D15" i="171" s="1"/>
  <c r="D17" i="171" s="1"/>
  <c r="D21" i="171" s="1"/>
  <c r="H76" i="210" l="1"/>
</calcChain>
</file>

<file path=xl/sharedStrings.xml><?xml version="1.0" encoding="utf-8"?>
<sst xmlns="http://schemas.openxmlformats.org/spreadsheetml/2006/main" count="1853" uniqueCount="644">
  <si>
    <t>SAN DIEGO GAS AND ELECTRIC COMPANY</t>
  </si>
  <si>
    <t>($1,000)</t>
  </si>
  <si>
    <t>Line</t>
  </si>
  <si>
    <t>(a)</t>
  </si>
  <si>
    <t>(b)</t>
  </si>
  <si>
    <t>Average Balance</t>
  </si>
  <si>
    <t>Reference</t>
  </si>
  <si>
    <t xml:space="preserve"> </t>
  </si>
  <si>
    <t>Transmission Wages and Salaries Allocation Factor</t>
  </si>
  <si>
    <t>Transmission Related Electric Miscellaneous Intangible Plant</t>
  </si>
  <si>
    <t>Transmission Related General Plant</t>
  </si>
  <si>
    <t xml:space="preserve">Transmission Related Common Plant </t>
  </si>
  <si>
    <t>SAN DIEGO GAS &amp; ELECTRIC COMPANY</t>
  </si>
  <si>
    <t>Month</t>
  </si>
  <si>
    <t>No.</t>
  </si>
  <si>
    <t>Total</t>
  </si>
  <si>
    <t>Description</t>
  </si>
  <si>
    <t xml:space="preserve">     Total Transmission Related Depreciation Reserve</t>
  </si>
  <si>
    <t>Transmission Related Electric Misc. Intangible Plant Amortization Reserve</t>
  </si>
  <si>
    <t>Transmission Plant</t>
  </si>
  <si>
    <t>Operation and Maintenance Expenses</t>
  </si>
  <si>
    <t>Amounts</t>
  </si>
  <si>
    <t>Derivation of Transmission Plant Property Insurance Allocation Factor:</t>
  </si>
  <si>
    <t>Shall be Zero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</si>
  <si>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</si>
  <si>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</si>
  <si>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</si>
  <si>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</si>
  <si>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</si>
  <si>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</si>
  <si>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</si>
  <si>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</si>
  <si>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Property Insurance Allocated to Transmission, General, and Common Plant</t>
  </si>
  <si>
    <t>(c) = (a) - (b)</t>
  </si>
  <si>
    <t>FERC</t>
  </si>
  <si>
    <t>Excluded</t>
  </si>
  <si>
    <t>Acct</t>
  </si>
  <si>
    <t>Per Books</t>
  </si>
  <si>
    <t>Expenses</t>
  </si>
  <si>
    <t>Adjusted</t>
  </si>
  <si>
    <t>Rents</t>
  </si>
  <si>
    <t>Total Excluded Expenses</t>
  </si>
  <si>
    <t>Administrative &amp; General Expenses</t>
  </si>
  <si>
    <t>Administrative &amp; General</t>
  </si>
  <si>
    <t>A&amp;G Salaries</t>
  </si>
  <si>
    <t>Less: Administrative Expenses Transferred-Credit</t>
  </si>
  <si>
    <t>Employee Pensions &amp; Benefits</t>
  </si>
  <si>
    <t xml:space="preserve">Franchise Requirements </t>
  </si>
  <si>
    <t>Less: Duplicate Charges (Company Energy Use)</t>
  </si>
  <si>
    <t>General Advertising Expenses</t>
  </si>
  <si>
    <t>Maintenance of General Plant</t>
  </si>
  <si>
    <t>Total Administrative &amp; General Expenses</t>
  </si>
  <si>
    <t>Excluded Expenses:</t>
  </si>
  <si>
    <t>CPUC energy efficiency programs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</si>
  <si>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</si>
  <si>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</si>
  <si>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</si>
  <si>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</si>
  <si>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</si>
  <si>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</si>
  <si>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</si>
  <si>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Working Capital</t>
  </si>
  <si>
    <t>Transmission Plant Allocation Factor</t>
  </si>
  <si>
    <t>FERC Method = 1/8 of O&amp;M Expense</t>
  </si>
  <si>
    <t>The balances for Materials &amp; Supplies and Prepayments are derived based on a 13-month average balance.</t>
  </si>
  <si>
    <t>(c)</t>
  </si>
  <si>
    <t>Statement AV</t>
  </si>
  <si>
    <t>Cost of Capital and Fair Rate of Return</t>
  </si>
  <si>
    <t>Long-Term Debt Component - Denominator:</t>
  </si>
  <si>
    <t>Long-Term Debt Component - Numerator:</t>
  </si>
  <si>
    <t>Cost of Long-Term Debt:</t>
  </si>
  <si>
    <t>Preferred Equity Component:</t>
  </si>
  <si>
    <t>Common Equity Component:</t>
  </si>
  <si>
    <t>(d) = (b) x (c)</t>
  </si>
  <si>
    <t>Cap. Struct.</t>
  </si>
  <si>
    <t>Weighted</t>
  </si>
  <si>
    <t>Weighted Cost of Capital:</t>
  </si>
  <si>
    <t>Ratio</t>
  </si>
  <si>
    <t>Cost of Capital</t>
  </si>
  <si>
    <t>Long-Term Debt</t>
  </si>
  <si>
    <t>Preferred Equity</t>
  </si>
  <si>
    <t>Common Equity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</si>
  <si>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</si>
  <si>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</si>
  <si>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</si>
  <si>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</si>
  <si>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D = Transmission Rate Base</t>
  </si>
  <si>
    <t>Federal Income Tax Rate</t>
  </si>
  <si>
    <t>B. State Income Tax Component:</t>
  </si>
  <si>
    <t>State Income Tax Rate</t>
  </si>
  <si>
    <t>C. Total Federal &amp; State Income Tax Rate: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</si>
  <si>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</si>
  <si>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Cost of</t>
  </si>
  <si>
    <t>Capital</t>
  </si>
  <si>
    <t>Cost of Equity Component (Preferred &amp; Common):</t>
  </si>
  <si>
    <t>Amount is based upon December 31 balances.</t>
  </si>
  <si>
    <t>Federal Income Tax Expense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</si>
  <si>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</si>
  <si>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</si>
  <si>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</si>
  <si>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>State Income Tax Expense</t>
  </si>
  <si>
    <t>D. Total Weighted Cost of Capital:</t>
  </si>
  <si>
    <t>Total Direct Maintenance Cost</t>
  </si>
  <si>
    <t>Section 1 - Direct Maintenance Expense Cost Component</t>
  </si>
  <si>
    <t>Section 2 - Non-Direct Expense Cost Component</t>
  </si>
  <si>
    <t>Section 3 - Cost Component Containing Other Specific Expenses</t>
  </si>
  <si>
    <t>Section 5 - Interest True-Up Adjustment Cost Component</t>
  </si>
  <si>
    <t>A. Non-Direct Annual Carrying Charge Percentages</t>
  </si>
  <si>
    <t>Lease Agreement</t>
  </si>
  <si>
    <t xml:space="preserve">     Transmission Related A&amp;G Carrying Charge Percentage</t>
  </si>
  <si>
    <t xml:space="preserve">     Transmission Related Payroll Tax Carrying Charge Percentage</t>
  </si>
  <si>
    <t>Citizens Financed Transmission Projects: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</si>
  <si>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</si>
  <si>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</si>
  <si>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</si>
  <si>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 xml:space="preserve">     Total</t>
  </si>
  <si>
    <t>Total Adjusted Administrative &amp; General Expenses</t>
  </si>
  <si>
    <t>Injuries &amp; Damages</t>
  </si>
  <si>
    <t xml:space="preserve">Derivation of End Use Transmission Rate Base </t>
  </si>
  <si>
    <t>A. Derivation of Transmission Rate Base:</t>
  </si>
  <si>
    <t>Net Transmission Plant: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</si>
  <si>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</si>
  <si>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</si>
  <si>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</si>
  <si>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</si>
  <si>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</si>
  <si>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</si>
  <si>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</si>
  <si>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</si>
  <si>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</si>
  <si>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</si>
  <si>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</si>
  <si>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</si>
  <si>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</si>
  <si>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</si>
  <si>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>Other Regulatory Assets/Liabilities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</si>
  <si>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</si>
  <si>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</si>
  <si>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</si>
  <si>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</si>
  <si>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</si>
  <si>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</si>
  <si>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</si>
  <si>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>8.84%</t>
  </si>
  <si>
    <t>Form 1; Page 323; Line 181</t>
  </si>
  <si>
    <t>Form 1; Page 323; Line 182</t>
  </si>
  <si>
    <t>Form 1; Page 323; Line 183</t>
  </si>
  <si>
    <t>Form 1; Page 323; Line 184</t>
  </si>
  <si>
    <t>Form 1; Page 323; Line 185</t>
  </si>
  <si>
    <t>Form 1; Page 323; Line 186</t>
  </si>
  <si>
    <t>Form 1; Page 323; Line 187</t>
  </si>
  <si>
    <t>Form 1; Page 323; Line 188</t>
  </si>
  <si>
    <t>Form 1; Page 323; Line 189</t>
  </si>
  <si>
    <t>Form 1; Page 323; Line 190</t>
  </si>
  <si>
    <t>Form 1; Page 323; Line 191</t>
  </si>
  <si>
    <t>Form 1; Page 323; Line 192</t>
  </si>
  <si>
    <t>Form 1; Page 323; Line 193</t>
  </si>
  <si>
    <t>Form 1; Page 323; Line 196</t>
  </si>
  <si>
    <t xml:space="preserve">Regulatory Commission Expenses  </t>
  </si>
  <si>
    <t>FERC Form 1</t>
  </si>
  <si>
    <t>Page; Line; Col.</t>
  </si>
  <si>
    <t>Working</t>
  </si>
  <si>
    <t>13-Months</t>
  </si>
  <si>
    <t>Cash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</si>
  <si>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</si>
  <si>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</si>
  <si>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</si>
  <si>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</si>
  <si>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</si>
  <si>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</si>
  <si>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</si>
  <si>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</si>
  <si>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</si>
  <si>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</si>
  <si>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One Eighth O&amp;M Rule</t>
  </si>
  <si>
    <t xml:space="preserve">     Transmission Related Cash Working Capital - Retail Customers</t>
  </si>
  <si>
    <t>Derivation of Direct Maintenance Expense:</t>
  </si>
  <si>
    <t>Derivation of Non-Direct Transmission Operation and Maintenance Expense:</t>
  </si>
  <si>
    <t>Derivation of Non-Direct Administrative and General Expense: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</si>
  <si>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</si>
  <si>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</si>
  <si>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</si>
  <si>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</si>
  <si>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</si>
  <si>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</si>
  <si>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</si>
  <si>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</si>
  <si>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</si>
  <si>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</si>
  <si>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</si>
  <si>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</si>
  <si>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</si>
  <si>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</si>
  <si>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</si>
  <si>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</si>
  <si>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</si>
  <si>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</si>
  <si>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</si>
  <si>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</si>
  <si>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</si>
  <si>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</si>
  <si>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</si>
  <si>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</si>
  <si>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</si>
  <si>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</si>
  <si>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</si>
  <si>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</si>
  <si>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</si>
  <si>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</si>
  <si>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</si>
  <si>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</si>
  <si>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</si>
  <si>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</si>
  <si>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</si>
  <si>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 xml:space="preserve">     Total Capital</t>
  </si>
  <si>
    <t xml:space="preserve">     B = Transmission Total Federal Tax Adjustments</t>
  </si>
  <si>
    <t xml:space="preserve">     FT = Federal Income Tax Rate for Rate Effective Period</t>
  </si>
  <si>
    <t>Federal Income Tax    =    (((A) + (C / D)) * FT) - (B / D)</t>
  </si>
  <si>
    <t xml:space="preserve">                                                         (1 - FT)</t>
  </si>
  <si>
    <t xml:space="preserve">     ST = State Income Tax Rate for Rate Effective Period</t>
  </si>
  <si>
    <t>State Income Tax    =    ((A) + (B / C) + Federal Income Tax)*(ST)</t>
  </si>
  <si>
    <t xml:space="preserve">                                                               (1 - ST)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</si>
  <si>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</si>
  <si>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>Total Non-Direct Transmission O&amp;M Expense</t>
  </si>
  <si>
    <t>Adjustments to Per Book Transmission O&amp;M Expense:</t>
  </si>
  <si>
    <t xml:space="preserve">   Other Transmission Non-Direct O&amp;M Exclusion Adjustments </t>
  </si>
  <si>
    <t xml:space="preserve">     Total Non-Direct Adjusted Transmission O&amp;M Expenses </t>
  </si>
  <si>
    <t>Total Non-Direct Administrative &amp; General Expense</t>
  </si>
  <si>
    <t>Adjustments to Per Book A&amp;G Expense:</t>
  </si>
  <si>
    <t>Total Adjusted Non-Direct A&amp;G Expenses Excluding Property Insurance</t>
  </si>
  <si>
    <t xml:space="preserve">     Total Adjusted Non-Direct A&amp;G Expenses Including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</si>
  <si>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</si>
  <si>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</si>
  <si>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t>Less: Property Insurance (Due to different allocation factor)</t>
  </si>
  <si>
    <t>Section 4 - True-Up Adjustment Cost Component (Over)/Undercollection</t>
  </si>
  <si>
    <t xml:space="preserve">     Total Transmission Rate Base</t>
  </si>
  <si>
    <t xml:space="preserve">     Total Working Capital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</si>
  <si>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</si>
  <si>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Property Insurance</t>
  </si>
  <si>
    <t>Miscellaneous General Expenses</t>
  </si>
  <si>
    <t>Outside Services Employed</t>
  </si>
  <si>
    <t>Office Supplies &amp; Expenses</t>
  </si>
  <si>
    <t>Transmission Related M&amp;S Allocated to Transmission</t>
  </si>
  <si>
    <t>Transmission Related Prepayments Allocated to Transmission</t>
  </si>
  <si>
    <t>Transmission Related Working Cash</t>
  </si>
  <si>
    <t>Number of Months in Base Period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</si>
  <si>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</si>
  <si>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</si>
  <si>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</si>
  <si>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</si>
  <si>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</si>
  <si>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</si>
  <si>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</si>
  <si>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</si>
  <si>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</si>
  <si>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</si>
  <si>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</si>
  <si>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</si>
  <si>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</si>
  <si>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</si>
  <si>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</si>
  <si>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</si>
  <si>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</si>
  <si>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</si>
  <si>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</si>
  <si>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</si>
  <si>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</si>
  <si>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</si>
  <si>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Year</t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</si>
  <si>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</si>
  <si>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</si>
  <si>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</si>
  <si>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</si>
  <si>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</si>
  <si>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</si>
  <si>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</si>
  <si>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</si>
  <si>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</si>
  <si>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</si>
  <si>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</si>
  <si>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</si>
  <si>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</si>
  <si>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</si>
  <si>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</si>
  <si>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</si>
  <si>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</si>
  <si>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</si>
  <si>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</si>
  <si>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</si>
  <si>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</si>
  <si>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</si>
  <si>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</si>
  <si>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</si>
  <si>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</si>
  <si>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</si>
  <si>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Net Transmission Plant</t>
  </si>
  <si>
    <t>Description of Annual Costs</t>
  </si>
  <si>
    <t>Subtotal Annual Costs</t>
  </si>
  <si>
    <t>Other Adjustments</t>
  </si>
  <si>
    <t>Total Annual Costs</t>
  </si>
  <si>
    <t>Description of Monthly Costs</t>
  </si>
  <si>
    <t>Total Monthly Costs</t>
  </si>
  <si>
    <t>Transmission Related O&amp;M Expense</t>
  </si>
  <si>
    <t>Transmission O&amp;M Expense</t>
  </si>
  <si>
    <t xml:space="preserve">     Transmission O&amp;M Expense Carrying Charge Percentage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</si>
  <si>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</si>
  <si>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</si>
  <si>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</si>
  <si>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</si>
  <si>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 xml:space="preserve">     Subtotal Annual Carrying Charge Rate</t>
  </si>
  <si>
    <t xml:space="preserve">     Total Annual Carrying Charge Rate</t>
  </si>
  <si>
    <t>Citizens Lease Payment</t>
  </si>
  <si>
    <t>Total Annual Carrying Charge Rate</t>
  </si>
  <si>
    <t>Net Transmission Related Common Plant</t>
  </si>
  <si>
    <t>Net Transmission Related General Plant</t>
  </si>
  <si>
    <t>Total Net Transmission Related General and Common Plant</t>
  </si>
  <si>
    <t>Transmission Related General and Common Depreciation Expense</t>
  </si>
  <si>
    <t>Cost of Capital Rate</t>
  </si>
  <si>
    <t>Cost Adjustment Workpapers</t>
  </si>
  <si>
    <t>Transmission Related Municipal Franchise Fees Expense</t>
  </si>
  <si>
    <t>Total Citizens Annual Prior Year Cost of Service</t>
  </si>
  <si>
    <t>Total Citizens Monthly Prior Year Cost of Service</t>
  </si>
  <si>
    <t>B. Derivation of Non-Direct Expense</t>
  </si>
  <si>
    <t xml:space="preserve">     Total Non-Direct Expense</t>
  </si>
  <si>
    <t>Total Transmission Related A&amp;G Expense Including Property Ins.</t>
  </si>
  <si>
    <t>Transmission Related General and Common Return and Associated Income Taxes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</si>
  <si>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</si>
  <si>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</si>
  <si>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</si>
  <si>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</si>
  <si>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</si>
  <si>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Miscellaneous Transmission Expense </t>
  </si>
  <si>
    <t xml:space="preserve">   Transmission of Electricity by Others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</si>
  <si>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</si>
  <si>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</si>
  <si>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</si>
  <si>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CPUC Intervenor Funding Expense - Distribution</t>
  </si>
  <si>
    <t xml:space="preserve">   CPUC reimbursement fees</t>
  </si>
  <si>
    <t xml:space="preserve">   Litigation expenses - Litigation Cost Memorandum Account (LCMA)</t>
  </si>
  <si>
    <t xml:space="preserve">   General Advertising Expenses </t>
  </si>
  <si>
    <t xml:space="preserve">   CPUC energy efficiency programs</t>
  </si>
  <si>
    <t xml:space="preserve">   Hazardous substances - Hazardous Substance Cleanup Cost Account</t>
  </si>
  <si>
    <t xml:space="preserve">   Other A&amp;G Exclusion Adjustments</t>
  </si>
  <si>
    <t>Transmission Related General &amp; Common Plant Revenue</t>
  </si>
  <si>
    <t>A. Transmission Related O&amp;M Expense</t>
  </si>
  <si>
    <t>B. Transmission Related A&amp;G Expense</t>
  </si>
  <si>
    <t>C. Transmission Related Property Tax Expense</t>
  </si>
  <si>
    <t>D. Transmission Related Payroll Tax Expense</t>
  </si>
  <si>
    <t>E. Transmission Related Working Capital Revenue</t>
  </si>
  <si>
    <t>F. Transmission Related General &amp; Common Plant Revenue</t>
  </si>
  <si>
    <t xml:space="preserve">     Transmission Related Property Tax Carrying Charge Percentage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</si>
  <si>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</si>
  <si>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Total Transmission Plant &amp; Incentive Transmission Plant</t>
  </si>
  <si>
    <t>Transmission Plant &amp; Incentive Transmission Plant</t>
  </si>
  <si>
    <t>A. Derivation of Net Transmission Plant:</t>
  </si>
  <si>
    <t>Incentive Transmission Plant</t>
  </si>
  <si>
    <t>Incentive Transmission Plant Depreciation Reserve</t>
  </si>
  <si>
    <t xml:space="preserve">     Total Net Incentive Transmission Plant</t>
  </si>
  <si>
    <t>B. Incentive Project Net Transmission Plant:</t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</si>
  <si>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</si>
  <si>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</si>
  <si>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</si>
  <si>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</si>
  <si>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</si>
  <si>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</si>
  <si>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Incentive Weighted Cost of Capital:</t>
  </si>
  <si>
    <t>Incentive Cost of Equity Component (Preferred &amp; Common):</t>
  </si>
  <si>
    <t xml:space="preserve">     D = Incentive ROE Project Transmission Rate Base</t>
  </si>
  <si>
    <t xml:space="preserve">Federal Income Tax    =    (((A) + (C / D)) * FT) - (B / D)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</si>
  <si>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</si>
  <si>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</si>
  <si>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</si>
  <si>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Federal Income Tax Expense </t>
  </si>
  <si>
    <t>Total Transmission Related General and Common Plant Revenues</t>
  </si>
  <si>
    <t>Incentive Return on Common Equity: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</si>
  <si>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</si>
  <si>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</si>
  <si>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D. Incentive Transmission Construction Work In Progress</t>
  </si>
  <si>
    <t xml:space="preserve">     C = Equity AFUDC Component of Transmission Depreciation Expense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</si>
  <si>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</si>
  <si>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>CITIZENS' SHARE OF THE SX-PQ UNDERGROUND LINE SEGMENT</t>
  </si>
  <si>
    <t xml:space="preserve">     Total Transmission Related General and Common Plant Carrying Charge Percentage</t>
  </si>
  <si>
    <t>DERIVATION OF CITIZENS' TRUE-UP ADJUSTMENT -  (OVER) / UNDERCOLLECTION</t>
  </si>
  <si>
    <t>Summary of Cost Components</t>
  </si>
  <si>
    <t xml:space="preserve">Section 2 - Non-Direct Expense Cost Component </t>
  </si>
  <si>
    <t>Account 7000722, which was created to track Citizens SX-PQ A&amp;G Expense.</t>
  </si>
  <si>
    <t>Litigation expenses (ERRA)</t>
  </si>
  <si>
    <t>Other A&amp;G Exclusion Adjustments</t>
  </si>
  <si>
    <t xml:space="preserve">   Abandoned Projects</t>
  </si>
  <si>
    <t xml:space="preserve">   Injuries &amp; Damages</t>
  </si>
  <si>
    <t xml:space="preserve">   Franchise Requirements</t>
  </si>
  <si>
    <t>Negative of AH-3; Line 42; Col. a</t>
  </si>
  <si>
    <t>Negative of AH-3; Line 37; Col. a</t>
  </si>
  <si>
    <t>Negative of AH-3; Line 36; Col. a</t>
  </si>
  <si>
    <t>TO5 Offer of Settlement; Section II.A.1.5.1</t>
  </si>
  <si>
    <r>
      <t>Return on Common Equity:</t>
    </r>
    <r>
      <rPr>
        <sz val="12"/>
        <rFont val="Times New Roman"/>
        <family val="1"/>
      </rPr>
      <t xml:space="preserve"> </t>
    </r>
    <r>
      <rPr>
        <vertAlign val="superscript"/>
        <sz val="12"/>
        <color rgb="FFFF0000"/>
        <rFont val="Times New Roman"/>
        <family val="1"/>
      </rPr>
      <t>2</t>
    </r>
  </si>
  <si>
    <t>Monthly True-Up Revenues comprises the prior cycle costs applicable to the true-up period.</t>
  </si>
  <si>
    <t>Citizens portion of Equity AFUDC totaling $56K is embedded in the Equity AFUDC component of Transmission Depreciation expense.</t>
  </si>
  <si>
    <t>Statement AH</t>
  </si>
  <si>
    <t>Statement AL</t>
  </si>
  <si>
    <t>Negative of AH-2; Line 41; Col. b</t>
  </si>
  <si>
    <t>San Diego Gas &amp; Electric Company</t>
  </si>
  <si>
    <t>Citizen's Share of the SX-PQ Underground Line Segment</t>
  </si>
  <si>
    <t>Total Annual Costs Citizens' Share of the SX-PQ Underground Line Segment - Before Interest</t>
  </si>
  <si>
    <t>Page 2; Line 17; Col. C</t>
  </si>
  <si>
    <t>Interest Expense</t>
  </si>
  <si>
    <t xml:space="preserve">Total Annual Costs Adjustment </t>
  </si>
  <si>
    <t>Sum Lines 3 and 5</t>
  </si>
  <si>
    <t xml:space="preserve">Total Monthly Costs Adjustment </t>
  </si>
  <si>
    <t>Line 7 / Line 9</t>
  </si>
  <si>
    <t>Derivation of Other Adjustments Applicable to Appendix XII Cycle 3</t>
  </si>
  <si>
    <t>A</t>
  </si>
  <si>
    <t>B</t>
  </si>
  <si>
    <t>C = A - B</t>
  </si>
  <si>
    <t>Difference</t>
  </si>
  <si>
    <t>Incr (Decr)</t>
  </si>
  <si>
    <t>Page 3 and Page 4, Line 1</t>
  </si>
  <si>
    <t>√</t>
  </si>
  <si>
    <t>Page 3 and Page 4, Line 3</t>
  </si>
  <si>
    <t>Page 3 and Page 4, Line 5</t>
  </si>
  <si>
    <t>Total Citizens' Annual Prior Year Cost of Service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</si>
  <si>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</si>
  <si>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</si>
  <si>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</si>
  <si>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</si>
  <si>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</si>
  <si>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</si>
  <si>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</si>
  <si>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</si>
  <si>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</si>
  <si>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</si>
  <si>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Page 3 and Page 4, Line 38</t>
  </si>
  <si>
    <t>Revised - Appendix XII Cycle 3</t>
  </si>
  <si>
    <t>Rate Effective Period January 1, 2021 to December 31, 2021</t>
  </si>
  <si>
    <t>Section 1; Page 1; Line 17</t>
  </si>
  <si>
    <t>Section 2; Page 1; Line 25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</si>
  <si>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</si>
  <si>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</si>
  <si>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</si>
  <si>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</si>
  <si>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</si>
  <si>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13 + Line 15</t>
  </si>
  <si>
    <t>Items in bold have changed compared to the original Appendix XII Cycle 3 filing per ER21-320.</t>
  </si>
  <si>
    <t>Source: As Filed - Rev. Appendix XII C3; Summary Incl. in Appendix XII Cycle 4; ER22-133; Cost Adj. WP's</t>
  </si>
  <si>
    <t>Source: As Filed; Appendix XII Cycle 3; Summary of Cost Components; ER21-320</t>
  </si>
  <si>
    <t>Base Period &amp; True-Up Period 12 - Months Ending December 31, 2019</t>
  </si>
  <si>
    <t>Statement AV2; Line 31</t>
  </si>
  <si>
    <t>Page 2; Line 6</t>
  </si>
  <si>
    <t>Page 2; Line 11</t>
  </si>
  <si>
    <t>Page 2; Line 16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</si>
  <si>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</si>
  <si>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</si>
  <si>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</si>
  <si>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</si>
  <si>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</si>
  <si>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</si>
  <si>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</si>
  <si>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</si>
  <si>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AV-4; Line 6</t>
  </si>
  <si>
    <t>Line 4 / Line 1</t>
  </si>
  <si>
    <t>Line 9 / Line 1</t>
  </si>
  <si>
    <t>Statement AK; Line 17</t>
  </si>
  <si>
    <t>Line 14 / Line 1</t>
  </si>
  <si>
    <t>Statement AK; Line 28</t>
  </si>
  <si>
    <t>Line 19 / Line 1</t>
  </si>
  <si>
    <t>Statement AL; Line 5</t>
  </si>
  <si>
    <t>Statement AL; Line 9</t>
  </si>
  <si>
    <t>Statement AL; Line 19</t>
  </si>
  <si>
    <t>Sum Lines 25 thru 27</t>
  </si>
  <si>
    <t>Line 28 x Line 30</t>
  </si>
  <si>
    <t>Line 32 / Line 1</t>
  </si>
  <si>
    <t>AV-4; Line 4</t>
  </si>
  <si>
    <t>AV-4; Line 5</t>
  </si>
  <si>
    <t>Line 37 + Line 39</t>
  </si>
  <si>
    <t>Line 30</t>
  </si>
  <si>
    <t>Line 41 * Line 43</t>
  </si>
  <si>
    <t>Statement AJ; Line 17</t>
  </si>
  <si>
    <t>Line 45 + Line 47</t>
  </si>
  <si>
    <t>Line 49 / Line 1</t>
  </si>
  <si>
    <t>Citizens' Lease Payment</t>
  </si>
  <si>
    <t>Statement AH; Line 18</t>
  </si>
  <si>
    <t>Statement AH; Line 41</t>
  </si>
  <si>
    <t>Citizens' Financed Transmission Projects:</t>
  </si>
  <si>
    <t>Source: As Filed - Rev. Appendix XII C3; Sec 2 NonDir Incl. in Appendix XII Cycle 4; ER22-133; Cost Adj. WP's</t>
  </si>
  <si>
    <t>True-Up Period - June 1, 2019 to December 31, 2019</t>
  </si>
  <si>
    <t>Month True-Up Cost of Service comprises Sections 1 thru 3 Direct Maintenance, Non-Direct Expense, and Other Specific Expenses Cost Components.</t>
  </si>
  <si>
    <t>Source: As Filed - Rev. Appendix XII C3; Sec 4 TU Incl. in Appendix XII Cycle 4; ER22-133; Cost Adj. WP's</t>
  </si>
  <si>
    <t>Statement AI; Line 17</t>
  </si>
  <si>
    <t>AH-1; Line 48</t>
  </si>
  <si>
    <t>AH-2; Line 37; Col. a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</si>
  <si>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</si>
  <si>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</si>
  <si>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</si>
  <si>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</si>
  <si>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46; Col. b</t>
  </si>
  <si>
    <t>Negative of AH-2; Line 52; Col. b</t>
  </si>
  <si>
    <t>Negative of AH-2; Line 53; Col. b</t>
  </si>
  <si>
    <t>Negative of AH-2; Line 54; Col. b</t>
  </si>
  <si>
    <t>Negative of AH-2; Line 55; Col. b</t>
  </si>
  <si>
    <t xml:space="preserve">   Other Cost Adjustments</t>
  </si>
  <si>
    <t>AH-2; Line 37; Col. d</t>
  </si>
  <si>
    <t>Sum Lines 5 thru 17</t>
  </si>
  <si>
    <t>AH-3; Line 21; Col. a</t>
  </si>
  <si>
    <t>Negative of AH-3; Sum Lines 25, 26, 28, 29, 32, 35, 41, 44; Col. a or b</t>
  </si>
  <si>
    <t>Negative of AH-3; Line 38; Col. a</t>
  </si>
  <si>
    <t>Negative of AH-3; Line 30; Col. a</t>
  </si>
  <si>
    <t>Negative of AH-3; Line 40; Col. b</t>
  </si>
  <si>
    <t>Negative of AH-3; Line 34; Col. b</t>
  </si>
  <si>
    <t>Negative of AH-3; Line 43; Col. a</t>
  </si>
  <si>
    <t xml:space="preserve">Negative of AH-3; Sum Lines 27, 39; Col. a   </t>
  </si>
  <si>
    <t xml:space="preserve">Negative of AH-3; Sum Lines 31, 33; Col. a </t>
  </si>
  <si>
    <t>AH-3; Line 21; Col. d</t>
  </si>
  <si>
    <t>Sum Lines 21 thru 34</t>
  </si>
  <si>
    <t>Negative of AH-3; Line 6; Col. c</t>
  </si>
  <si>
    <t>Line 35 + Line 36</t>
  </si>
  <si>
    <t>Line 37 x Line 38</t>
  </si>
  <si>
    <t>Negative of Line 36 x Line 60</t>
  </si>
  <si>
    <t>Line 39 + Line 40</t>
  </si>
  <si>
    <t>Statement AD; Line 25</t>
  </si>
  <si>
    <t>Statement AD; Line 29</t>
  </si>
  <si>
    <t>Statement AD; Line 31</t>
  </si>
  <si>
    <t>Sum Lines 44 thru 47</t>
  </si>
  <si>
    <t>Line 44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</si>
  <si>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</si>
  <si>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</si>
  <si>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</si>
  <si>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</si>
  <si>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</si>
  <si>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50 thru 57</t>
  </si>
  <si>
    <t>Line 48 / Line 58</t>
  </si>
  <si>
    <t>Used to allocate property insurance in conformance with the TO5 Formula Rate Mechanism.</t>
  </si>
  <si>
    <t>Source: As Filed - Rev. Stmt AH incl. in Appendix XII Cycle 4; ER22-133; Cost Adj. WP's</t>
  </si>
  <si>
    <t xml:space="preserve"> 12 Months Ending December 31, 2019</t>
  </si>
  <si>
    <t>(e) = (c) + (d)</t>
  </si>
  <si>
    <t xml:space="preserve">Add / (Deduct) </t>
  </si>
  <si>
    <t>Revised</t>
  </si>
  <si>
    <t>Sum Lines 1 thru 15</t>
  </si>
  <si>
    <t>(g) = (e) + (f)</t>
  </si>
  <si>
    <t>Sum Lines 5 thru 18</t>
  </si>
  <si>
    <t>This amount represents the Non-Direct A&amp;G expenses billed to Citizens in 2019, which is added back to derive Total Adjusted A&amp;G Expenses in SAP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</si>
  <si>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</si>
  <si>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A&amp;G Cost Adj</t>
  </si>
  <si>
    <t xml:space="preserve">A&amp;G </t>
  </si>
  <si>
    <t>Represents 2019 Wildfire Mitigation Plan expenses that were not excluded in the 2019 A&amp;G exclusions. These are being corrected here and reflected as an "Other Adjustments" in Appendix XII Cycle 4.</t>
  </si>
  <si>
    <t>Represents reclassification of 2019 3P (People, Process, Priorities) project costs from O&amp;M FERC account 566 and 588 to A&amp;G FERC account 923, in 2020.</t>
  </si>
  <si>
    <t>This correction is reflected as an "Other Adjustments" in Appendix XII  Cycle 4.</t>
  </si>
  <si>
    <t>Represents 2019 abandoned project costs that were not included as excluded expenses in 2019. A portion was reclassified from A&amp;G FERC Account 930.2 to FERC account 426.5,  in 2020.</t>
  </si>
  <si>
    <t>This correction is reflected as an "Other Adjustments" in Appendix XII Cycle 4.</t>
  </si>
  <si>
    <t>Line 17 + Line 19</t>
  </si>
  <si>
    <t>AL-1; Line 18</t>
  </si>
  <si>
    <t>Statement AD; Line 35</t>
  </si>
  <si>
    <t>Line 1 x Line 3</t>
  </si>
  <si>
    <t>AL-2; Line 18</t>
  </si>
  <si>
    <t>Line 3 x Line 7</t>
  </si>
  <si>
    <t>Sum Lines 12 thru 14</t>
  </si>
  <si>
    <t>Line 15 x Line 17</t>
  </si>
  <si>
    <t>Negative of Statement AH; Line 25</t>
  </si>
  <si>
    <t>Source: Rev. Appendix XII C2; Rev. Stmt AL incl. in Appendix XII Cycle 4; ER22-133; Cost Adj. W/P's</t>
  </si>
  <si>
    <t>Source: Rev. Appendix XII C2; Rev. AH-2 incl. in Appendix XII Cycle 4; ER22-133; Cost Adj. W/P's</t>
  </si>
  <si>
    <t>Negative of Statement AR; Line 11</t>
  </si>
  <si>
    <t>AV-2A; Line 40</t>
  </si>
  <si>
    <t>AV-4; Page 1; Line 26</t>
  </si>
  <si>
    <t>Source: Rev. Appendix XII C2; Rev. Stmt AV incl. in Appendix XII Cycle 4; ER22-133; Cost Adj. W/P's</t>
  </si>
  <si>
    <t>Page 2; Line 17</t>
  </si>
  <si>
    <t>Page 2; Line 18</t>
  </si>
  <si>
    <t>Page 2; Line 19</t>
  </si>
  <si>
    <t>Sum Lines 2 thru 5</t>
  </si>
  <si>
    <t>Statement AG; Line 1</t>
  </si>
  <si>
    <t>Statement Misc.; Line 3</t>
  </si>
  <si>
    <t>Line 9 + Line 10</t>
  </si>
  <si>
    <t>Statement AF; Line 7</t>
  </si>
  <si>
    <t>Statement AF; Line 11</t>
  </si>
  <si>
    <t>Line 14 + Line 15</t>
  </si>
  <si>
    <t>Sum Lines 19 thru 21</t>
  </si>
  <si>
    <t>Statement Misc.; Line 5</t>
  </si>
  <si>
    <t>Sum Lines 6, 11, 16, 22, 24</t>
  </si>
  <si>
    <t>Line 29 + Line 30</t>
  </si>
  <si>
    <t>Line 34 + Line 35</t>
  </si>
  <si>
    <t>Statement AD; Line 11</t>
  </si>
  <si>
    <t>Statement AD; Line 27</t>
  </si>
  <si>
    <t>Statement AE; Line 1</t>
  </si>
  <si>
    <t>Statement AE; Line 11</t>
  </si>
  <si>
    <t>Statement AE; Line 13</t>
  </si>
  <si>
    <t>Statement AE; Line 15</t>
  </si>
  <si>
    <t>Sum Lines 9 thru 12</t>
  </si>
  <si>
    <t>Source: Rev. Appendix XII C2; Rev. AV-4 incl. in Appendix XII Cycle 4; ER22-133; Cost Adj. W/P's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</si>
  <si>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</si>
  <si>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</si>
  <si>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</si>
  <si>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</si>
  <si>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</si>
  <si>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</si>
  <si>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</si>
  <si>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</si>
  <si>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Posted FERC Interest rates</t>
  </si>
  <si>
    <t>Derivation of Interest Expense on Other Adjustments Applicable to Appendix XII Cycle 3</t>
  </si>
  <si>
    <t>Other Adjustments due to Appendix XII Cycle 3 Cost Adjustments Calculation:</t>
  </si>
  <si>
    <t>Pg17 Rev Statement AV2; Line 31</t>
  </si>
  <si>
    <t>Pg5 Rev Section 2; Page 1; Line 25</t>
  </si>
  <si>
    <t>Pg8 Rev Section 3; Page 1; Line 31</t>
  </si>
  <si>
    <t>As Filed - Appendix XII Cycle 3 per ER21-320 and Cost Adj. incl. in Appendix XII Cycle 4 per ER22-133</t>
  </si>
  <si>
    <r>
      <t xml:space="preserve">Appendix XII Cycle 6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</si>
  <si>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Appendix XII Cycle 6 Annual Informational Filing</t>
  </si>
  <si>
    <t>Page 3 and Page 4, Line 36</t>
  </si>
  <si>
    <t xml:space="preserve">Appendix XII Cycle 6 Annual Informational Filing </t>
  </si>
  <si>
    <t xml:space="preserve">Section C.6a of the Protocols provides a mechanism for SDG&amp;E to correct errors that affected the Appendix XII costs in a previous Informational Filing. </t>
  </si>
  <si>
    <r>
      <t xml:space="preserve">(f) </t>
    </r>
    <r>
      <rPr>
        <b/>
        <vertAlign val="superscript"/>
        <sz val="12"/>
        <rFont val="Times New Roman"/>
        <family val="1"/>
      </rPr>
      <t>5</t>
    </r>
  </si>
  <si>
    <t>Addtl</t>
  </si>
  <si>
    <t>A&amp;G</t>
  </si>
  <si>
    <r>
      <t>Employee Pensions &amp; Benefits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</si>
  <si>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Regulatory Commission Expenses </t>
    </r>
    <r>
      <rPr>
        <vertAlign val="superscript"/>
        <sz val="12"/>
        <rFont val="Times New Roman"/>
        <family val="1"/>
      </rPr>
      <t xml:space="preserve"> </t>
    </r>
  </si>
  <si>
    <t>FERC Acct 926, Employee Pensions &amp; Benefits, does not include any PBOP costs for base period 2019.</t>
  </si>
  <si>
    <t>Represents 2019 Wildfire Mitigation Plan expenses that were not included as excluded expenses in 2019. This correction is reflected as an "Other BTRR Adjustment" in TO5 Cycle 4.</t>
  </si>
  <si>
    <t xml:space="preserve">Represents reclassification of 2019 3P (People, Process, Priorities) project costs from O&amp;M FERC accounts 566 and 588 to A&amp;G FERC account 923, in 2020. This correction is </t>
  </si>
  <si>
    <t>reflected as an "Other BTRR Adjustment" in TO5 Cycle 4.</t>
  </si>
  <si>
    <t>Represents 2019 abandoned project costs that were not included as excluded expenses in 2019. A portion was reclassified from A&amp;G FERC Account 930.2 to FERC Account 426.5, in</t>
  </si>
  <si>
    <t>2020. This correction is reflected as an "Other BTRR Adjustment" in TO5 Cycle 4.</t>
  </si>
  <si>
    <t>Reversal of footnote 2 on the 2019 Wildfire Mitigation Plan expenses above.</t>
  </si>
  <si>
    <t xml:space="preserve">   Other Cost Adjustments (incl. in ER22-133)</t>
  </si>
  <si>
    <t>Sum Lines 21 thru 35</t>
  </si>
  <si>
    <t>Line 36 + Line 37</t>
  </si>
  <si>
    <t>Line 38 x Line 39</t>
  </si>
  <si>
    <t>Negative of Line 40 x Line 61</t>
  </si>
  <si>
    <t>Line 40 + Line 41</t>
  </si>
  <si>
    <t>Sum Lines 45 thru 48</t>
  </si>
  <si>
    <t>Line 45 Above</t>
  </si>
  <si>
    <t>Sum Lines 51 thru 58</t>
  </si>
  <si>
    <t>Line 49 / Line 59</t>
  </si>
  <si>
    <t xml:space="preserve">Items in bold have changed due to A&amp;G adj. on WMPMA exclusion reversal compared to the original SX-PQ Appendix XII Cycle 3 filing per ER21-320 and cost adjustments </t>
  </si>
  <si>
    <t xml:space="preserve">included in Appendix XII Cycle 4 per ER22-133.  </t>
  </si>
  <si>
    <t>Pg8.2 Rev AH-3; Line 21; Col. f</t>
  </si>
  <si>
    <t>Pg8 Rev Statement AH; Line 43</t>
  </si>
  <si>
    <t>Pg8 Rev Statement AH; Line 42</t>
  </si>
  <si>
    <t>Items in bold have changed due to A&amp;G adj. on WMPMA exclusion reversal compared to the original SX-PQ Appendix XII Cycle 3 filing per ER21-320 and cost adjustments included in Appendix XII Cycle 4 per ER22-133.</t>
  </si>
  <si>
    <t>Pg9 Rev Statement AL; Line 19</t>
  </si>
  <si>
    <t>Pg12 Rev AV-4; Page 1; Line 26</t>
  </si>
  <si>
    <t>Pg12 Rev AV-4; Line 6</t>
  </si>
  <si>
    <t>Statement AH; Line 19</t>
  </si>
  <si>
    <t>Pg7 Section 4; Page TU; Col. 11; Line 21</t>
  </si>
  <si>
    <t xml:space="preserve">and cost adjustments included in Appendix XII Cycle 4 per ER22-133.  </t>
  </si>
  <si>
    <t xml:space="preserve">Items in bold have changed due to A&amp;G adj. on WMPMA exclusion reversal compared to the original SX-PQ Appendix XII Cycle 3 filing per ER21-320 </t>
  </si>
  <si>
    <t>In this Appendix XII Cycle 6 Informational Filing, SDG&amp;E is correcting Appendix XII Cycle 3 for approximately $2K for 2019 adjustments to A&amp;G.</t>
  </si>
  <si>
    <t>Page 14; Line 68; Col. 5</t>
  </si>
  <si>
    <t>Items in bold have changed due to A&amp;G adj. on WMPMA exclusion reversal compared to the original SX-PQ Appendix XII Cycle 3 filing per ER21-320 and cost adj. incl.in Appendix XII Cycle 4 per ER22-133.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</si>
</sst>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_);_(* \(#,##0.000\);_(* &quot;-&quot;??_);_(@_)"/>
    <numFmt numFmtId="168" formatCode="#,##0.0_);\(#,##0.0\)"/>
    <numFmt numFmtId="169" formatCode="0.000000"/>
    <numFmt numFmtId="170" formatCode="00000"/>
    <numFmt numFmtId="171" formatCode="General_)"/>
    <numFmt numFmtId="172" formatCode="000"/>
    <numFmt numFmtId="173" formatCode="0000"/>
    <numFmt numFmtId="174" formatCode="mm\-dd\-yy"/>
    <numFmt numFmtId="175" formatCode="_(&quot;$&quot;* #,##0.000_);_(&quot;$&quot;* \(#,##0.000\);_(&quot;$&quot;* &quot;-&quot;??_);_(@_)"/>
    <numFmt numFmtId="176" formatCode="0_);\(0\)"/>
    <numFmt numFmtId="177" formatCode="0.00000%"/>
    <numFmt numFmtId="178" formatCode="&quot;$&quot;#,##0"/>
    <numFmt numFmtId="179" formatCode="&quot;Pr:&quot;\ #,##0"/>
    <numFmt numFmtId="180" formatCode="#,##0.0_);[Red]\(#,##0.0\)"/>
    <numFmt numFmtId="181" formatCode="#,##0_%_);\(#,##0\)_%;#,##0_%_);@_%_)"/>
    <numFmt numFmtId="182" formatCode="#,##0.00_%_);\(#,##0.00\)_%;#,##0.00_%_);@_%_)"/>
    <numFmt numFmtId="183" formatCode="&quot;$&quot;#,##0_%_);\(&quot;$&quot;#,##0\)_%;&quot;$&quot;#,##0_%_);@_%_)"/>
    <numFmt numFmtId="184" formatCode="&quot;$&quot;#,##0.00_%_);\(&quot;$&quot;#,##0.00\)_%;&quot;$&quot;#,##0.00_%_);@_%_)"/>
    <numFmt numFmtId="185" formatCode="m/d/yy_%_)"/>
    <numFmt numFmtId="186" formatCode="#,##0&quot; F&quot;_);\(#,##0&quot; F&quot;\)"/>
    <numFmt numFmtId="187" formatCode="_-* #,##0_-;\-* #,##0_-;_-* &quot;-&quot;_-;_-@_-"/>
    <numFmt numFmtId="188" formatCode="_-* #,##0.00_-;\-* #,##0.00_-;_-* &quot;-&quot;??_-;_-@_-"/>
    <numFmt numFmtId="189" formatCode="0_%_);\(0\)_%;0_%_);@_%_)"/>
    <numFmt numFmtId="190" formatCode="_([$€-2]* #,##0.00_);_([$€-2]* \(#,##0.00\);_([$€-2]* &quot;-&quot;??_)"/>
    <numFmt numFmtId="191" formatCode="#,##0.0000000000_);\(#,##0.0000000000\)"/>
    <numFmt numFmtId="192" formatCode="0.0\%_);\(0.0\%\);0.0\%_);@_%_)"/>
    <numFmt numFmtId="193" formatCode="#,##0.0;\(#,##0.0\)"/>
    <numFmt numFmtId="194" formatCode="\ #,##0\ &quot;m³ &quot;;[Red]\-#,##0\ &quot;m³ &quot;"/>
    <numFmt numFmtId="195" formatCode="0.0\x_)_);&quot;NM&quot;_x_)_);0.0\x_)_);@_%_)"/>
    <numFmt numFmtId="196" formatCode="0.00_)"/>
    <numFmt numFmtId="197" formatCode="&quot;$&quot;#,##0.0_);\(&quot;$&quot;#,##0.0\)"/>
    <numFmt numFmtId="198" formatCode="&quot;yr &quot;0"/>
    <numFmt numFmtId="199" formatCode="&quot;Momth &quot;0"/>
    <numFmt numFmtId="200" formatCode="&quot;£&quot;#,##0.00;\-&quot;£&quot;#,##0.00"/>
    <numFmt numFmtId="201" formatCode="0.0%"/>
    <numFmt numFmtId="202" formatCode="_(&quot;$&quot;* #,##0_);_(&quot;$&quot;* \(#,##0\)"/>
    <numFmt numFmtId="203" formatCode="_(&quot;$&quot;* #,##0,_);_(&quot;$&quot;* \(#,##0,\);_(&quot;$&quot;* &quot;-&quot;??_);_(@_)"/>
    <numFmt numFmtId="204" formatCode="&quot;$&quot;#,##0,_);[Red]\(&quot;$&quot;#,##0,\)"/>
    <numFmt numFmtId="205" formatCode="0.000"/>
  </numFmts>
  <fonts count="16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u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name val="Arial"/>
      <family val="2"/>
    </font>
    <font>
      <vertAlign val="superscript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b/>
      <vertAlign val="superscript"/>
      <sz val="13"/>
      <name val="Times New Roman"/>
      <family val="1"/>
    </font>
  </fonts>
  <fills count="1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</borders>
  <cellStyleXfs count="3810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43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30" fillId="40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3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50" borderId="0" applyNumberFormat="0" applyBorder="0" applyAlignment="0" applyProtection="0"/>
    <xf numFmtId="171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7" fillId="56" borderId="23" applyNumberFormat="0" applyProtection="0">
      <alignment vertical="center"/>
    </xf>
    <xf numFmtId="4" fontId="35" fillId="56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19" fillId="59" borderId="23" applyNumberFormat="0" applyProtection="0">
      <alignment vertical="center"/>
    </xf>
    <xf numFmtId="4" fontId="35" fillId="6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7" fillId="62" borderId="23" applyNumberFormat="0" applyProtection="0">
      <alignment vertical="center"/>
    </xf>
    <xf numFmtId="4" fontId="35" fillId="63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38" fillId="56" borderId="23" applyNumberFormat="0" applyProtection="0">
      <alignment vertical="center"/>
    </xf>
    <xf numFmtId="4" fontId="33" fillId="65" borderId="24" applyNumberFormat="0" applyProtection="0">
      <alignment horizontal="left" vertical="center" indent="1"/>
    </xf>
    <xf numFmtId="4" fontId="33" fillId="66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4" fontId="39" fillId="67" borderId="23" applyNumberFormat="0" applyProtection="0">
      <alignment horizontal="left" vertical="center" indent="1"/>
    </xf>
    <xf numFmtId="4" fontId="40" fillId="66" borderId="0" applyNumberFormat="0" applyProtection="0">
      <alignment horizontal="left" vertical="center" indent="1"/>
    </xf>
    <xf numFmtId="4" fontId="40" fillId="55" borderId="0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23" fillId="70" borderId="25" applyNumberFormat="0">
      <protection locked="0"/>
    </xf>
    <xf numFmtId="0" fontId="14" fillId="71" borderId="26" applyBorder="0"/>
    <xf numFmtId="4" fontId="35" fillId="69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33" fillId="66" borderId="27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4" fontId="35" fillId="69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33" fillId="66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2" fillId="67" borderId="23" applyNumberFormat="0" applyProtection="0">
      <alignment vertical="center"/>
    </xf>
    <xf numFmtId="4" fontId="43" fillId="67" borderId="23" applyNumberFormat="0" applyProtection="0">
      <alignment vertical="center"/>
    </xf>
    <xf numFmtId="4" fontId="44" fillId="72" borderId="23" applyNumberFormat="0" applyProtection="0">
      <alignment horizontal="left" vertical="center" indent="1"/>
    </xf>
    <xf numFmtId="4" fontId="45" fillId="68" borderId="27" applyNumberFormat="0" applyProtection="0">
      <alignment horizontal="left" vertical="center" indent="1"/>
    </xf>
    <xf numFmtId="0" fontId="23" fillId="73" borderId="28"/>
    <xf numFmtId="4" fontId="46" fillId="69" borderId="22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/>
    <xf numFmtId="0" fontId="49" fillId="0" borderId="29" applyNumberFormat="0" applyFill="0" applyProtection="0">
      <alignment horizontal="center"/>
    </xf>
    <xf numFmtId="0" fontId="50" fillId="0" borderId="0" applyNumberFormat="0" applyFill="0" applyBorder="0" applyProtection="0">
      <alignment horizontal="centerContinuous"/>
    </xf>
    <xf numFmtId="172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6" borderId="0" applyNumberFormat="0" applyBorder="0" applyAlignment="0" applyProtection="0"/>
    <xf numFmtId="0" fontId="57" fillId="79" borderId="30" applyNumberFormat="0" applyAlignment="0" applyProtection="0"/>
    <xf numFmtId="0" fontId="57" fillId="79" borderId="30" applyNumberFormat="0" applyAlignment="0" applyProtection="0"/>
    <xf numFmtId="0" fontId="58" fillId="9" borderId="16" applyNumberFormat="0" applyAlignment="0" applyProtection="0"/>
    <xf numFmtId="0" fontId="59" fillId="77" borderId="31" applyNumberFormat="0" applyAlignment="0" applyProtection="0"/>
    <xf numFmtId="0" fontId="59" fillId="77" borderId="31" applyNumberFormat="0" applyAlignment="0" applyProtection="0"/>
    <xf numFmtId="0" fontId="60" fillId="10" borderId="19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61" fillId="0" borderId="0" applyFont="0">
      <alignment horizontal="center"/>
    </xf>
    <xf numFmtId="0" fontId="62" fillId="0" borderId="0" applyNumberFormat="0" applyFill="0" applyBorder="0" applyAlignment="0" applyProtection="0"/>
    <xf numFmtId="1" fontId="51" fillId="0" borderId="0" applyFo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3" fillId="5" borderId="0" applyNumberFormat="0" applyBorder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5" fillId="0" borderId="1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7" fillId="0" borderId="1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9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9" borderId="30" applyNumberFormat="0" applyAlignment="0" applyProtection="0"/>
    <xf numFmtId="0" fontId="70" fillId="49" borderId="30" applyNumberFormat="0" applyAlignment="0" applyProtection="0"/>
    <xf numFmtId="0" fontId="71" fillId="8" borderId="16" applyNumberFormat="0" applyAlignment="0" applyProtection="0"/>
    <xf numFmtId="0" fontId="72" fillId="0" borderId="35" applyNumberFormat="0" applyFill="0" applyAlignment="0" applyProtection="0"/>
    <xf numFmtId="0" fontId="72" fillId="0" borderId="35" applyNumberFormat="0" applyFill="0" applyAlignment="0" applyProtection="0"/>
    <xf numFmtId="0" fontId="73" fillId="0" borderId="18" applyNumberFormat="0" applyFill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7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0" fontId="23" fillId="80" borderId="0"/>
    <xf numFmtId="0" fontId="76" fillId="0" borderId="0"/>
    <xf numFmtId="0" fontId="23" fillId="80" borderId="0"/>
    <xf numFmtId="0" fontId="23" fillId="80" borderId="0"/>
    <xf numFmtId="0" fontId="3" fillId="0" borderId="0"/>
    <xf numFmtId="0" fontId="52" fillId="0" borderId="0"/>
    <xf numFmtId="0" fontId="76" fillId="0" borderId="0"/>
    <xf numFmtId="0" fontId="3" fillId="0" borderId="0"/>
    <xf numFmtId="0" fontId="3" fillId="0" borderId="0"/>
    <xf numFmtId="0" fontId="23" fillId="80" borderId="0"/>
    <xf numFmtId="0" fontId="23" fillId="80" borderId="0"/>
    <xf numFmtId="0" fontId="3" fillId="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3" fillId="0" borderId="0"/>
    <xf numFmtId="0" fontId="3" fillId="0" borderId="0"/>
    <xf numFmtId="0" fontId="23" fillId="80" borderId="0"/>
    <xf numFmtId="0" fontId="23" fillId="80" borderId="0"/>
    <xf numFmtId="0" fontId="23" fillId="80" borderId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77" fillId="11" borderId="20" applyNumberFormat="0" applyFont="0" applyAlignment="0" applyProtection="0"/>
    <xf numFmtId="0" fontId="78" fillId="79" borderId="36" applyNumberFormat="0" applyAlignment="0" applyProtection="0"/>
    <xf numFmtId="0" fontId="78" fillId="79" borderId="36" applyNumberFormat="0" applyAlignment="0" applyProtection="0"/>
    <xf numFmtId="0" fontId="79" fillId="9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81" fillId="0" borderId="11">
      <alignment horizontal="center"/>
    </xf>
    <xf numFmtId="3" fontId="80" fillId="0" borderId="0" applyFont="0" applyFill="0" applyBorder="0" applyAlignment="0" applyProtection="0"/>
    <xf numFmtId="0" fontId="80" fillId="81" borderId="0" applyNumberFormat="0" applyFont="0" applyBorder="0" applyAlignment="0" applyProtection="0"/>
    <xf numFmtId="4" fontId="33" fillId="54" borderId="22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36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36" fillId="82" borderId="22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36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82" fillId="54" borderId="36" applyNumberFormat="0" applyProtection="0">
      <alignment vertical="center"/>
    </xf>
    <xf numFmtId="4" fontId="83" fillId="54" borderId="30" applyNumberFormat="0" applyProtection="0">
      <alignment vertical="center"/>
    </xf>
    <xf numFmtId="4" fontId="34" fillId="54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84" fillId="82" borderId="22" applyNumberFormat="0" applyProtection="0">
      <alignment horizontal="left" vertical="top" indent="1"/>
    </xf>
    <xf numFmtId="4" fontId="40" fillId="54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63" borderId="36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63" borderId="36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36" fillId="99" borderId="36" applyNumberFormat="0" applyProtection="0">
      <alignment horizontal="left" vertical="center" indent="1"/>
    </xf>
    <xf numFmtId="4" fontId="36" fillId="98" borderId="24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3" fillId="65" borderId="24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6" fillId="98" borderId="24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33" fillId="66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66" borderId="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40" fillId="55" borderId="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70" borderId="25" applyNumberFormat="0">
      <protection locked="0"/>
    </xf>
    <xf numFmtId="0" fontId="23" fillId="70" borderId="25" applyNumberFormat="0">
      <protection locked="0"/>
    </xf>
    <xf numFmtId="0" fontId="23" fillId="70" borderId="25" applyNumberFormat="0">
      <protection locked="0"/>
    </xf>
    <xf numFmtId="0" fontId="23" fillId="70" borderId="25" applyNumberFormat="0">
      <protection locked="0"/>
    </xf>
    <xf numFmtId="0" fontId="23" fillId="70" borderId="25" applyNumberFormat="0">
      <protection locked="0"/>
    </xf>
    <xf numFmtId="4" fontId="40" fillId="72" borderId="36" applyNumberFormat="0" applyProtection="0">
      <alignment vertical="center"/>
    </xf>
    <xf numFmtId="4" fontId="40" fillId="72" borderId="36" applyNumberFormat="0" applyProtection="0">
      <alignment vertical="center"/>
    </xf>
    <xf numFmtId="4" fontId="85" fillId="108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36" applyNumberFormat="0" applyProtection="0">
      <alignment vertical="center"/>
    </xf>
    <xf numFmtId="4" fontId="35" fillId="69" borderId="22" applyNumberFormat="0" applyProtection="0">
      <alignment vertical="center"/>
    </xf>
    <xf numFmtId="4" fontId="82" fillId="72" borderId="36" applyNumberFormat="0" applyProtection="0">
      <alignment vertical="center"/>
    </xf>
    <xf numFmtId="4" fontId="83" fillId="72" borderId="28" applyNumberFormat="0" applyProtection="0">
      <alignment vertical="center"/>
    </xf>
    <xf numFmtId="4" fontId="41" fillId="69" borderId="22" applyNumberFormat="0" applyProtection="0">
      <alignment vertical="center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85" fillId="104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0" fontId="85" fillId="108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4" fontId="35" fillId="69" borderId="22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82" fillId="100" borderId="36" applyNumberFormat="0" applyProtection="0">
      <alignment horizontal="right" vertical="center"/>
    </xf>
    <xf numFmtId="4" fontId="83" fillId="67" borderId="30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33" fillId="66" borderId="22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85" fillId="102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86" fillId="0" borderId="0"/>
    <xf numFmtId="4" fontId="87" fillId="109" borderId="37" applyNumberFormat="0" applyProtection="0">
      <alignment horizontal="left" vertical="center" indent="1"/>
    </xf>
    <xf numFmtId="0" fontId="86" fillId="0" borderId="0"/>
    <xf numFmtId="0" fontId="86" fillId="0" borderId="0"/>
    <xf numFmtId="4" fontId="45" fillId="68" borderId="27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0" fontId="23" fillId="73" borderId="28"/>
    <xf numFmtId="0" fontId="23" fillId="73" borderId="28"/>
    <xf numFmtId="0" fontId="23" fillId="73" borderId="28"/>
    <xf numFmtId="0" fontId="23" fillId="73" borderId="28"/>
    <xf numFmtId="0" fontId="23" fillId="73" borderId="28"/>
    <xf numFmtId="0" fontId="23" fillId="73" borderId="28"/>
    <xf numFmtId="0" fontId="23" fillId="73" borderId="28"/>
    <xf numFmtId="0" fontId="23" fillId="73" borderId="28"/>
    <xf numFmtId="0" fontId="23" fillId="73" borderId="28"/>
    <xf numFmtId="4" fontId="88" fillId="100" borderId="36" applyNumberFormat="0" applyProtection="0">
      <alignment horizontal="right" vertical="center"/>
    </xf>
    <xf numFmtId="4" fontId="89" fillId="70" borderId="30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0" fontId="90" fillId="110" borderId="0"/>
    <xf numFmtId="49" fontId="91" fillId="110" borderId="0"/>
    <xf numFmtId="49" fontId="92" fillId="110" borderId="39"/>
    <xf numFmtId="49" fontId="92" fillId="110" borderId="0"/>
    <xf numFmtId="0" fontId="90" fillId="67" borderId="39">
      <protection locked="0"/>
    </xf>
    <xf numFmtId="0" fontId="90" fillId="110" borderId="0"/>
    <xf numFmtId="0" fontId="93" fillId="61" borderId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94" fillId="0" borderId="2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3" fillId="0" borderId="0"/>
    <xf numFmtId="0" fontId="77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171" fontId="31" fillId="0" borderId="0"/>
    <xf numFmtId="171" fontId="31" fillId="0" borderId="0"/>
    <xf numFmtId="0" fontId="96" fillId="6" borderId="0" applyNumberFormat="0" applyBorder="0" applyAlignment="0" applyProtection="0"/>
    <xf numFmtId="0" fontId="56" fillId="6" borderId="0" applyNumberFormat="0" applyBorder="0" applyAlignment="0" applyProtection="0"/>
    <xf numFmtId="0" fontId="97" fillId="9" borderId="16" applyNumberFormat="0" applyAlignment="0" applyProtection="0"/>
    <xf numFmtId="0" fontId="58" fillId="9" borderId="16" applyNumberFormat="0" applyAlignment="0" applyProtection="0"/>
    <xf numFmtId="0" fontId="98" fillId="10" borderId="19" applyNumberFormat="0" applyAlignment="0" applyProtection="0"/>
    <xf numFmtId="0" fontId="60" fillId="10" borderId="19" applyNumberFormat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9" fillId="5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3" fillId="5" borderId="0" applyNumberFormat="0" applyBorder="0" applyAlignment="0" applyProtection="0"/>
    <xf numFmtId="0" fontId="29" fillId="43" borderId="0" applyNumberFormat="0" applyBorder="0" applyAlignment="0" applyProtection="0"/>
    <xf numFmtId="0" fontId="100" fillId="0" borderId="13" applyNumberFormat="0" applyFill="0" applyAlignment="0" applyProtection="0"/>
    <xf numFmtId="0" fontId="65" fillId="0" borderId="13" applyNumberFormat="0" applyFill="0" applyAlignment="0" applyProtection="0"/>
    <xf numFmtId="0" fontId="101" fillId="0" borderId="14" applyNumberFormat="0" applyFill="0" applyAlignment="0" applyProtection="0"/>
    <xf numFmtId="0" fontId="67" fillId="0" borderId="14" applyNumberFormat="0" applyFill="0" applyAlignment="0" applyProtection="0"/>
    <xf numFmtId="0" fontId="102" fillId="0" borderId="15" applyNumberFormat="0" applyFill="0" applyAlignment="0" applyProtection="0"/>
    <xf numFmtId="0" fontId="69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8" borderId="16" applyNumberFormat="0" applyAlignment="0" applyProtection="0"/>
    <xf numFmtId="0" fontId="71" fillId="8" borderId="16" applyNumberFormat="0" applyAlignment="0" applyProtection="0"/>
    <xf numFmtId="0" fontId="104" fillId="0" borderId="18" applyNumberFormat="0" applyFill="0" applyAlignment="0" applyProtection="0"/>
    <xf numFmtId="0" fontId="73" fillId="0" borderId="18" applyNumberFormat="0" applyFill="0" applyAlignment="0" applyProtection="0"/>
    <xf numFmtId="0" fontId="105" fillId="7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7" borderId="0" applyNumberFormat="0" applyBorder="0" applyAlignment="0" applyProtection="0"/>
    <xf numFmtId="0" fontId="72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23" fillId="8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3" fillId="80" borderId="0"/>
    <xf numFmtId="0" fontId="23" fillId="80" borderId="0"/>
    <xf numFmtId="0" fontId="10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3" fillId="48" borderId="3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77" fillId="11" borderId="20" applyNumberFormat="0" applyFont="0" applyAlignment="0" applyProtection="0"/>
    <xf numFmtId="0" fontId="107" fillId="9" borderId="17" applyNumberFormat="0" applyAlignment="0" applyProtection="0"/>
    <xf numFmtId="0" fontId="79" fillId="9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83" fillId="54" borderId="30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23" fillId="70" borderId="25" applyNumberFormat="0">
      <protection locked="0"/>
    </xf>
    <xf numFmtId="0" fontId="23" fillId="70" borderId="25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70" borderId="25" applyNumberFormat="0">
      <protection locked="0"/>
    </xf>
    <xf numFmtId="4" fontId="85" fillId="108" borderId="22" applyNumberFormat="0" applyProtection="0">
      <alignment vertical="center"/>
    </xf>
    <xf numFmtId="4" fontId="83" fillId="72" borderId="28" applyNumberFormat="0" applyProtection="0">
      <alignment vertical="center"/>
    </xf>
    <xf numFmtId="4" fontId="85" fillId="104" borderId="22" applyNumberFormat="0" applyProtection="0">
      <alignment horizontal="left" vertical="center" indent="1"/>
    </xf>
    <xf numFmtId="0" fontId="85" fillId="108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3" fillId="67" borderId="30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0" fontId="23" fillId="73" borderId="28"/>
    <xf numFmtId="4" fontId="89" fillId="70" borderId="30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94" fillId="0" borderId="21" applyNumberFormat="0" applyFill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54" borderId="22" applyNumberFormat="0" applyProtection="0">
      <alignment horizontal="left" vertical="top" indent="1"/>
    </xf>
    <xf numFmtId="0" fontId="59" fillId="77" borderId="42" applyNumberFormat="0" applyAlignment="0" applyProtection="0"/>
    <xf numFmtId="0" fontId="59" fillId="77" borderId="42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41">
      <alignment horizont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13" fillId="54" borderId="22" applyNumberFormat="0" applyProtection="0">
      <alignment vertical="center"/>
    </xf>
    <xf numFmtId="44" fontId="3" fillId="0" borderId="0" applyFont="0" applyFill="0" applyBorder="0" applyAlignment="0" applyProtection="0"/>
    <xf numFmtId="4" fontId="88" fillId="101" borderId="22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8" borderId="22" applyNumberFormat="0" applyProtection="0">
      <alignment horizontal="left" vertical="top" indent="1"/>
    </xf>
    <xf numFmtId="0" fontId="52" fillId="11" borderId="20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66" borderId="22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9" borderId="22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5" borderId="22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2" fillId="72" borderId="22" applyNumberFormat="0" applyProtection="0">
      <alignment vertical="center"/>
    </xf>
    <xf numFmtId="4" fontId="45" fillId="109" borderId="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77" borderId="5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77" borderId="56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4" fontId="3" fillId="0" borderId="0" applyFont="0" applyFill="0" applyBorder="0" applyAlignment="0" applyProtection="0"/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43" fontId="3" fillId="0" borderId="0" applyFont="0" applyFill="0" applyBorder="0" applyAlignment="0" applyProtection="0"/>
    <xf numFmtId="0" fontId="3" fillId="0" borderId="0"/>
    <xf numFmtId="4" fontId="33" fillId="65" borderId="59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6" fontId="3" fillId="0" borderId="0">
      <protection locked="0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58"/>
    <xf numFmtId="0" fontId="3" fillId="69" borderId="80" applyNumberFormat="0" applyProtection="0">
      <alignment horizontal="left" vertical="top" indent="1"/>
    </xf>
    <xf numFmtId="0" fontId="111" fillId="0" borderId="0"/>
    <xf numFmtId="41" fontId="2" fillId="0" borderId="0" applyFont="0" applyFill="0" applyBorder="0" applyAlignment="0" applyProtection="0"/>
    <xf numFmtId="4" fontId="40" fillId="102" borderId="80" applyNumberFormat="0" applyProtection="0">
      <alignment horizontal="left" vertical="center" inden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9" fillId="0" borderId="61" applyNumberFormat="0" applyFill="0" applyProtection="0">
      <alignment horizontal="center"/>
    </xf>
    <xf numFmtId="4" fontId="40" fillId="102" borderId="80" applyNumberFormat="0" applyProtection="0">
      <alignment horizontal="left" vertical="center" indent="1"/>
    </xf>
    <xf numFmtId="171" fontId="115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40" fillId="112" borderId="0" applyNumberFormat="0" applyBorder="0" applyAlignment="0" applyProtection="0"/>
    <xf numFmtId="0" fontId="40" fillId="112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113" borderId="0" applyNumberFormat="0" applyBorder="0" applyAlignment="0" applyProtection="0"/>
    <xf numFmtId="0" fontId="40" fillId="113" borderId="0" applyNumberFormat="0" applyBorder="0" applyAlignment="0" applyProtection="0"/>
    <xf numFmtId="0" fontId="40" fillId="114" borderId="0" applyNumberFormat="0" applyBorder="0" applyAlignment="0" applyProtection="0"/>
    <xf numFmtId="0" fontId="40" fillId="114" borderId="0" applyNumberFormat="0" applyBorder="0" applyAlignment="0" applyProtection="0"/>
    <xf numFmtId="0" fontId="40" fillId="115" borderId="0" applyNumberFormat="0" applyBorder="0" applyAlignment="0" applyProtection="0"/>
    <xf numFmtId="0" fontId="40" fillId="115" borderId="0" applyNumberFormat="0" applyBorder="0" applyAlignment="0" applyProtection="0"/>
    <xf numFmtId="0" fontId="40" fillId="116" borderId="0" applyNumberFormat="0" applyBorder="0" applyAlignment="0" applyProtection="0"/>
    <xf numFmtId="0" fontId="40" fillId="116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87" borderId="0" applyNumberFormat="0" applyBorder="0" applyAlignment="0" applyProtection="0"/>
    <xf numFmtId="0" fontId="40" fillId="87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114" borderId="0" applyNumberFormat="0" applyBorder="0" applyAlignment="0" applyProtection="0"/>
    <xf numFmtId="0" fontId="40" fillId="114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89" borderId="0" applyNumberFormat="0" applyBorder="0" applyAlignment="0" applyProtection="0"/>
    <xf numFmtId="0" fontId="40" fillId="89" borderId="0" applyNumberFormat="0" applyBorder="0" applyAlignment="0" applyProtection="0"/>
    <xf numFmtId="0" fontId="116" fillId="117" borderId="0" applyNumberFormat="0" applyBorder="0" applyAlignment="0" applyProtection="0"/>
    <xf numFmtId="0" fontId="116" fillId="117" borderId="0" applyNumberFormat="0" applyBorder="0" applyAlignment="0" applyProtection="0"/>
    <xf numFmtId="0" fontId="116" fillId="87" borderId="0" applyNumberFormat="0" applyBorder="0" applyAlignment="0" applyProtection="0"/>
    <xf numFmtId="0" fontId="116" fillId="87" borderId="0" applyNumberFormat="0" applyBorder="0" applyAlignment="0" applyProtection="0"/>
    <xf numFmtId="0" fontId="116" fillId="96" borderId="0" applyNumberFormat="0" applyBorder="0" applyAlignment="0" applyProtection="0"/>
    <xf numFmtId="0" fontId="116" fillId="96" borderId="0" applyNumberFormat="0" applyBorder="0" applyAlignment="0" applyProtection="0"/>
    <xf numFmtId="0" fontId="116" fillId="118" borderId="0" applyNumberFormat="0" applyBorder="0" applyAlignment="0" applyProtection="0"/>
    <xf numFmtId="0" fontId="116" fillId="118" borderId="0" applyNumberFormat="0" applyBorder="0" applyAlignment="0" applyProtection="0"/>
    <xf numFmtId="0" fontId="116" fillId="83" borderId="0" applyNumberFormat="0" applyBorder="0" applyAlignment="0" applyProtection="0"/>
    <xf numFmtId="0" fontId="116" fillId="83" borderId="0" applyNumberFormat="0" applyBorder="0" applyAlignment="0" applyProtection="0"/>
    <xf numFmtId="0" fontId="116" fillId="90" borderId="0" applyNumberFormat="0" applyBorder="0" applyAlignment="0" applyProtection="0"/>
    <xf numFmtId="0" fontId="116" fillId="90" borderId="0" applyNumberFormat="0" applyBorder="0" applyAlignment="0" applyProtection="0"/>
    <xf numFmtId="0" fontId="116" fillId="119" borderId="0" applyNumberFormat="0" applyBorder="0" applyAlignment="0" applyProtection="0"/>
    <xf numFmtId="0" fontId="116" fillId="119" borderId="0" applyNumberFormat="0" applyBorder="0" applyAlignment="0" applyProtection="0"/>
    <xf numFmtId="0" fontId="116" fillId="88" borderId="0" applyNumberFormat="0" applyBorder="0" applyAlignment="0" applyProtection="0"/>
    <xf numFmtId="0" fontId="116" fillId="88" borderId="0" applyNumberFormat="0" applyBorder="0" applyAlignment="0" applyProtection="0"/>
    <xf numFmtId="0" fontId="116" fillId="94" borderId="0" applyNumberFormat="0" applyBorder="0" applyAlignment="0" applyProtection="0"/>
    <xf numFmtId="0" fontId="116" fillId="94" borderId="0" applyNumberFormat="0" applyBorder="0" applyAlignment="0" applyProtection="0"/>
    <xf numFmtId="0" fontId="116" fillId="118" borderId="0" applyNumberFormat="0" applyBorder="0" applyAlignment="0" applyProtection="0"/>
    <xf numFmtId="0" fontId="116" fillId="118" borderId="0" applyNumberFormat="0" applyBorder="0" applyAlignment="0" applyProtection="0"/>
    <xf numFmtId="0" fontId="116" fillId="83" borderId="0" applyNumberFormat="0" applyBorder="0" applyAlignment="0" applyProtection="0"/>
    <xf numFmtId="0" fontId="116" fillId="83" borderId="0" applyNumberFormat="0" applyBorder="0" applyAlignment="0" applyProtection="0"/>
    <xf numFmtId="0" fontId="116" fillId="92" borderId="0" applyNumberFormat="0" applyBorder="0" applyAlignment="0" applyProtection="0"/>
    <xf numFmtId="0" fontId="116" fillId="92" borderId="0" applyNumberFormat="0" applyBorder="0" applyAlignment="0" applyProtection="0"/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0" fontId="117" fillId="85" borderId="0" applyNumberFormat="0" applyBorder="0" applyAlignment="0" applyProtection="0"/>
    <xf numFmtId="0" fontId="117" fillId="85" borderId="0" applyNumberFormat="0" applyBorder="0" applyAlignment="0" applyProtection="0"/>
    <xf numFmtId="3" fontId="118" fillId="0" borderId="0" applyFill="0" applyBorder="0" applyProtection="0">
      <alignment horizontal="right"/>
    </xf>
    <xf numFmtId="180" fontId="119" fillId="0" borderId="0" applyNumberFormat="0" applyFill="0" applyBorder="0" applyAlignment="0" applyProtection="0">
      <alignment horizontal="center"/>
      <protection locked="0"/>
    </xf>
    <xf numFmtId="0" fontId="120" fillId="0" borderId="46" applyFill="0" applyProtection="0">
      <alignment horizontal="right"/>
    </xf>
    <xf numFmtId="0" fontId="121" fillId="104" borderId="63" applyNumberFormat="0" applyAlignment="0" applyProtection="0"/>
    <xf numFmtId="0" fontId="121" fillId="104" borderId="63" applyNumberFormat="0" applyAlignment="0" applyProtection="0"/>
    <xf numFmtId="8" fontId="3" fillId="0" borderId="45" applyFont="0" applyFill="0" applyBorder="0" applyProtection="0">
      <alignment horizontal="right"/>
    </xf>
    <xf numFmtId="0" fontId="122" fillId="120" borderId="56" applyNumberFormat="0" applyAlignment="0" applyProtection="0"/>
    <xf numFmtId="0" fontId="122" fillId="120" borderId="56" applyNumberFormat="0" applyAlignment="0" applyProtection="0"/>
    <xf numFmtId="0" fontId="14" fillId="0" borderId="48">
      <alignment horizontal="center"/>
    </xf>
    <xf numFmtId="181" fontId="123" fillId="0" borderId="0" applyFont="0" applyFill="0" applyBorder="0" applyAlignment="0" applyProtection="0">
      <alignment horizontal="right"/>
    </xf>
    <xf numFmtId="0" fontId="40" fillId="68" borderId="80" applyNumberFormat="0" applyProtection="0">
      <alignment horizontal="left" vertical="top" indent="1"/>
    </xf>
    <xf numFmtId="43" fontId="3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43" fontId="29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4" fontId="88" fillId="101" borderId="80" applyNumberFormat="0" applyProtection="0">
      <alignment horizontal="right"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1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8" fillId="101" borderId="80" applyNumberFormat="0" applyProtection="0">
      <alignment horizontal="right" vertical="center"/>
    </xf>
    <xf numFmtId="40" fontId="3" fillId="0" borderId="0" applyFont="0" applyFill="0" applyBorder="0" applyProtection="0">
      <alignment horizontal="right"/>
    </xf>
    <xf numFmtId="3" fontId="3" fillId="0" borderId="0" applyFont="0" applyFill="0" applyBorder="0" applyAlignment="0" applyProtection="0"/>
    <xf numFmtId="183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44" fontId="29" fillId="0" borderId="0" applyFont="0" applyFill="0" applyBorder="0" applyAlignment="0" applyProtection="0"/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44" fontId="29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3" fillId="0" borderId="0">
      <protection locked="0"/>
    </xf>
    <xf numFmtId="15" fontId="14" fillId="0" borderId="0" applyFill="0" applyBorder="0" applyAlignment="0" applyProtection="0"/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185" fontId="123" fillId="0" borderId="0" applyFont="0" applyFill="0" applyBorder="0" applyAlignment="0" applyProtection="0"/>
    <xf numFmtId="186" fontId="3" fillId="0" borderId="0">
      <protection locked="0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23" fillId="0" borderId="64" applyNumberFormat="0" applyFont="0" applyFill="0" applyAlignment="0" applyProtection="0"/>
    <xf numFmtId="190" fontId="3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9" fontId="80" fillId="0" borderId="0"/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37" fontId="23" fillId="0" borderId="0"/>
    <xf numFmtId="0" fontId="128" fillId="113" borderId="0" applyNumberFormat="0" applyBorder="0" applyAlignment="0" applyProtection="0"/>
    <xf numFmtId="0" fontId="128" fillId="113" borderId="0" applyNumberFormat="0" applyBorder="0" applyAlignment="0" applyProtection="0"/>
    <xf numFmtId="38" fontId="23" fillId="4" borderId="0" applyNumberFormat="0" applyBorder="0" applyAlignment="0" applyProtection="0"/>
    <xf numFmtId="192" fontId="123" fillId="0" borderId="0" applyFont="0" applyFill="0" applyBorder="0" applyAlignment="0" applyProtection="0">
      <alignment horizontal="right"/>
    </xf>
    <xf numFmtId="0" fontId="129" fillId="0" borderId="0" applyNumberFormat="0" applyFill="0" applyBorder="0" applyAlignment="0" applyProtection="0"/>
    <xf numFmtId="0" fontId="20" fillId="0" borderId="0" applyFill="0" applyBorder="0" applyProtection="0">
      <alignment horizontal="right"/>
    </xf>
    <xf numFmtId="0" fontId="130" fillId="0" borderId="65" applyNumberFormat="0" applyFill="0" applyAlignment="0" applyProtection="0"/>
    <xf numFmtId="0" fontId="130" fillId="0" borderId="65" applyNumberFormat="0" applyFill="0" applyAlignment="0" applyProtection="0"/>
    <xf numFmtId="0" fontId="131" fillId="0" borderId="66" applyNumberFormat="0" applyFill="0" applyAlignment="0" applyProtection="0"/>
    <xf numFmtId="0" fontId="131" fillId="0" borderId="66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1" fillId="0" borderId="68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3" fontId="134" fillId="0" borderId="0"/>
    <xf numFmtId="10" fontId="23" fillId="72" borderId="58" applyNumberFormat="0" applyBorder="0" applyAlignment="0" applyProtection="0"/>
    <xf numFmtId="0" fontId="135" fillId="116" borderId="63" applyNumberFormat="0" applyAlignment="0" applyProtection="0"/>
    <xf numFmtId="0" fontId="135" fillId="116" borderId="63" applyNumberFormat="0" applyAlignment="0" applyProtection="0"/>
    <xf numFmtId="10" fontId="23" fillId="72" borderId="0">
      <protection locked="0"/>
    </xf>
    <xf numFmtId="0" fontId="136" fillId="0" borderId="69">
      <alignment horizontal="right"/>
    </xf>
    <xf numFmtId="0" fontId="136" fillId="0" borderId="69">
      <alignment horizontal="left"/>
    </xf>
    <xf numFmtId="0" fontId="137" fillId="0" borderId="70" applyNumberFormat="0" applyFill="0" applyAlignment="0" applyProtection="0"/>
    <xf numFmtId="0" fontId="137" fillId="0" borderId="70" applyNumberFormat="0" applyFill="0" applyAlignment="0" applyProtection="0"/>
    <xf numFmtId="180" fontId="23" fillId="0" borderId="0" applyNumberFormat="0" applyFont="0" applyFill="0" applyBorder="0" applyAlignment="0">
      <protection hidden="1"/>
    </xf>
    <xf numFmtId="194" fontId="124" fillId="0" borderId="47">
      <alignment horizontal="right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123" fillId="0" borderId="0" applyFont="0" applyFill="0" applyBorder="0" applyAlignment="0" applyProtection="0">
      <alignment horizontal="right"/>
    </xf>
    <xf numFmtId="0" fontId="138" fillId="82" borderId="0" applyNumberFormat="0" applyBorder="0" applyAlignment="0" applyProtection="0"/>
    <xf numFmtId="0" fontId="138" fillId="82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3" fontId="139" fillId="0" borderId="0"/>
    <xf numFmtId="0" fontId="29" fillId="0" borderId="0"/>
    <xf numFmtId="0" fontId="29" fillId="0" borderId="0"/>
    <xf numFmtId="0" fontId="3" fillId="0" borderId="0"/>
    <xf numFmtId="169" fontId="3" fillId="0" borderId="0">
      <alignment horizontal="left" wrapText="1"/>
    </xf>
    <xf numFmtId="169" fontId="23" fillId="0" borderId="0">
      <alignment horizontal="left" wrapText="1"/>
    </xf>
    <xf numFmtId="169" fontId="3" fillId="0" borderId="0">
      <alignment horizontal="left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0" fontId="29" fillId="0" borderId="0"/>
    <xf numFmtId="169" fontId="23" fillId="0" borderId="0">
      <alignment horizontal="left" wrapText="1"/>
    </xf>
    <xf numFmtId="0" fontId="29" fillId="0" borderId="0"/>
    <xf numFmtId="37" fontId="115" fillId="0" borderId="0"/>
    <xf numFmtId="37" fontId="1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169" fontId="3" fillId="0" borderId="0">
      <alignment horizontal="left" wrapText="1"/>
    </xf>
    <xf numFmtId="180" fontId="14" fillId="0" borderId="0" applyNumberFormat="0" applyFill="0" applyBorder="0" applyAlignment="0" applyProtection="0"/>
    <xf numFmtId="0" fontId="29" fillId="11" borderId="20" applyNumberFormat="0" applyFont="0" applyAlignment="0" applyProtection="0"/>
    <xf numFmtId="0" fontId="40" fillId="108" borderId="71" applyNumberFormat="0" applyFont="0" applyAlignment="0" applyProtection="0"/>
    <xf numFmtId="0" fontId="40" fillId="108" borderId="71" applyNumberFormat="0" applyFont="0" applyAlignment="0" applyProtection="0"/>
    <xf numFmtId="0" fontId="140" fillId="104" borderId="36" applyNumberFormat="0" applyAlignment="0" applyProtection="0"/>
    <xf numFmtId="0" fontId="140" fillId="104" borderId="36" applyNumberFormat="0" applyAlignment="0" applyProtection="0"/>
    <xf numFmtId="1" fontId="141" fillId="0" borderId="0" applyProtection="0">
      <alignment horizontal="right"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4" fillId="0" borderId="0" applyFont="0" applyFill="0" applyBorder="0" applyAlignment="0" applyProtection="0"/>
    <xf numFmtId="189" fontId="145" fillId="0" borderId="78" applyBorder="0" applyProtection="0">
      <alignment horizontal="right"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7" fontId="80" fillId="0" borderId="0" applyFont="0" applyFill="0" applyBorder="0" applyProtection="0">
      <alignment horizontal="right"/>
    </xf>
    <xf numFmtId="0" fontId="3" fillId="0" borderId="0">
      <protection locked="0"/>
    </xf>
    <xf numFmtId="0" fontId="24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81" fillId="0" borderId="69">
      <alignment horizontal="center"/>
    </xf>
    <xf numFmtId="0" fontId="81" fillId="0" borderId="69">
      <alignment horizontal="center"/>
    </xf>
    <xf numFmtId="0" fontId="81" fillId="0" borderId="69">
      <alignment horizontal="center"/>
    </xf>
    <xf numFmtId="0" fontId="81" fillId="0" borderId="69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81" borderId="0" applyNumberFormat="0" applyFont="0" applyBorder="0" applyAlignment="0" applyProtection="0"/>
    <xf numFmtId="0" fontId="80" fillId="81" borderId="0" applyNumberFormat="0" applyFont="0" applyBorder="0" applyAlignment="0" applyProtection="0"/>
    <xf numFmtId="197" fontId="142" fillId="0" borderId="0"/>
    <xf numFmtId="198" fontId="80" fillId="0" borderId="0" applyFont="0" applyFill="0" applyBorder="0" applyProtection="0">
      <alignment horizontal="right"/>
    </xf>
    <xf numFmtId="199" fontId="80" fillId="0" borderId="0" applyFont="0" applyFill="0" applyBorder="0" applyProtection="0">
      <alignment horizontal="right"/>
    </xf>
    <xf numFmtId="198" fontId="80" fillId="0" borderId="0" applyFont="0" applyFill="0" applyBorder="0" applyProtection="0">
      <alignment horizontal="right"/>
    </xf>
    <xf numFmtId="178" fontId="118" fillId="0" borderId="0" applyFill="0" applyBorder="0" applyProtection="0">
      <alignment horizontal="right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3" fontId="124" fillId="0" borderId="79"/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5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4" fontId="3" fillId="0" borderId="0" applyFont="0" applyFill="0" applyBorder="0" applyAlignment="0" applyProtection="0"/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1" borderId="0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13" fillId="0" borderId="0" applyFill="0" applyBorder="0" applyProtection="0">
      <alignment horizontal="left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0" fillId="121" borderId="72" applyNumberFormat="0" applyFont="0" applyAlignment="0" applyProtection="0"/>
    <xf numFmtId="0" fontId="3" fillId="122" borderId="0"/>
    <xf numFmtId="12" fontId="3" fillId="0" borderId="0" applyFont="0" applyFill="0" applyBorder="0" applyProtection="0">
      <alignment horizontal="right"/>
    </xf>
    <xf numFmtId="200" fontId="80" fillId="123" borderId="0" applyFont="0" applyFill="0" applyBorder="0" applyProtection="0">
      <alignment horizontal="right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0" fillId="0" borderId="0" applyNumberFormat="0" applyBorder="0" applyAlignment="0"/>
    <xf numFmtId="0" fontId="143" fillId="0" borderId="0" applyNumberFormat="0" applyBorder="0" applyAlignment="0"/>
    <xf numFmtId="0" fontId="144" fillId="0" borderId="0" applyNumberFormat="0" applyBorder="0" applyAlignment="0"/>
    <xf numFmtId="0" fontId="143" fillId="0" borderId="0" applyNumberFormat="0" applyBorder="0" applyAlignment="0"/>
    <xf numFmtId="0" fontId="143" fillId="0" borderId="0" applyNumberFormat="0" applyBorder="0" applyAlignment="0"/>
    <xf numFmtId="0" fontId="145" fillId="0" borderId="0" applyBorder="0" applyProtection="0">
      <alignment vertical="center"/>
    </xf>
    <xf numFmtId="189" fontId="145" fillId="0" borderId="57" applyBorder="0" applyProtection="0">
      <alignment horizontal="right" vertical="center"/>
    </xf>
    <xf numFmtId="0" fontId="146" fillId="124" borderId="0" applyBorder="0" applyProtection="0">
      <alignment horizontal="centerContinuous" vertical="center"/>
    </xf>
    <xf numFmtId="0" fontId="146" fillId="125" borderId="57" applyBorder="0" applyProtection="0">
      <alignment horizontal="centerContinuous" vertical="center"/>
    </xf>
    <xf numFmtId="0" fontId="136" fillId="0" borderId="0">
      <alignment horizontal="left"/>
      <protection locked="0"/>
    </xf>
    <xf numFmtId="0" fontId="147" fillId="0" borderId="0" applyFill="0" applyBorder="0" applyProtection="0">
      <alignment horizontal="left"/>
    </xf>
    <xf numFmtId="0" fontId="127" fillId="0" borderId="49" applyFill="0" applyBorder="0" applyProtection="0">
      <alignment horizontal="left" vertical="top"/>
    </xf>
    <xf numFmtId="42" fontId="23" fillId="126" borderId="0" applyNumberFormat="0" applyFont="0" applyBorder="0" applyAlignment="0" applyProtection="0"/>
    <xf numFmtId="0" fontId="23" fillId="0" borderId="0"/>
    <xf numFmtId="0" fontId="148" fillId="0" borderId="0" applyFill="0" applyBorder="0" applyProtection="0">
      <alignment horizontal="left" vertical="top"/>
    </xf>
    <xf numFmtId="0" fontId="149" fillId="0" borderId="0" applyFill="0" applyBorder="0" applyAlignment="0" applyProtection="0"/>
    <xf numFmtId="0" fontId="36" fillId="0" borderId="73" applyNumberFormat="0" applyFill="0" applyAlignment="0" applyProtection="0"/>
    <xf numFmtId="0" fontId="36" fillId="0" borderId="73" applyNumberFormat="0" applyFill="0" applyAlignment="0" applyProtection="0"/>
    <xf numFmtId="3" fontId="124" fillId="0" borderId="44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201" fontId="80" fillId="0" borderId="0">
      <alignment horizontal="left"/>
      <protection locked="0"/>
    </xf>
    <xf numFmtId="180" fontId="150" fillId="0" borderId="0"/>
    <xf numFmtId="38" fontId="23" fillId="54" borderId="0" applyNumberFormat="0" applyBorder="0" applyAlignment="0" applyProtection="0"/>
    <xf numFmtId="37" fontId="23" fillId="4" borderId="0" applyNumberFormat="0" applyBorder="0" applyAlignment="0" applyProtection="0"/>
    <xf numFmtId="37" fontId="23" fillId="0" borderId="0"/>
    <xf numFmtId="37" fontId="23" fillId="54" borderId="0" applyNumberFormat="0" applyBorder="0" applyAlignment="0" applyProtection="0"/>
    <xf numFmtId="3" fontId="151" fillId="0" borderId="68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6" fillId="0" borderId="69">
      <alignment horizontal="right"/>
    </xf>
    <xf numFmtId="37" fontId="23" fillId="0" borderId="0"/>
    <xf numFmtId="202" fontId="23" fillId="0" borderId="0"/>
    <xf numFmtId="37" fontId="23" fillId="0" borderId="0"/>
    <xf numFmtId="4" fontId="88" fillId="101" borderId="80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7" fontId="115" fillId="0" borderId="0"/>
    <xf numFmtId="0" fontId="152" fillId="0" borderId="0"/>
    <xf numFmtId="0" fontId="17" fillId="0" borderId="0"/>
    <xf numFmtId="37" fontId="115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7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88" fillId="101" borderId="80" applyNumberFormat="0" applyProtection="0">
      <alignment horizontal="right" vertical="center"/>
    </xf>
    <xf numFmtId="41" fontId="3" fillId="0" borderId="0" applyFont="0" applyFill="0" applyBorder="0" applyAlignment="0" applyProtection="0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8" fontId="3" fillId="0" borderId="74" applyFont="0" applyFill="0" applyBorder="0" applyProtection="0">
      <alignment horizontal="right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6" fontId="3" fillId="0" borderId="0">
      <protection locked="0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136" fillId="0" borderId="41">
      <alignment horizontal="right"/>
    </xf>
    <xf numFmtId="0" fontId="136" fillId="0" borderId="41">
      <alignment horizontal="left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81" fillId="0" borderId="41">
      <alignment horizontal="center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6" fontId="3" fillId="0" borderId="0">
      <protection locked="0"/>
    </xf>
    <xf numFmtId="44" fontId="3" fillId="0" borderId="0" applyFont="0" applyFill="0" applyBorder="0" applyAlignment="0" applyProtection="0"/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" fillId="0" borderId="0"/>
    <xf numFmtId="189" fontId="145" fillId="0" borderId="43" applyBorder="0" applyProtection="0">
      <alignment horizontal="right" vertical="center"/>
    </xf>
    <xf numFmtId="0" fontId="146" fillId="125" borderId="43" applyBorder="0" applyProtection="0">
      <alignment horizontal="centerContinuous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0" fontId="136" fillId="0" borderId="41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3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78" fillId="79" borderId="76" applyNumberFormat="0" applyAlignment="0" applyProtection="0"/>
    <xf numFmtId="0" fontId="78" fillId="79" borderId="76" applyNumberFormat="0" applyAlignment="0" applyProtection="0"/>
    <xf numFmtId="4" fontId="33" fillId="54" borderId="80" applyNumberFormat="0" applyProtection="0">
      <alignment vertical="center"/>
    </xf>
    <xf numFmtId="4" fontId="40" fillId="54" borderId="76" applyNumberFormat="0" applyProtection="0">
      <alignment vertical="center"/>
    </xf>
    <xf numFmtId="4" fontId="40" fillId="54" borderId="76" applyNumberFormat="0" applyProtection="0">
      <alignment vertical="center"/>
    </xf>
    <xf numFmtId="4" fontId="82" fillId="54" borderId="76" applyNumberFormat="0" applyProtection="0">
      <alignment vertical="center"/>
    </xf>
    <xf numFmtId="4" fontId="34" fillId="54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57" borderId="76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36" fillId="99" borderId="76" applyNumberFormat="0" applyProtection="0">
      <alignment horizontal="left" vertical="center" indent="1"/>
    </xf>
    <xf numFmtId="4" fontId="36" fillId="98" borderId="59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72" borderId="76" applyNumberFormat="0" applyProtection="0">
      <alignment vertical="center"/>
    </xf>
    <xf numFmtId="4" fontId="40" fillId="72" borderId="76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82" fillId="72" borderId="76" applyNumberFormat="0" applyProtection="0">
      <alignment vertical="center"/>
    </xf>
    <xf numFmtId="4" fontId="83" fillId="72" borderId="83" applyNumberFormat="0" applyProtection="0">
      <alignment vertical="center"/>
    </xf>
    <xf numFmtId="4" fontId="41" fillId="69" borderId="80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33" fillId="66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85" fillId="102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5" fillId="68" borderId="82" applyNumberFormat="0" applyProtection="0">
      <alignment horizontal="left" vertical="center" indent="1"/>
    </xf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4" fontId="88" fillId="100" borderId="76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84" borderId="76" applyNumberFormat="0" applyProtection="0">
      <alignment horizontal="left" vertical="center" indent="1"/>
    </xf>
    <xf numFmtId="4" fontId="40" fillId="56" borderId="7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3" fillId="83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22" fillId="0" borderId="0"/>
    <xf numFmtId="43" fontId="22" fillId="0" borderId="0" applyFont="0" applyFill="0" applyBorder="0" applyAlignment="0" applyProtection="0"/>
    <xf numFmtId="4" fontId="36" fillId="82" borderId="80" applyNumberForma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4" fontId="40" fillId="88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40" fillId="108" borderId="86" applyNumberFormat="0" applyFont="0" applyAlignment="0" applyProtection="0"/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2" fillId="0" borderId="0"/>
    <xf numFmtId="0" fontId="2" fillId="0" borderId="0"/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86" borderId="3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40" fillId="54" borderId="76" applyNumberFormat="0" applyProtection="0">
      <alignment vertical="center"/>
    </xf>
    <xf numFmtId="4" fontId="82" fillId="54" borderId="76" applyNumberFormat="0" applyProtection="0">
      <alignment vertical="center"/>
    </xf>
    <xf numFmtId="4" fontId="40" fillId="88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40" fillId="54" borderId="76" applyNumberFormat="0" applyProtection="0">
      <alignment vertical="center"/>
    </xf>
    <xf numFmtId="0" fontId="23" fillId="105" borderId="30" applyNumberFormat="0" applyProtection="0">
      <alignment horizontal="left" vertical="center" indent="1"/>
    </xf>
    <xf numFmtId="0" fontId="122" fillId="120" borderId="56" applyNumberFormat="0" applyAlignment="0" applyProtection="0"/>
    <xf numFmtId="0" fontId="85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40" fillId="64" borderId="76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94" borderId="3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87" fillId="109" borderId="37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85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83" fillId="67" borderId="30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85" fillId="10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83" fillId="72" borderId="83" applyNumberFormat="0" applyProtection="0">
      <alignment vertical="center"/>
    </xf>
    <xf numFmtId="4" fontId="82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40" fillId="72" borderId="80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40" fillId="72" borderId="76" applyNumberFormat="0" applyProtection="0">
      <alignment vertical="center"/>
    </xf>
    <xf numFmtId="4" fontId="35" fillId="62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14" fillId="71" borderId="81" applyBorder="0"/>
    <xf numFmtId="4" fontId="35" fillId="69" borderId="80" applyNumberFormat="0" applyProtection="0">
      <alignment vertical="center"/>
    </xf>
    <xf numFmtId="4" fontId="40" fillId="100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3" fillId="71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73" borderId="83"/>
    <xf numFmtId="4" fontId="40" fillId="96" borderId="80" applyNumberFormat="0" applyProtection="0">
      <alignment horizontal="right" vertical="center"/>
    </xf>
    <xf numFmtId="4" fontId="3" fillId="71" borderId="37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36" fillId="99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5" fillId="62" borderId="8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83" fillId="54" borderId="30" applyNumberFormat="0" applyProtection="0">
      <alignment vertical="center"/>
    </xf>
    <xf numFmtId="4" fontId="82" fillId="54" borderId="76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33" fillId="54" borderId="80" applyNumberFormat="0" applyProtection="0">
      <alignment vertical="center"/>
    </xf>
    <xf numFmtId="4" fontId="40" fillId="0" borderId="80" applyNumberFormat="0" applyProtection="0">
      <alignment horizontal="left" vertical="center" indent="1"/>
    </xf>
    <xf numFmtId="0" fontId="81" fillId="0" borderId="11">
      <alignment horizontal="center"/>
    </xf>
    <xf numFmtId="0" fontId="3" fillId="4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23" fillId="101" borderId="30" applyNumberFormat="0" applyProtection="0">
      <alignment horizontal="left" vertical="center" indent="1"/>
    </xf>
    <xf numFmtId="0" fontId="78" fillId="79" borderId="76" applyNumberFormat="0" applyAlignment="0" applyProtection="0"/>
    <xf numFmtId="0" fontId="78" fillId="79" borderId="76" applyNumberForma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73" borderId="83"/>
    <xf numFmtId="4" fontId="35" fillId="64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4" fillId="54" borderId="80" applyNumberFormat="0" applyProtection="0">
      <alignment vertical="center"/>
    </xf>
    <xf numFmtId="0" fontId="23" fillId="105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78" fillId="79" borderId="76" applyNumberFormat="0" applyAlignment="0" applyProtection="0"/>
    <xf numFmtId="4" fontId="36" fillId="82" borderId="8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83" fillId="54" borderId="3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70" fillId="49" borderId="30" applyNumberFormat="0" applyAlignment="0" applyProtection="0"/>
    <xf numFmtId="0" fontId="70" fillId="49" borderId="30" applyNumberFormat="0" applyAlignment="0" applyProtection="0"/>
    <xf numFmtId="4" fontId="23" fillId="85" borderId="3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0" fontId="57" fillId="79" borderId="30" applyNumberFormat="0" applyAlignment="0" applyProtection="0"/>
    <xf numFmtId="0" fontId="57" fillId="79" borderId="30" applyNumberFormat="0" applyAlignment="0" applyProtection="0"/>
    <xf numFmtId="0" fontId="3" fillId="68" borderId="80" applyNumberFormat="0" applyProtection="0">
      <alignment horizontal="left" vertical="top" indent="1"/>
    </xf>
    <xf numFmtId="4" fontId="35" fillId="59" borderId="80" applyNumberFormat="0" applyProtection="0">
      <alignment horizontal="right" vertical="center"/>
    </xf>
    <xf numFmtId="0" fontId="23" fillId="48" borderId="30" applyNumberFormat="0" applyFont="0" applyAlignment="0" applyProtection="0"/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33" fillId="54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57" fillId="79" borderId="30" applyNumberFormat="0" applyAlignment="0" applyProtection="0"/>
    <xf numFmtId="4" fontId="36" fillId="82" borderId="80" applyNumberFormat="0" applyProtection="0">
      <alignment vertical="center"/>
    </xf>
    <xf numFmtId="4" fontId="88" fillId="100" borderId="76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61" borderId="7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40" fillId="0" borderId="76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23" fillId="0" borderId="3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23" fillId="48" borderId="30" applyNumberFormat="0" applyFont="0" applyAlignment="0" applyProtection="0"/>
    <xf numFmtId="4" fontId="23" fillId="90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9" fontId="92" fillId="110" borderId="39"/>
    <xf numFmtId="4" fontId="89" fillId="70" borderId="30" applyNumberFormat="0" applyProtection="0">
      <alignment horizontal="right" vertical="center"/>
    </xf>
    <xf numFmtId="0" fontId="23" fillId="73" borderId="83"/>
    <xf numFmtId="0" fontId="23" fillId="73" borderId="83"/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127" fillId="0" borderId="49" applyFill="0" applyBorder="0" applyProtection="0">
      <alignment horizontal="left" vertical="top"/>
    </xf>
    <xf numFmtId="0" fontId="3" fillId="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14" fillId="71" borderId="81" applyBorder="0"/>
    <xf numFmtId="0" fontId="3" fillId="0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2" fillId="0" borderId="40" applyNumberFormat="0" applyFill="0" applyAlignment="0" applyProtection="0"/>
    <xf numFmtId="4" fontId="88" fillId="101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0" fontId="23" fillId="73" borderId="83"/>
    <xf numFmtId="0" fontId="23" fillId="70" borderId="60" applyNumberFormat="0">
      <protection locked="0"/>
    </xf>
    <xf numFmtId="4" fontId="23" fillId="0" borderId="3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85" fillId="108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32" fillId="0" borderId="40" applyNumberFormat="0" applyFill="0" applyAlignment="0" applyProtection="0"/>
    <xf numFmtId="4" fontId="23" fillId="89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55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4" fontId="35" fillId="69" borderId="80" applyNumberFormat="0" applyProtection="0">
      <alignment vertical="center"/>
    </xf>
    <xf numFmtId="4" fontId="23" fillId="88" borderId="37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35" fillId="69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98" borderId="37" applyNumberFormat="0" applyProtection="0">
      <alignment horizontal="left" vertical="center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0" fontId="70" fillId="49" borderId="30" applyNumberFormat="0" applyAlignment="0" applyProtection="0"/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40" fillId="97" borderId="76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88" borderId="8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0" fontId="23" fillId="73" borderId="83"/>
    <xf numFmtId="0" fontId="23" fillId="101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4" fontId="23" fillId="98" borderId="37" applyNumberFormat="0" applyProtection="0">
      <alignment horizontal="left" vertical="center" indent="1"/>
    </xf>
    <xf numFmtId="0" fontId="57" fillId="79" borderId="30" applyNumberFormat="0" applyAlignment="0" applyProtection="0"/>
    <xf numFmtId="4" fontId="40" fillId="100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88" borderId="37" applyNumberFormat="0" applyProtection="0">
      <alignment horizontal="right" vertical="center"/>
    </xf>
    <xf numFmtId="4" fontId="40" fillId="54" borderId="76" applyNumberFormat="0" applyProtection="0">
      <alignment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0" fontId="2" fillId="0" borderId="0"/>
    <xf numFmtId="0" fontId="3" fillId="0" borderId="0"/>
    <xf numFmtId="0" fontId="127" fillId="0" borderId="90" applyFill="0" applyBorder="0" applyProtection="0">
      <alignment horizontal="left" vertical="top"/>
    </xf>
    <xf numFmtId="0" fontId="53" fillId="32" borderId="0" applyNumberFormat="0" applyBorder="0" applyAlignment="0" applyProtection="0"/>
    <xf numFmtId="0" fontId="3" fillId="84" borderId="76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0" fillId="0" borderId="0"/>
    <xf numFmtId="0" fontId="2" fillId="0" borderId="0"/>
    <xf numFmtId="0" fontId="23" fillId="80" borderId="0"/>
    <xf numFmtId="0" fontId="23" fillId="8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7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73" borderId="83"/>
    <xf numFmtId="43" fontId="3" fillId="0" borderId="0" applyFont="0" applyFill="0" applyBorder="0" applyAlignment="0" applyProtection="0"/>
    <xf numFmtId="0" fontId="3" fillId="0" borderId="0"/>
    <xf numFmtId="0" fontId="3" fillId="106" borderId="76" applyNumberFormat="0" applyProtection="0">
      <alignment horizontal="left" vertical="center" indent="1"/>
    </xf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77" borderId="56" applyNumberFormat="0" applyAlignment="0" applyProtection="0"/>
    <xf numFmtId="0" fontId="59" fillId="77" borderId="56" applyNumberFormat="0" applyAlignment="0" applyProtection="0"/>
    <xf numFmtId="44" fontId="2" fillId="0" borderId="0" applyFont="0" applyFill="0" applyBorder="0" applyAlignment="0" applyProtection="0"/>
    <xf numFmtId="4" fontId="88" fillId="101" borderId="80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2" fillId="101" borderId="80" applyNumberFormat="0" applyProtection="0">
      <alignment horizontal="right" vertical="center"/>
    </xf>
    <xf numFmtId="4" fontId="35" fillId="54" borderId="8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2" fillId="72" borderId="80" applyNumberFormat="0" applyProtection="0">
      <alignment vertical="center"/>
    </xf>
    <xf numFmtId="0" fontId="23" fillId="73" borderId="83"/>
    <xf numFmtId="0" fontId="3" fillId="0" borderId="0"/>
    <xf numFmtId="0" fontId="23" fillId="107" borderId="30" applyNumberFormat="0" applyProtection="0">
      <alignment horizontal="left" vertical="center" indent="1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146" fillId="125" borderId="57" applyBorder="0" applyProtection="0">
      <alignment horizontal="centerContinuous" vertical="center"/>
    </xf>
    <xf numFmtId="0" fontId="3" fillId="55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0" borderId="0"/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53" fillId="28" borderId="0" applyNumberFormat="0" applyBorder="0" applyAlignment="0" applyProtection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80" borderId="0"/>
    <xf numFmtId="0" fontId="136" fillId="0" borderId="69">
      <alignment horizontal="right"/>
    </xf>
    <xf numFmtId="0" fontId="136" fillId="0" borderId="69">
      <alignment horizontal="left"/>
    </xf>
    <xf numFmtId="0" fontId="81" fillId="0" borderId="69">
      <alignment horizontal="center"/>
    </xf>
    <xf numFmtId="9" fontId="3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4" fontId="83" fillId="72" borderId="83" applyNumberFormat="0" applyProtection="0">
      <alignment vertical="center"/>
    </xf>
    <xf numFmtId="4" fontId="33" fillId="65" borderId="59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189" fontId="145" fillId="0" borderId="78" applyBorder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0" fontId="136" fillId="0" borderId="69">
      <alignment horizontal="right"/>
    </xf>
    <xf numFmtId="0" fontId="3" fillId="0" borderId="0"/>
    <xf numFmtId="4" fontId="45" fillId="68" borderId="82" applyNumberFormat="0" applyProtection="0">
      <alignment horizontal="left" vertical="center" indent="1"/>
    </xf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4" fontId="88" fillId="100" borderId="76" applyNumberFormat="0" applyProtection="0">
      <alignment horizontal="right" vertical="center"/>
    </xf>
    <xf numFmtId="4" fontId="89" fillId="70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70" fillId="49" borderId="30" applyNumberFormat="0" applyAlignment="0" applyProtection="0"/>
    <xf numFmtId="4" fontId="23" fillId="83" borderId="30" applyNumberFormat="0" applyProtection="0">
      <alignment horizontal="left" vertical="center" indent="1"/>
    </xf>
    <xf numFmtId="49" fontId="92" fillId="110" borderId="39"/>
    <xf numFmtId="0" fontId="3" fillId="69" borderId="80" applyNumberFormat="0" applyProtection="0">
      <alignment horizontal="left" vertical="center" indent="1"/>
    </xf>
    <xf numFmtId="0" fontId="90" fillId="67" borderId="39">
      <protection locked="0"/>
    </xf>
    <xf numFmtId="0" fontId="23" fillId="102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4" fontId="35" fillId="69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3" fillId="65" borderId="59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4" fontId="40" fillId="103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0" fontId="23" fillId="104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35" fillId="63" borderId="8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23" fillId="0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0" fontId="70" fillId="49" borderId="30" applyNumberFormat="0" applyAlignment="0" applyProtection="0"/>
    <xf numFmtId="4" fontId="23" fillId="86" borderId="30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0" fontId="90" fillId="67" borderId="39">
      <protection locked="0"/>
    </xf>
    <xf numFmtId="0" fontId="57" fillId="79" borderId="30" applyNumberFormat="0" applyAlignment="0" applyProtection="0"/>
    <xf numFmtId="0" fontId="23" fillId="48" borderId="30" applyNumberFormat="0" applyFon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89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23" fillId="73" borderId="83"/>
    <xf numFmtId="0" fontId="23" fillId="73" borderId="83"/>
    <xf numFmtId="4" fontId="45" fillId="68" borderId="82" applyNumberFormat="0" applyProtection="0">
      <alignment horizontal="left" vertical="center" indent="1"/>
    </xf>
    <xf numFmtId="4" fontId="83" fillId="67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72" borderId="76" applyNumberFormat="0" applyProtection="0">
      <alignment vertical="center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5" borderId="3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23" fillId="89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23" fillId="0" borderId="3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1" borderId="8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23" fillId="86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94" borderId="3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23" fillId="73" borderId="83"/>
    <xf numFmtId="4" fontId="23" fillId="92" borderId="3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9" fontId="92" fillId="110" borderId="39"/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146" fillId="125" borderId="78" applyBorder="0" applyProtection="0">
      <alignment horizontal="centerContinuous" vertical="center"/>
    </xf>
    <xf numFmtId="0" fontId="23" fillId="101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5" fillId="57" borderId="80" applyNumberFormat="0" applyProtection="0">
      <alignment horizontal="right" vertical="center"/>
    </xf>
    <xf numFmtId="4" fontId="33" fillId="54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122" fillId="120" borderId="56" applyNumberFormat="0" applyAlignment="0" applyProtection="0"/>
    <xf numFmtId="4" fontId="40" fillId="72" borderId="80" applyNumberFormat="0" applyProtection="0">
      <alignment vertical="center"/>
    </xf>
    <xf numFmtId="4" fontId="23" fillId="82" borderId="3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23" fillId="48" borderId="30" applyNumberFormat="0" applyFont="0" applyAlignment="0" applyProtection="0"/>
    <xf numFmtId="4" fontId="85" fillId="108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3" fontId="2" fillId="0" borderId="0" applyFont="0" applyFill="0" applyBorder="0" applyAlignment="0" applyProtection="0"/>
    <xf numFmtId="0" fontId="90" fillId="67" borderId="39">
      <protection locked="0"/>
    </xf>
    <xf numFmtId="0" fontId="23" fillId="73" borderId="83"/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85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83" fillId="67" borderId="30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83" fillId="72" borderId="83" applyNumberFormat="0" applyProtection="0">
      <alignment vertical="center"/>
    </xf>
    <xf numFmtId="4" fontId="82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40" fillId="72" borderId="80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76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3" fillId="84" borderId="76" applyNumberFormat="0" applyProtection="0">
      <alignment horizontal="left" vertical="center" indent="1"/>
    </xf>
    <xf numFmtId="0" fontId="32" fillId="0" borderId="40" applyNumberFormat="0" applyFill="0" applyAlignment="0" applyProtection="0"/>
    <xf numFmtId="4" fontId="35" fillId="57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90" borderId="3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57" borderId="76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70" fillId="49" borderId="30" applyNumberFormat="0" applyAlignment="0" applyProtection="0"/>
    <xf numFmtId="0" fontId="70" fillId="49" borderId="30" applyNumberFormat="0" applyAlignment="0" applyProtection="0"/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5" fillId="56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59" fillId="77" borderId="56" applyNumberFormat="0" applyAlignment="0" applyProtection="0"/>
    <xf numFmtId="0" fontId="59" fillId="77" borderId="56" applyNumberFormat="0" applyAlignment="0" applyProtection="0"/>
    <xf numFmtId="4" fontId="34" fillId="54" borderId="80" applyNumberFormat="0" applyProtection="0">
      <alignment vertical="center"/>
    </xf>
    <xf numFmtId="0" fontId="57" fillId="79" borderId="30" applyNumberFormat="0" applyAlignment="0" applyProtection="0"/>
    <xf numFmtId="0" fontId="57" fillId="79" borderId="30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40" fillId="57" borderId="76" applyNumberFormat="0" applyProtection="0">
      <alignment horizontal="right" vertical="center"/>
    </xf>
    <xf numFmtId="0" fontId="23" fillId="48" borderId="30" applyNumberFormat="0" applyFont="0" applyAlignment="0" applyProtection="0"/>
    <xf numFmtId="4" fontId="33" fillId="54" borderId="80" applyNumberFormat="0" applyProtection="0">
      <alignment vertical="center"/>
    </xf>
    <xf numFmtId="4" fontId="23" fillId="82" borderId="30" applyNumberFormat="0" applyProtection="0">
      <alignment vertical="center"/>
    </xf>
    <xf numFmtId="4" fontId="83" fillId="54" borderId="3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83" borderId="3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23" fillId="85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40" fillId="88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0" fontId="23" fillId="101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" fillId="71" borderId="37" applyNumberFormat="0" applyProtection="0">
      <alignment horizontal="left" vertical="center" indent="1"/>
    </xf>
    <xf numFmtId="0" fontId="23" fillId="70" borderId="60" applyNumberFormat="0">
      <protection locked="0"/>
    </xf>
    <xf numFmtId="0" fontId="3" fillId="55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35" fillId="69" borderId="80" applyNumberFormat="0" applyProtection="0">
      <alignment vertical="center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54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23" fillId="48" borderId="30" applyNumberFormat="0" applyFont="0" applyAlignment="0" applyProtection="0"/>
    <xf numFmtId="4" fontId="40" fillId="102" borderId="80" applyNumberFormat="0" applyProtection="0">
      <alignment horizontal="left" vertical="center" indent="1"/>
    </xf>
    <xf numFmtId="0" fontId="23" fillId="73" borderId="83"/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40" fillId="72" borderId="76" applyNumberFormat="0" applyProtection="0">
      <alignment vertical="center"/>
    </xf>
    <xf numFmtId="4" fontId="82" fillId="72" borderId="76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73" borderId="83"/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6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8" fontId="3" fillId="0" borderId="74" applyFont="0" applyFill="0" applyBorder="0" applyProtection="0">
      <alignment horizontal="right"/>
    </xf>
    <xf numFmtId="0" fontId="3" fillId="84" borderId="76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36" fillId="82" borderId="80" applyNumberFormat="0" applyProtection="0">
      <alignment vertical="center"/>
    </xf>
    <xf numFmtId="4" fontId="23" fillId="90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33" fillId="54" borderId="80" applyNumberFormat="0" applyProtection="0">
      <alignment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23" fillId="73" borderId="83"/>
    <xf numFmtId="0" fontId="3" fillId="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40" fillId="63" borderId="76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4" fontId="35" fillId="69" borderId="80" applyNumberFormat="0" applyProtection="0">
      <alignment vertical="center"/>
    </xf>
    <xf numFmtId="0" fontId="23" fillId="102" borderId="80" applyNumberFormat="0" applyProtection="0">
      <alignment horizontal="left" vertical="top" indent="1"/>
    </xf>
    <xf numFmtId="4" fontId="23" fillId="102" borderId="37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0" fontId="121" fillId="104" borderId="85" applyNumberFormat="0" applyAlignment="0" applyProtection="0"/>
    <xf numFmtId="4" fontId="40" fillId="101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81" fillId="0" borderId="11">
      <alignment horizontal="center"/>
    </xf>
    <xf numFmtId="0" fontId="23" fillId="105" borderId="3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23" fillId="102" borderId="37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54" borderId="76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73" borderId="83"/>
    <xf numFmtId="0" fontId="23" fillId="105" borderId="30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3" fillId="71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4" fontId="35" fillId="62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23" fillId="96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89" fillId="70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88" fillId="100" borderId="76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36" fillId="99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0" fillId="100" borderId="38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0" fontId="23" fillId="73" borderId="83"/>
    <xf numFmtId="4" fontId="40" fillId="97" borderId="76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0" fontId="23" fillId="73" borderId="83"/>
    <xf numFmtId="4" fontId="40" fillId="96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23" fillId="73" borderId="83"/>
    <xf numFmtId="4" fontId="40" fillId="97" borderId="76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23" fillId="73" borderId="83"/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23" fillId="73" borderId="83"/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23" fillId="96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45" fillId="68" borderId="82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32" fillId="0" borderId="40" applyNumberFormat="0" applyFill="0" applyAlignment="0" applyProtection="0"/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9" fontId="92" fillId="110" borderId="39"/>
    <xf numFmtId="0" fontId="3" fillId="55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0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59" fillId="77" borderId="56" applyNumberFormat="0" applyAlignment="0" applyProtection="0"/>
    <xf numFmtId="0" fontId="59" fillId="77" borderId="56" applyNumberFormat="0" applyAlignment="0" applyProtection="0"/>
    <xf numFmtId="0" fontId="36" fillId="54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36" fillId="98" borderId="59" applyNumberFormat="0" applyProtection="0">
      <alignment horizontal="left" vertical="center" indent="1"/>
    </xf>
    <xf numFmtId="0" fontId="146" fillId="125" borderId="78" applyBorder="0" applyProtection="0">
      <alignment horizontal="centerContinuous" vertical="center"/>
    </xf>
    <xf numFmtId="0" fontId="23" fillId="102" borderId="80" applyNumberFormat="0" applyProtection="0">
      <alignment horizontal="left" vertical="top" indent="1"/>
    </xf>
    <xf numFmtId="4" fontId="23" fillId="98" borderId="37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36" fillId="99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94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23" fillId="96" borderId="3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35" fillId="64" borderId="80" applyNumberFormat="0" applyProtection="0">
      <alignment horizontal="right" vertical="center"/>
    </xf>
    <xf numFmtId="4" fontId="34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23" fillId="94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23" fillId="73" borderId="83"/>
    <xf numFmtId="0" fontId="23" fillId="107" borderId="3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23" fillId="104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0" fontId="23" fillId="101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0" fontId="23" fillId="101" borderId="30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4" fontId="40" fillId="93" borderId="76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4" fillId="54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3" fillId="0" borderId="76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49" fontId="92" fillId="110" borderId="39"/>
    <xf numFmtId="4" fontId="23" fillId="83" borderId="3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23" fillId="73" borderId="83"/>
    <xf numFmtId="0" fontId="23" fillId="70" borderId="60" applyNumberFormat="0">
      <protection locked="0"/>
    </xf>
    <xf numFmtId="4" fontId="23" fillId="102" borderId="37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10" fontId="23" fillId="72" borderId="83" applyNumberFormat="0" applyBorder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33" fillId="54" borderId="80" applyNumberFormat="0" applyProtection="0">
      <alignment vertical="center"/>
    </xf>
    <xf numFmtId="0" fontId="70" fillId="49" borderId="30" applyNumberFormat="0" applyAlignment="0" applyProtection="0"/>
    <xf numFmtId="4" fontId="36" fillId="54" borderId="8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4" fontId="40" fillId="72" borderId="76" applyNumberFormat="0" applyProtection="0">
      <alignment vertical="center"/>
    </xf>
    <xf numFmtId="4" fontId="40" fillId="102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66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23" fillId="73" borderId="83"/>
    <xf numFmtId="4" fontId="35" fillId="62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0" fontId="23" fillId="107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46" fillId="69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23" fillId="102" borderId="37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40" fillId="56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23" fillId="96" borderId="3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1" fillId="69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6" borderId="30" applyNumberFormat="0" applyProtection="0">
      <alignment horizontal="right" vertical="center"/>
    </xf>
    <xf numFmtId="0" fontId="23" fillId="73" borderId="83"/>
    <xf numFmtId="4" fontId="23" fillId="90" borderId="3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73" borderId="83"/>
    <xf numFmtId="4" fontId="23" fillId="0" borderId="3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23" fillId="70" borderId="60" applyNumberFormat="0">
      <protection locked="0"/>
    </xf>
    <xf numFmtId="4" fontId="23" fillId="83" borderId="3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189" fontId="145" fillId="0" borderId="57" applyBorder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0" fontId="146" fillId="125" borderId="57" applyBorder="0" applyProtection="0">
      <alignment horizontal="centerContinuous" vertical="center"/>
    </xf>
    <xf numFmtId="0" fontId="127" fillId="0" borderId="49" applyFill="0" applyBorder="0" applyProtection="0">
      <alignment horizontal="left" vertical="top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0" fontId="3" fillId="68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23" fillId="85" borderId="3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87" fillId="109" borderId="37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78" fillId="79" borderId="76" applyNumberFormat="0" applyAlignment="0" applyProtection="0"/>
    <xf numFmtId="4" fontId="23" fillId="96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2" fillId="0" borderId="40" applyNumberFormat="0" applyFill="0" applyAlignment="0" applyProtection="0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136" fillId="0" borderId="11">
      <alignment horizontal="right"/>
    </xf>
    <xf numFmtId="0" fontId="136" fillId="0" borderId="11">
      <alignment horizontal="left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81" fillId="0" borderId="11">
      <alignment horizontal="center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40" fillId="95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3" fillId="68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23" fillId="107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0" fontId="136" fillId="0" borderId="11">
      <alignment horizontal="right"/>
    </xf>
    <xf numFmtId="4" fontId="35" fillId="64" borderId="8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61" borderId="76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90" fillId="67" borderId="39">
      <protection locked="0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194" fontId="124" fillId="0" borderId="47">
      <alignment horizontal="right"/>
    </xf>
    <xf numFmtId="0" fontId="40" fillId="68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58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9" fontId="92" fillId="110" borderId="39"/>
    <xf numFmtId="0" fontId="3" fillId="68" borderId="80" applyNumberFormat="0" applyProtection="0">
      <alignment horizontal="left" vertical="top" indent="1"/>
    </xf>
    <xf numFmtId="0" fontId="23" fillId="73" borderId="83"/>
    <xf numFmtId="4" fontId="40" fillId="85" borderId="80" applyNumberFormat="0" applyProtection="0">
      <alignment horizontal="right" vertical="center"/>
    </xf>
    <xf numFmtId="4" fontId="35" fillId="69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88" fillId="100" borderId="76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96" borderId="3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23" fillId="70" borderId="60" applyNumberFormat="0">
      <protection locked="0"/>
    </xf>
    <xf numFmtId="4" fontId="23" fillId="83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" fillId="0" borderId="0"/>
    <xf numFmtId="4" fontId="40" fillId="72" borderId="76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78" fillId="79" borderId="76" applyNumberFormat="0" applyAlignment="0" applyProtection="0"/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94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23" fillId="89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40" fillId="96" borderId="8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70" fillId="49" borderId="30" applyNumberFormat="0" applyAlignment="0" applyProtection="0"/>
    <xf numFmtId="4" fontId="40" fillId="103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23" fillId="48" borderId="30" applyNumberFormat="0" applyFont="0" applyAlignment="0" applyProtection="0"/>
    <xf numFmtId="49" fontId="92" fillId="110" borderId="39"/>
    <xf numFmtId="0" fontId="23" fillId="48" borderId="30" applyNumberFormat="0" applyFont="0" applyAlignment="0" applyProtection="0"/>
    <xf numFmtId="4" fontId="40" fillId="54" borderId="76" applyNumberFormat="0" applyProtection="0">
      <alignment vertical="center"/>
    </xf>
    <xf numFmtId="0" fontId="32" fillId="0" borderId="40" applyNumberFormat="0" applyFill="0" applyAlignment="0" applyProtection="0"/>
    <xf numFmtId="4" fontId="40" fillId="72" borderId="80" applyNumberFormat="0" applyProtection="0">
      <alignment vertical="center"/>
    </xf>
    <xf numFmtId="4" fontId="33" fillId="66" borderId="8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0" fontId="23" fillId="107" borderId="3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9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23" fillId="54" borderId="30" applyNumberFormat="0" applyProtection="0">
      <alignment horizontal="left" vertical="center" indent="1"/>
    </xf>
    <xf numFmtId="4" fontId="40" fillId="58" borderId="76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189" fontId="145" fillId="0" borderId="78" applyBorder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23" fillId="92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4" fontId="113" fillId="54" borderId="8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23" fillId="48" borderId="30" applyNumberFormat="0" applyFont="0" applyAlignment="0" applyProtection="0"/>
    <xf numFmtId="0" fontId="23" fillId="102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121" fillId="104" borderId="85" applyNumberFormat="0" applyAlignment="0" applyProtection="0"/>
    <xf numFmtId="4" fontId="113" fillId="54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10" fontId="23" fillId="72" borderId="83" applyNumberFormat="0" applyBorder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84" fillId="82" borderId="80" applyNumberFormat="0" applyProtection="0">
      <alignment horizontal="left" vertical="top" indent="1"/>
    </xf>
    <xf numFmtId="194" fontId="124" fillId="0" borderId="47">
      <alignment horizontal="right"/>
    </xf>
    <xf numFmtId="4" fontId="23" fillId="83" borderId="3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63" borderId="76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82" fillId="72" borderId="76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23" fillId="73" borderId="83"/>
    <xf numFmtId="0" fontId="23" fillId="48" borderId="30" applyNumberFormat="0" applyFont="0" applyAlignment="0" applyProtection="0"/>
    <xf numFmtId="4" fontId="23" fillId="82" borderId="30" applyNumberFormat="0" applyProtection="0">
      <alignment vertical="center"/>
    </xf>
    <xf numFmtId="4" fontId="23" fillId="88" borderId="37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55" borderId="8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35" fillId="56" borderId="80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23" fillId="89" borderId="3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89" borderId="3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76" applyNumberFormat="0" applyProtection="0">
      <alignment horizontal="left" vertical="center" indent="1"/>
    </xf>
    <xf numFmtId="0" fontId="70" fillId="49" borderId="30" applyNumberFormat="0" applyAlignment="0" applyProtection="0"/>
    <xf numFmtId="4" fontId="35" fillId="56" borderId="8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0" fontId="90" fillId="67" borderId="39">
      <protection locked="0"/>
    </xf>
    <xf numFmtId="4" fontId="23" fillId="95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23" fillId="85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88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center" indent="1"/>
    </xf>
    <xf numFmtId="4" fontId="40" fillId="54" borderId="76" applyNumberFormat="0" applyProtection="0">
      <alignment vertical="center"/>
    </xf>
    <xf numFmtId="4" fontId="45" fillId="68" borderId="82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3" fillId="54" borderId="30" applyNumberFormat="0" applyProtection="0">
      <alignment vertical="center"/>
    </xf>
    <xf numFmtId="4" fontId="23" fillId="102" borderId="3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23" fillId="70" borderId="60" applyNumberFormat="0">
      <protection locked="0"/>
    </xf>
    <xf numFmtId="4" fontId="85" fillId="108" borderId="80" applyNumberFormat="0" applyProtection="0">
      <alignment vertical="center"/>
    </xf>
    <xf numFmtId="4" fontId="23" fillId="86" borderId="30" applyNumberFormat="0" applyProtection="0">
      <alignment horizontal="right" vertical="center"/>
    </xf>
    <xf numFmtId="0" fontId="127" fillId="0" borderId="49" applyFill="0" applyBorder="0" applyProtection="0">
      <alignment horizontal="left" vertical="top"/>
    </xf>
    <xf numFmtId="4" fontId="40" fillId="58" borderId="7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4" fontId="23" fillId="85" borderId="30" applyNumberFormat="0" applyProtection="0">
      <alignment horizontal="right" vertical="center"/>
    </xf>
    <xf numFmtId="4" fontId="87" fillId="109" borderId="37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40" fillId="87" borderId="8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35" fillId="63" borderId="80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23" fillId="71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40" fillId="90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9" fontId="2" fillId="0" borderId="0" applyFont="0" applyFill="0" applyBorder="0" applyAlignment="0" applyProtection="0"/>
    <xf numFmtId="4" fontId="45" fillId="68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0" fontId="23" fillId="104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0" fontId="40" fillId="108" borderId="86" applyNumberFormat="0" applyFont="0" applyAlignment="0" applyProtection="0"/>
    <xf numFmtId="0" fontId="3" fillId="66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88" fillId="100" borderId="76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4" fontId="33" fillId="54" borderId="80" applyNumberFormat="0" applyProtection="0">
      <alignment vertical="center"/>
    </xf>
    <xf numFmtId="4" fontId="40" fillId="0" borderId="8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8" borderId="76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36" fillId="99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23" fillId="86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0" fontId="23" fillId="101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54" borderId="76" applyNumberFormat="0" applyProtection="0">
      <alignment vertical="center"/>
    </xf>
    <xf numFmtId="0" fontId="57" fillId="79" borderId="30" applyNumberFormat="0" applyAlignment="0" applyProtection="0"/>
    <xf numFmtId="4" fontId="23" fillId="102" borderId="37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23" fillId="88" borderId="37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98" borderId="37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23" fillId="101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8" borderId="37" applyNumberFormat="0" applyProtection="0">
      <alignment horizontal="right" vertical="center"/>
    </xf>
    <xf numFmtId="0" fontId="23" fillId="73" borderId="83"/>
    <xf numFmtId="4" fontId="23" fillId="82" borderId="30" applyNumberFormat="0" applyProtection="0">
      <alignment vertical="center"/>
    </xf>
    <xf numFmtId="4" fontId="23" fillId="96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85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35" fillId="69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3" fillId="65" borderId="59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54" borderId="76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70" borderId="60" applyNumberFormat="0">
      <protection locked="0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88" fillId="100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0" fontId="146" fillId="125" borderId="57" applyBorder="0" applyProtection="0">
      <alignment horizontal="centerContinuous" vertical="center"/>
    </xf>
    <xf numFmtId="189" fontId="145" fillId="0" borderId="57" applyBorder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40" fillId="91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40" fillId="64" borderId="76" applyNumberFormat="0" applyProtection="0">
      <alignment horizontal="right" vertical="center"/>
    </xf>
    <xf numFmtId="4" fontId="85" fillId="104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57" fillId="79" borderId="30" applyNumberFormat="0" applyAlignment="0" applyProtection="0"/>
    <xf numFmtId="0" fontId="23" fillId="102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3" fillId="66" borderId="82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0" fontId="120" fillId="0" borderId="84" applyFill="0" applyProtection="0">
      <alignment horizontal="right"/>
    </xf>
    <xf numFmtId="4" fontId="23" fillId="94" borderId="3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87" fillId="109" borderId="37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23" fillId="98" borderId="37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45" fillId="68" borderId="82" applyNumberFormat="0" applyProtection="0">
      <alignment horizontal="left" vertical="center" indent="1"/>
    </xf>
    <xf numFmtId="4" fontId="23" fillId="86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23" fillId="73" borderId="83"/>
    <xf numFmtId="0" fontId="23" fillId="107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0" fontId="84" fillId="82" borderId="80" applyNumberFormat="0" applyProtection="0">
      <alignment horizontal="left" vertical="top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5" fillId="54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48" borderId="30" applyNumberFormat="0" applyFont="0" applyAlignment="0" applyProtection="0"/>
    <xf numFmtId="4" fontId="23" fillId="85" borderId="30" applyNumberFormat="0" applyProtection="0">
      <alignment horizontal="right" vertical="center"/>
    </xf>
    <xf numFmtId="4" fontId="23" fillId="54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57" fillId="79" borderId="30" applyNumberFormat="0" applyAlignment="0" applyProtection="0"/>
    <xf numFmtId="0" fontId="3" fillId="55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0" fontId="23" fillId="101" borderId="30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35" fillId="69" borderId="8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23" fillId="92" borderId="3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23" fillId="94" borderId="3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78" fillId="79" borderId="76" applyNumberFormat="0" applyAlignment="0" applyProtection="0"/>
    <xf numFmtId="4" fontId="40" fillId="54" borderId="76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82" fillId="54" borderId="76" applyNumberFormat="0" applyProtection="0">
      <alignment vertical="center"/>
    </xf>
    <xf numFmtId="4" fontId="34" fillId="54" borderId="80" applyNumberFormat="0" applyProtection="0">
      <alignment vertical="center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35" fillId="56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36" fillId="98" borderId="59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3" fillId="71" borderId="37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194" fontId="124" fillId="0" borderId="47">
      <alignment horizontal="right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83" fillId="72" borderId="83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90" fillId="67" borderId="39">
      <protection locked="0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72" borderId="76" applyNumberFormat="0" applyProtection="0">
      <alignment vertical="center"/>
    </xf>
    <xf numFmtId="0" fontId="23" fillId="101" borderId="3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23" fillId="88" borderId="37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0" fontId="14" fillId="71" borderId="81" applyBorder="0"/>
    <xf numFmtId="4" fontId="41" fillId="69" borderId="80" applyNumberFormat="0" applyProtection="0">
      <alignment vertical="center"/>
    </xf>
    <xf numFmtId="4" fontId="23" fillId="101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4" fontId="35" fillId="60" borderId="8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23" fillId="73" borderId="83"/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23" fillId="95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33" fillId="65" borderId="59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35" fillId="5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23" fillId="70" borderId="60" applyNumberFormat="0">
      <protection locked="0"/>
    </xf>
    <xf numFmtId="0" fontId="3" fillId="84" borderId="76" applyNumberFormat="0" applyProtection="0">
      <alignment horizontal="left" vertical="center" indent="1"/>
    </xf>
    <xf numFmtId="0" fontId="121" fillId="104" borderId="85" applyNumberFormat="0" applyAlignment="0" applyProtection="0"/>
    <xf numFmtId="4" fontId="23" fillId="95" borderId="3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78" fillId="79" borderId="76" applyNumberFormat="0" applyAlignment="0" applyProtection="0"/>
    <xf numFmtId="4" fontId="23" fillId="88" borderId="37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140" fillId="104" borderId="76" applyNumberFormat="0" applyAlignment="0" applyProtection="0"/>
    <xf numFmtId="4" fontId="40" fillId="0" borderId="76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189" fontId="145" fillId="0" borderId="78" applyBorder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194" fontId="124" fillId="0" borderId="47">
      <alignment horizontal="right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8" borderId="37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8" fontId="3" fillId="0" borderId="74" applyFont="0" applyFill="0" applyBorder="0" applyProtection="0">
      <alignment horizontal="right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40" fillId="108" borderId="86" applyNumberFormat="0" applyFont="0" applyAlignment="0" applyProtection="0"/>
    <xf numFmtId="4" fontId="40" fillId="72" borderId="80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14" fillId="71" borderId="81" applyBorder="0"/>
    <xf numFmtId="4" fontId="35" fillId="6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35" fillId="61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35" fillId="58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0" fontId="85" fillId="108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1" fillId="69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46" fillId="69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0" fontId="49" fillId="0" borderId="61" applyNumberFormat="0" applyFill="0" applyProtection="0">
      <alignment horizontal="center"/>
    </xf>
    <xf numFmtId="4" fontId="23" fillId="90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0" fontId="23" fillId="70" borderId="60" applyNumberFormat="0">
      <protection locked="0"/>
    </xf>
    <xf numFmtId="4" fontId="40" fillId="103" borderId="76" applyNumberFormat="0" applyProtection="0">
      <alignment horizontal="left" vertical="center" indent="1"/>
    </xf>
    <xf numFmtId="4" fontId="23" fillId="86" borderId="30" applyNumberFormat="0" applyProtection="0">
      <alignment horizontal="right" vertical="center"/>
    </xf>
    <xf numFmtId="0" fontId="68" fillId="0" borderId="34" applyNumberFormat="0" applyFill="0" applyAlignment="0" applyProtection="0"/>
    <xf numFmtId="4" fontId="40" fillId="54" borderId="76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23" fillId="96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6" fillId="54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83" fillId="67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0" fontId="78" fillId="79" borderId="76" applyNumberFormat="0" applyAlignment="0" applyProtection="0"/>
    <xf numFmtId="4" fontId="36" fillId="82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0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0" fontId="127" fillId="0" borderId="49" applyFill="0" applyBorder="0" applyProtection="0">
      <alignment horizontal="left" vertical="top"/>
    </xf>
    <xf numFmtId="3" fontId="124" fillId="0" borderId="79"/>
    <xf numFmtId="0" fontId="23" fillId="10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135" fillId="116" borderId="85" applyNumberFormat="0" applyAlignment="0" applyProtection="0"/>
    <xf numFmtId="4" fontId="89" fillId="70" borderId="3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54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100" borderId="3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0" fontId="90" fillId="67" borderId="39">
      <protection locked="0"/>
    </xf>
    <xf numFmtId="49" fontId="92" fillId="110" borderId="39"/>
    <xf numFmtId="0" fontId="40" fillId="68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4" fontId="35" fillId="61" borderId="80" applyNumberFormat="0" applyProtection="0">
      <alignment horizontal="right" vertical="center"/>
    </xf>
    <xf numFmtId="0" fontId="23" fillId="73" borderId="83"/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23" fillId="73" borderId="83"/>
    <xf numFmtId="4" fontId="113" fillId="54" borderId="80" applyNumberFormat="0" applyProtection="0">
      <alignment vertical="center"/>
    </xf>
    <xf numFmtId="4" fontId="40" fillId="94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57" fillId="79" borderId="30" applyNumberFormat="0" applyAlignment="0" applyProtection="0"/>
    <xf numFmtId="4" fontId="23" fillId="90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85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70" borderId="60" applyNumberFormat="0">
      <protection locked="0"/>
    </xf>
    <xf numFmtId="4" fontId="33" fillId="66" borderId="82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23" fillId="73" borderId="83"/>
    <xf numFmtId="4" fontId="23" fillId="102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68" fillId="0" borderId="34" applyNumberFormat="0" applyFill="0" applyAlignment="0" applyProtection="0"/>
    <xf numFmtId="4" fontId="40" fillId="103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36" fillId="99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36" fillId="98" borderId="59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102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23" fillId="0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64" borderId="76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" fillId="0" borderId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35" fillId="5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23" fillId="86" borderId="3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23" fillId="73" borderId="83"/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23" fillId="86" borderId="30" applyNumberFormat="0" applyProtection="0">
      <alignment horizontal="right" vertical="center"/>
    </xf>
    <xf numFmtId="0" fontId="23" fillId="48" borderId="30" applyNumberFormat="0" applyFont="0" applyAlignment="0" applyProtection="0"/>
    <xf numFmtId="4" fontId="40" fillId="85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40" fillId="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48" borderId="30" applyNumberFormat="0" applyFont="0" applyAlignment="0" applyProtection="0"/>
    <xf numFmtId="4" fontId="23" fillId="5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32" fillId="0" borderId="40" applyNumberFormat="0" applyFill="0" applyAlignment="0" applyProtection="0"/>
    <xf numFmtId="0" fontId="23" fillId="104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89" borderId="3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85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23" fillId="73" borderId="83"/>
    <xf numFmtId="0" fontId="40" fillId="68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0" borderId="3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23" fillId="102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35" fillId="57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89" fillId="70" borderId="3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23" fillId="73" borderId="83"/>
    <xf numFmtId="0" fontId="23" fillId="101" borderId="30" applyNumberFormat="0" applyProtection="0">
      <alignment horizontal="left" vertical="center" indent="1"/>
    </xf>
    <xf numFmtId="4" fontId="40" fillId="100" borderId="3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23" fillId="54" borderId="3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97" borderId="76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0" fontId="23" fillId="73" borderId="83"/>
    <xf numFmtId="4" fontId="23" fillId="101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35" fillId="56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88" borderId="37" applyNumberFormat="0" applyProtection="0">
      <alignment horizontal="right" vertical="center"/>
    </xf>
    <xf numFmtId="194" fontId="124" fillId="0" borderId="47">
      <alignment horizontal="right"/>
    </xf>
    <xf numFmtId="4" fontId="40" fillId="88" borderId="8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68" fillId="0" borderId="34" applyNumberFormat="0" applyFill="0" applyAlignment="0" applyProtection="0"/>
    <xf numFmtId="0" fontId="40" fillId="68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82" fillId="100" borderId="76" applyNumberFormat="0" applyProtection="0">
      <alignment horizontal="right" vertical="center"/>
    </xf>
    <xf numFmtId="0" fontId="23" fillId="70" borderId="60" applyNumberFormat="0">
      <protection locked="0"/>
    </xf>
    <xf numFmtId="0" fontId="23" fillId="101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70" fillId="49" borderId="30" applyNumberFormat="0" applyAlignment="0" applyProtection="0"/>
    <xf numFmtId="0" fontId="23" fillId="70" borderId="60" applyNumberFormat="0">
      <protection locked="0"/>
    </xf>
    <xf numFmtId="0" fontId="23" fillId="70" borderId="60" applyNumberFormat="0">
      <protection locked="0"/>
    </xf>
    <xf numFmtId="0" fontId="57" fillId="79" borderId="30" applyNumberFormat="0" applyAlignment="0" applyProtection="0"/>
    <xf numFmtId="0" fontId="23" fillId="104" borderId="3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0" borderId="3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0" fontId="40" fillId="108" borderId="86" applyNumberFormat="0" applyFont="0" applyAlignment="0" applyProtection="0"/>
    <xf numFmtId="0" fontId="85" fillId="102" borderId="80" applyNumberFormat="0" applyProtection="0">
      <alignment horizontal="left" vertical="top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41" fillId="69" borderId="80" applyNumberFormat="0" applyProtection="0">
      <alignment vertical="center"/>
    </xf>
    <xf numFmtId="4" fontId="46" fillId="69" borderId="8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83" fillId="67" borderId="3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0" fontId="23" fillId="48" borderId="30" applyNumberFormat="0" applyFont="0" applyAlignment="0" applyProtection="0"/>
    <xf numFmtId="4" fontId="40" fillId="88" borderId="80" applyNumberFormat="0" applyProtection="0">
      <alignment horizontal="right" vertical="center"/>
    </xf>
    <xf numFmtId="4" fontId="23" fillId="54" borderId="30" applyNumberFormat="0" applyProtection="0">
      <alignment horizontal="left" vertical="center" indent="1"/>
    </xf>
    <xf numFmtId="4" fontId="82" fillId="100" borderId="76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4" fontId="35" fillId="5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23" fillId="70" borderId="60" applyNumberFormat="0">
      <protection locked="0"/>
    </xf>
    <xf numFmtId="0" fontId="3" fillId="55" borderId="8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40" fillId="56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23" fillId="86" borderId="30" applyNumberFormat="0" applyProtection="0">
      <alignment horizontal="right" vertical="center"/>
    </xf>
    <xf numFmtId="0" fontId="23" fillId="70" borderId="60" applyNumberFormat="0">
      <protection locked="0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0" fontId="84" fillId="82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4" fontId="40" fillId="72" borderId="76" applyNumberFormat="0" applyProtection="0">
      <alignment vertical="center"/>
    </xf>
    <xf numFmtId="4" fontId="36" fillId="82" borderId="80" applyNumberFormat="0" applyProtection="0">
      <alignment vertical="center"/>
    </xf>
    <xf numFmtId="0" fontId="14" fillId="71" borderId="81" applyBorder="0"/>
    <xf numFmtId="0" fontId="23" fillId="107" borderId="30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8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23" fillId="54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4" fontId="2" fillId="0" borderId="0" applyFont="0" applyFill="0" applyBorder="0" applyAlignment="0" applyProtection="0"/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83" fillId="72" borderId="83" applyNumberFormat="0" applyProtection="0">
      <alignment vertical="center"/>
    </xf>
    <xf numFmtId="4" fontId="33" fillId="66" borderId="80" applyNumberFormat="0" applyProtection="0">
      <alignment horizontal="left" vertical="center" indent="1"/>
    </xf>
    <xf numFmtId="4" fontId="35" fillId="6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35" fillId="64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35" fillId="69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0" fontId="23" fillId="73" borderId="83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0" fontId="135" fillId="116" borderId="85" applyNumberFormat="0" applyAlignment="0" applyProtection="0"/>
    <xf numFmtId="4" fontId="23" fillId="94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23" fillId="70" borderId="60" applyNumberFormat="0">
      <protection locked="0"/>
    </xf>
    <xf numFmtId="4" fontId="41" fillId="69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23" fillId="73" borderId="83"/>
    <xf numFmtId="0" fontId="36" fillId="54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" fillId="0" borderId="0"/>
    <xf numFmtId="0" fontId="36" fillId="0" borderId="77" applyNumberFormat="0" applyFill="0" applyAlignment="0" applyProtection="0"/>
    <xf numFmtId="4" fontId="23" fillId="90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23" fillId="48" borderId="30" applyNumberFormat="0" applyFont="0" applyAlignment="0" applyProtection="0"/>
    <xf numFmtId="4" fontId="36" fillId="54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102" borderId="37" applyNumberFormat="0" applyProtection="0">
      <alignment horizontal="left" vertical="center" indent="1"/>
    </xf>
    <xf numFmtId="0" fontId="23" fillId="48" borderId="30" applyNumberFormat="0" applyFont="0" applyAlignment="0" applyProtection="0"/>
    <xf numFmtId="4" fontId="23" fillId="54" borderId="30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83" fillId="72" borderId="83" applyNumberFormat="0" applyProtection="0">
      <alignment vertical="center"/>
    </xf>
    <xf numFmtId="4" fontId="40" fillId="72" borderId="76" applyNumberFormat="0" applyProtection="0">
      <alignment vertical="center"/>
    </xf>
    <xf numFmtId="0" fontId="23" fillId="101" borderId="30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23" fillId="104" borderId="3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35" fillId="60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34" fillId="54" borderId="80" applyNumberFormat="0" applyProtection="0">
      <alignment vertical="center"/>
    </xf>
    <xf numFmtId="4" fontId="23" fillId="10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0" fontId="85" fillId="102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87" fillId="109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90" fillId="67" borderId="39">
      <protection locked="0"/>
    </xf>
    <xf numFmtId="4" fontId="33" fillId="66" borderId="8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23" fillId="105" borderId="30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23" fillId="54" borderId="30" applyNumberFormat="0" applyProtection="0">
      <alignment horizontal="left" vertical="center" indent="1"/>
    </xf>
    <xf numFmtId="4" fontId="45" fillId="68" borderId="82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68" fillId="0" borderId="34" applyNumberFormat="0" applyFill="0" applyAlignment="0" applyProtection="0"/>
    <xf numFmtId="0" fontId="70" fillId="49" borderId="30" applyNumberFormat="0" applyAlignment="0" applyProtection="0"/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23" fillId="88" borderId="37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88" borderId="37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6" fillId="54" borderId="80" applyNumberFormat="0" applyProtection="0">
      <alignment horizontal="left" vertical="top" indent="1"/>
    </xf>
    <xf numFmtId="4" fontId="23" fillId="86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23" fillId="73" borderId="83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10" fontId="23" fillId="72" borderId="83" applyNumberFormat="0" applyBorder="0" applyAlignment="0" applyProtection="0"/>
    <xf numFmtId="4" fontId="23" fillId="83" borderId="3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23" fillId="82" borderId="3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4" fontId="23" fillId="82" borderId="30" applyNumberFormat="0" applyProtection="0">
      <alignment vertical="center"/>
    </xf>
    <xf numFmtId="0" fontId="3" fillId="103" borderId="76" applyNumberFormat="0" applyProtection="0">
      <alignment horizontal="left" vertical="center" indent="1"/>
    </xf>
    <xf numFmtId="4" fontId="23" fillId="86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3" fillId="85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101" borderId="37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36" fillId="98" borderId="59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40" fillId="97" borderId="76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36" fillId="99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7" fillId="109" borderId="37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59" fillId="77" borderId="56" applyNumberFormat="0" applyAlignment="0" applyProtection="0"/>
    <xf numFmtId="4" fontId="23" fillId="95" borderId="30" applyNumberFormat="0" applyProtection="0">
      <alignment horizontal="right" vertical="center"/>
    </xf>
    <xf numFmtId="0" fontId="59" fillId="77" borderId="56" applyNumberFormat="0" applyAlignment="0" applyProtection="0"/>
    <xf numFmtId="0" fontId="3" fillId="84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4" fontId="23" fillId="83" borderId="30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23" fillId="73" borderId="83"/>
    <xf numFmtId="4" fontId="40" fillId="102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4" fontId="40" fillId="97" borderId="76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0" fontId="59" fillId="77" borderId="56" applyNumberFormat="0" applyAlignment="0" applyProtection="0"/>
    <xf numFmtId="0" fontId="59" fillId="77" borderId="56" applyNumberFormat="0" applyAlignment="0" applyProtection="0"/>
    <xf numFmtId="0" fontId="36" fillId="54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23" fillId="102" borderId="3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73" borderId="83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49" fillId="0" borderId="61" applyNumberFormat="0" applyFill="0" applyProtection="0">
      <alignment horizontal="center"/>
    </xf>
    <xf numFmtId="4" fontId="40" fillId="10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98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5" borderId="30" applyNumberFormat="0" applyProtection="0">
      <alignment horizontal="right" vertical="center"/>
    </xf>
    <xf numFmtId="4" fontId="23" fillId="82" borderId="30" applyNumberFormat="0" applyProtection="0">
      <alignment vertical="center"/>
    </xf>
    <xf numFmtId="0" fontId="23" fillId="48" borderId="30" applyNumberFormat="0" applyFont="0" applyAlignment="0" applyProtection="0"/>
    <xf numFmtId="4" fontId="40" fillId="56" borderId="76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0" fontId="23" fillId="107" borderId="3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3" fillId="68" borderId="80" applyNumberFormat="0" applyProtection="0">
      <alignment horizontal="left" vertical="top" indent="1"/>
    </xf>
    <xf numFmtId="4" fontId="85" fillId="104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35" fillId="69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23" fillId="88" borderId="37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8" fontId="3" fillId="0" borderId="74" applyFont="0" applyFill="0" applyBorder="0" applyProtection="0">
      <alignment horizontal="right"/>
    </xf>
    <xf numFmtId="0" fontId="122" fillId="120" borderId="56" applyNumberFormat="0" applyAlignment="0" applyProtection="0"/>
    <xf numFmtId="0" fontId="122" fillId="120" borderId="56" applyNumberFormat="0" applyAlignment="0" applyProtection="0"/>
    <xf numFmtId="0" fontId="23" fillId="73" borderId="83"/>
    <xf numFmtId="0" fontId="40" fillId="68" borderId="80" applyNumberFormat="0" applyProtection="0">
      <alignment horizontal="left" vertical="top" indent="1"/>
    </xf>
    <xf numFmtId="0" fontId="23" fillId="73" borderId="83"/>
    <xf numFmtId="4" fontId="82" fillId="10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82" fillId="72" borderId="76" applyNumberFormat="0" applyProtection="0">
      <alignment vertical="center"/>
    </xf>
    <xf numFmtId="4" fontId="40" fillId="72" borderId="76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76" applyNumberFormat="0" applyProtection="0">
      <alignment vertical="center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5" borderId="3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3" fillId="71" borderId="37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4" fontId="23" fillId="85" borderId="3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10" fontId="23" fillId="72" borderId="83" applyNumberFormat="0" applyBorder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54" borderId="30" applyNumberFormat="0" applyProtection="0">
      <alignment horizontal="left" vertical="center" indent="1"/>
    </xf>
    <xf numFmtId="0" fontId="136" fillId="0" borderId="69">
      <alignment horizontal="right"/>
    </xf>
    <xf numFmtId="0" fontId="136" fillId="0" borderId="69">
      <alignment horizontal="left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83" fillId="54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30" applyNumberFormat="0" applyProtection="0">
      <alignment vertical="center"/>
    </xf>
    <xf numFmtId="0" fontId="78" fillId="79" borderId="76" applyNumberFormat="0" applyAlignment="0" applyProtection="0"/>
    <xf numFmtId="0" fontId="78" fillId="79" borderId="76" applyNumberForma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3" fillId="69" borderId="80" applyNumberFormat="0" applyProtection="0">
      <alignment horizontal="left" vertical="top" indent="1"/>
    </xf>
    <xf numFmtId="4" fontId="23" fillId="82" borderId="30" applyNumberFormat="0" applyProtection="0">
      <alignment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2" fillId="0" borderId="0"/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189" fontId="145" fillId="0" borderId="78" applyBorder="0" applyProtection="0">
      <alignment horizontal="right" vertical="center"/>
    </xf>
    <xf numFmtId="0" fontId="81" fillId="0" borderId="69">
      <alignment horizontal="center"/>
    </xf>
    <xf numFmtId="0" fontId="81" fillId="0" borderId="69">
      <alignment horizontal="center"/>
    </xf>
    <xf numFmtId="0" fontId="81" fillId="0" borderId="69">
      <alignment horizont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63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80" fillId="121" borderId="72" applyNumberFormat="0" applyFont="0" applyAlignment="0" applyProtection="0"/>
    <xf numFmtId="4" fontId="23" fillId="98" borderId="37" applyNumberFormat="0" applyProtection="0">
      <alignment horizontal="left" vertical="center" indent="1"/>
    </xf>
    <xf numFmtId="4" fontId="3" fillId="71" borderId="37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4" fontId="23" fillId="0" borderId="30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0" fontId="23" fillId="101" borderId="80" applyNumberFormat="0" applyProtection="0">
      <alignment horizontal="left" vertical="top" indent="1"/>
    </xf>
    <xf numFmtId="0" fontId="59" fillId="77" borderId="56" applyNumberFormat="0" applyAlignment="0" applyProtection="0"/>
    <xf numFmtId="0" fontId="23" fillId="101" borderId="80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6" fillId="0" borderId="69">
      <alignment horizontal="right"/>
    </xf>
    <xf numFmtId="4" fontId="88" fillId="101" borderId="80" applyNumberFormat="0" applyProtection="0">
      <alignment horizontal="right" vertical="center"/>
    </xf>
    <xf numFmtId="0" fontId="23" fillId="73" borderId="83"/>
    <xf numFmtId="4" fontId="23" fillId="83" borderId="30" applyNumberFormat="0" applyProtection="0">
      <alignment horizontal="left" vertical="center" indent="1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85" fillId="104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23" fillId="82" borderId="30" applyNumberFormat="0" applyProtection="0">
      <alignment vertical="center"/>
    </xf>
    <xf numFmtId="0" fontId="23" fillId="73" borderId="83"/>
    <xf numFmtId="4" fontId="88" fillId="101" borderId="80" applyNumberFormat="0" applyProtection="0">
      <alignment horizontal="right" vertical="center"/>
    </xf>
    <xf numFmtId="0" fontId="23" fillId="73" borderId="83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8" fontId="3" fillId="0" borderId="74" applyFont="0" applyFill="0" applyBorder="0" applyProtection="0">
      <alignment horizontal="right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4" fontId="23" fillId="94" borderId="3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4" fontId="23" fillId="9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94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8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102" borderId="37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6" borderId="30" applyNumberFormat="0" applyProtection="0">
      <alignment horizontal="right" vertical="center"/>
    </xf>
    <xf numFmtId="4" fontId="23" fillId="96" borderId="3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8" borderId="37" applyNumberFormat="0" applyProtection="0">
      <alignment horizontal="left" vertical="center" indent="1"/>
    </xf>
    <xf numFmtId="4" fontId="40" fillId="97" borderId="76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23" fillId="95" borderId="3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120" fillId="0" borderId="84" applyFill="0" applyProtection="0">
      <alignment horizontal="right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121" fillId="104" borderId="85" applyNumberFormat="0" applyAlignment="0" applyProtection="0"/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35" fillId="54" borderId="80" applyNumberFormat="0" applyProtection="0">
      <alignment horizontal="left" vertical="center" indent="1"/>
    </xf>
    <xf numFmtId="0" fontId="121" fillId="104" borderId="85" applyNumberFormat="0" applyAlignment="0" applyProtection="0"/>
    <xf numFmtId="0" fontId="40" fillId="72" borderId="80" applyNumberFormat="0" applyProtection="0">
      <alignment horizontal="left" vertical="top" indent="1"/>
    </xf>
    <xf numFmtId="0" fontId="121" fillId="104" borderId="85" applyNumberFormat="0" applyAlignment="0" applyProtection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1" borderId="3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0" fontId="23" fillId="105" borderId="3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2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8" borderId="37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10" fontId="23" fillId="72" borderId="83" applyNumberFormat="0" applyBorder="0" applyAlignment="0" applyProtection="0"/>
    <xf numFmtId="4" fontId="36" fillId="8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8" fontId="3" fillId="0" borderId="74" applyFont="0" applyFill="0" applyBorder="0" applyProtection="0">
      <alignment horizontal="right"/>
    </xf>
    <xf numFmtId="0" fontId="32" fillId="0" borderId="40" applyNumberFormat="0" applyFill="0" applyAlignment="0" applyProtection="0"/>
    <xf numFmtId="4" fontId="89" fillId="70" borderId="3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83" fillId="67" borderId="30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82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30" applyNumberFormat="0" applyProtection="0">
      <alignment horizontal="left" vertical="center" indent="1"/>
    </xf>
    <xf numFmtId="0" fontId="23" fillId="107" borderId="3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23" fillId="105" borderId="3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0" fontId="23" fillId="104" borderId="3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4" fontId="23" fillId="102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3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93" borderId="76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2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23" fillId="90" borderId="3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30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8" borderId="37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5" borderId="3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4" fontId="23" fillId="83" borderId="30" applyNumberFormat="0" applyProtection="0">
      <alignment horizontal="left" vertical="center" indent="1"/>
    </xf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3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83" fillId="54" borderId="30" applyNumberFormat="0" applyProtection="0">
      <alignment vertical="center"/>
    </xf>
    <xf numFmtId="4" fontId="23" fillId="82" borderId="30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3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35" fillId="58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0" fontId="78" fillId="79" borderId="76" applyNumberFormat="0" applyAlignment="0" applyProtection="0"/>
    <xf numFmtId="0" fontId="78" fillId="79" borderId="76" applyNumberFormat="0" applyAlignment="0" applyProtection="0"/>
    <xf numFmtId="4" fontId="36" fillId="54" borderId="80" applyNumberFormat="0" applyProtection="0">
      <alignment horizontal="left" vertical="center" indent="1"/>
    </xf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23" fillId="48" borderId="30" applyNumberFormat="0" applyFon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2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3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90" fillId="67" borderId="39">
      <protection locked="0"/>
    </xf>
    <xf numFmtId="49" fontId="92" fillId="110" borderId="39"/>
    <xf numFmtId="0" fontId="127" fillId="0" borderId="49" applyFill="0" applyBorder="0" applyProtection="0">
      <alignment horizontal="left" vertical="top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4" fontId="40" fillId="87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80" applyNumberFormat="0" applyProtection="0">
      <alignment horizontal="right" vertical="center"/>
    </xf>
    <xf numFmtId="0" fontId="85" fillId="102" borderId="80" applyNumberFormat="0" applyProtection="0">
      <alignment horizontal="left" vertical="top" indent="1"/>
    </xf>
    <xf numFmtId="4" fontId="23" fillId="0" borderId="30" applyNumberFormat="0" applyProtection="0">
      <alignment horizontal="right" vertical="center"/>
    </xf>
    <xf numFmtId="4" fontId="23" fillId="0" borderId="30" applyNumberFormat="0" applyProtection="0">
      <alignment horizontal="right" vertical="center"/>
    </xf>
    <xf numFmtId="0" fontId="85" fillId="108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92" borderId="3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58" borderId="76" applyNumberFormat="0" applyProtection="0">
      <alignment horizontal="right" vertical="center"/>
    </xf>
    <xf numFmtId="4" fontId="23" fillId="86" borderId="3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54" borderId="30" applyNumberFormat="0" applyProtection="0">
      <alignment horizontal="left" vertical="center" indent="1"/>
    </xf>
    <xf numFmtId="4" fontId="23" fillId="54" borderId="3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63" borderId="76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40" fillId="54" borderId="76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23" fillId="94" borderId="3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3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44" fontId="2" fillId="0" borderId="0" applyFont="0" applyFill="0" applyBorder="0" applyAlignment="0" applyProtection="0"/>
    <xf numFmtId="4" fontId="23" fillId="9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4" borderId="3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83" borderId="30" applyNumberFormat="0" applyProtection="0">
      <alignment horizontal="left" vertical="center" indent="1"/>
    </xf>
    <xf numFmtId="4" fontId="23" fillId="95" borderId="3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83" borderId="30" applyNumberFormat="0" applyProtection="0">
      <alignment horizontal="left" vertical="center" indent="1"/>
    </xf>
    <xf numFmtId="194" fontId="124" fillId="0" borderId="47">
      <alignment horizontal="right"/>
    </xf>
    <xf numFmtId="0" fontId="3" fillId="66" borderId="80" applyNumberFormat="0" applyProtection="0">
      <alignment horizontal="left" vertical="center" indent="1"/>
    </xf>
    <xf numFmtId="0" fontId="135" fillId="116" borderId="85" applyNumberForma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3" fontId="2" fillId="0" borderId="0" applyFont="0" applyFill="0" applyBorder="0" applyAlignment="0" applyProtection="0"/>
    <xf numFmtId="0" fontId="127" fillId="0" borderId="49" applyFill="0" applyBorder="0" applyProtection="0">
      <alignment horizontal="left" vertical="top"/>
    </xf>
    <xf numFmtId="4" fontId="40" fillId="92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194" fontId="124" fillId="0" borderId="47">
      <alignment horizontal="right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4" fontId="41" fillId="69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8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0" fontId="36" fillId="0" borderId="77" applyNumberFormat="0" applyFill="0" applyAlignment="0" applyProtection="0"/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9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0" fontId="121" fillId="104" borderId="85" applyNumberFormat="0" applyAlignment="0" applyProtection="0"/>
    <xf numFmtId="0" fontId="3" fillId="66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40" fillId="108" borderId="86" applyNumberFormat="0" applyFont="0" applyAlignment="0" applyProtection="0"/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3" fontId="124" fillId="0" borderId="79"/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27" fillId="0" borderId="49" applyFill="0" applyBorder="0" applyProtection="0">
      <alignment horizontal="left" vertical="top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3" fontId="124" fillId="0" borderId="79"/>
    <xf numFmtId="0" fontId="40" fillId="72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2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136" fillId="0" borderId="69">
      <alignment horizontal="right"/>
    </xf>
    <xf numFmtId="0" fontId="136" fillId="0" borderId="69">
      <alignment horizontal="left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81" fillId="0" borderId="69">
      <alignment horizontal="center"/>
    </xf>
    <xf numFmtId="49" fontId="92" fillId="110" borderId="39"/>
    <xf numFmtId="0" fontId="90" fillId="67" borderId="39">
      <protection locked="0"/>
    </xf>
    <xf numFmtId="0" fontId="3" fillId="55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59" fillId="77" borderId="56" applyNumberFormat="0" applyAlignment="0" applyProtection="0"/>
    <xf numFmtId="4" fontId="82" fillId="72" borderId="80" applyNumberFormat="0" applyProtection="0">
      <alignment vertical="center"/>
    </xf>
    <xf numFmtId="0" fontId="59" fillId="77" borderId="56" applyNumberFormat="0" applyAlignment="0" applyProtection="0"/>
    <xf numFmtId="4" fontId="82" fillId="72" borderId="80" applyNumberFormat="0" applyProtection="0">
      <alignment vertical="center"/>
    </xf>
    <xf numFmtId="4" fontId="40" fillId="102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189" fontId="145" fillId="0" borderId="78" applyBorder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136" fillId="0" borderId="69">
      <alignment horizontal="right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59" fillId="77" borderId="56" applyNumberFormat="0" applyAlignment="0" applyProtection="0"/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3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4" fontId="40" fillId="102" borderId="80" applyNumberFormat="0" applyProtection="0">
      <alignment horizontal="left" vertical="center" indent="1"/>
    </xf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40" fillId="108" borderId="86" applyNumberFormat="0" applyFont="0" applyAlignment="0" applyProtection="0"/>
    <xf numFmtId="0" fontId="3" fillId="69" borderId="80" applyNumberFormat="0" applyProtection="0">
      <alignment horizontal="left" vertical="top" indent="1"/>
    </xf>
    <xf numFmtId="4" fontId="35" fillId="66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84" fillId="82" borderId="80" applyNumberFormat="0" applyProtection="0">
      <alignment horizontal="left" vertical="top" indent="1"/>
    </xf>
    <xf numFmtId="0" fontId="30" fillId="78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89" fillId="70" borderId="30" applyNumberFormat="0" applyProtection="0">
      <alignment horizontal="right" vertical="center"/>
    </xf>
    <xf numFmtId="0" fontId="53" fillId="32" borderId="0" applyNumberFormat="0" applyBorder="0" applyAlignment="0" applyProtection="0"/>
    <xf numFmtId="0" fontId="30" fillId="77" borderId="0" applyNumberFormat="0" applyBorder="0" applyAlignment="0" applyProtection="0"/>
    <xf numFmtId="4" fontId="88" fillId="100" borderId="76" applyNumberFormat="0" applyProtection="0">
      <alignment horizontal="right" vertical="center"/>
    </xf>
    <xf numFmtId="44" fontId="3" fillId="0" borderId="0" applyFont="0" applyFill="0" applyBorder="0" applyAlignment="0" applyProtection="0"/>
    <xf numFmtId="194" fontId="124" fillId="0" borderId="91">
      <alignment horizontal="right"/>
    </xf>
    <xf numFmtId="44" fontId="3" fillId="0" borderId="0" applyFont="0" applyFill="0" applyBorder="0" applyAlignment="0" applyProtection="0"/>
    <xf numFmtId="4" fontId="23" fillId="102" borderId="37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5" fillId="108" borderId="80" applyNumberFormat="0" applyProtection="0">
      <alignment vertical="center"/>
    </xf>
    <xf numFmtId="0" fontId="3" fillId="0" borderId="0"/>
    <xf numFmtId="49" fontId="92" fillId="110" borderId="89"/>
    <xf numFmtId="4" fontId="23" fillId="83" borderId="3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0"/>
    <xf numFmtId="4" fontId="40" fillId="72" borderId="76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82" fillId="100" borderId="76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0" fillId="76" borderId="0" applyNumberFormat="0" applyBorder="0" applyAlignment="0" applyProtection="0"/>
    <xf numFmtId="4" fontId="3" fillId="71" borderId="37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0" fontId="53" fillId="20" borderId="0" applyNumberFormat="0" applyBorder="0" applyAlignment="0" applyProtection="0"/>
    <xf numFmtId="43" fontId="3" fillId="0" borderId="0" applyFont="0" applyFill="0" applyBorder="0" applyAlignment="0" applyProtection="0"/>
    <xf numFmtId="0" fontId="53" fillId="24" borderId="0" applyNumberFormat="0" applyBorder="0" applyAlignment="0" applyProtection="0"/>
    <xf numFmtId="0" fontId="23" fillId="101" borderId="30" applyNumberFormat="0" applyProtection="0">
      <alignment horizontal="left" vertical="center" indent="1"/>
    </xf>
    <xf numFmtId="0" fontId="53" fillId="12" borderId="0" applyNumberFormat="0" applyBorder="0" applyAlignment="0" applyProtection="0"/>
    <xf numFmtId="189" fontId="145" fillId="0" borderId="78" applyBorder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0" fontId="3" fillId="4" borderId="76" applyNumberFormat="0" applyProtection="0">
      <alignment horizontal="left" vertical="center" indent="1"/>
    </xf>
    <xf numFmtId="4" fontId="23" fillId="101" borderId="37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23" fillId="83" borderId="3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53" fillId="16" borderId="0" applyNumberFormat="0" applyBorder="0" applyAlignment="0" applyProtection="0"/>
    <xf numFmtId="43" fontId="3" fillId="0" borderId="0" applyFont="0" applyFill="0" applyBorder="0" applyAlignment="0" applyProtection="0"/>
    <xf numFmtId="0" fontId="23" fillId="102" borderId="80" applyNumberFormat="0" applyProtection="0">
      <alignment horizontal="left" vertical="top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75" borderId="0" applyNumberFormat="0" applyBorder="0" applyAlignment="0" applyProtection="0"/>
    <xf numFmtId="4" fontId="85" fillId="104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146" fillId="125" borderId="78" applyBorder="0" applyProtection="0">
      <alignment horizontal="centerContinuous" vertical="center"/>
    </xf>
    <xf numFmtId="189" fontId="145" fillId="0" borderId="78" applyBorder="0" applyProtection="0">
      <alignment horizontal="right" vertical="center"/>
    </xf>
    <xf numFmtId="0" fontId="30" fillId="7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0" fontId="85" fillId="108" borderId="80" applyNumberFormat="0" applyProtection="0">
      <alignment horizontal="left" vertical="top" indent="1"/>
    </xf>
    <xf numFmtId="0" fontId="53" fillId="16" borderId="0" applyNumberFormat="0" applyBorder="0" applyAlignment="0" applyProtection="0"/>
    <xf numFmtId="0" fontId="53" fillId="28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105" borderId="30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0" fontId="30" fillId="38" borderId="0" applyNumberFormat="0" applyBorder="0" applyAlignment="0" applyProtection="0"/>
    <xf numFmtId="44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3" fillId="84" borderId="7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23" fillId="107" borderId="80" applyNumberFormat="0" applyProtection="0">
      <alignment horizontal="left" vertical="top" indent="1"/>
    </xf>
    <xf numFmtId="4" fontId="23" fillId="83" borderId="30" applyNumberFormat="0" applyProtection="0">
      <alignment horizontal="left" vertical="center" indent="1"/>
    </xf>
    <xf numFmtId="0" fontId="3" fillId="0" borderId="0"/>
    <xf numFmtId="4" fontId="23" fillId="83" borderId="30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80" fillId="121" borderId="12" applyNumberFormat="0" applyFont="0" applyAlignment="0" applyProtection="0"/>
    <xf numFmtId="0" fontId="30" fillId="7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3" fillId="104" borderId="3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82" fillId="72" borderId="76" applyNumberFormat="0" applyProtection="0">
      <alignment vertical="center"/>
    </xf>
    <xf numFmtId="0" fontId="3" fillId="0" borderId="0"/>
    <xf numFmtId="0" fontId="30" fillId="78" borderId="0" applyNumberFormat="0" applyBorder="0" applyAlignment="0" applyProtection="0"/>
    <xf numFmtId="0" fontId="30" fillId="75" borderId="0" applyNumberFormat="0" applyBorder="0" applyAlignment="0" applyProtection="0"/>
    <xf numFmtId="0" fontId="53" fillId="12" borderId="0" applyNumberFormat="0" applyBorder="0" applyAlignment="0" applyProtection="0"/>
    <xf numFmtId="4" fontId="40" fillId="72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0" fontId="30" fillId="76" borderId="0" applyNumberFormat="0" applyBorder="0" applyAlignment="0" applyProtection="0"/>
    <xf numFmtId="0" fontId="23" fillId="107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3" fillId="54" borderId="3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53" fillId="24" borderId="0" applyNumberFormat="0" applyBorder="0" applyAlignment="0" applyProtection="0"/>
    <xf numFmtId="44" fontId="3" fillId="0" borderId="0" applyFont="0" applyFill="0" applyBorder="0" applyAlignment="0" applyProtection="0"/>
    <xf numFmtId="4" fontId="3" fillId="71" borderId="37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89" fontId="145" fillId="0" borderId="57" applyBorder="0" applyProtection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74" borderId="0" applyNumberFormat="0" applyBorder="0" applyAlignment="0" applyProtection="0"/>
    <xf numFmtId="0" fontId="30" fillId="38" borderId="0" applyNumberFormat="0" applyBorder="0" applyAlignment="0" applyProtection="0"/>
    <xf numFmtId="0" fontId="3" fillId="0" borderId="0"/>
    <xf numFmtId="4" fontId="83" fillId="67" borderId="30" applyNumberFormat="0" applyProtection="0">
      <alignment horizontal="right" vertical="center"/>
    </xf>
    <xf numFmtId="0" fontId="90" fillId="67" borderId="89">
      <protection locked="0"/>
    </xf>
    <xf numFmtId="4" fontId="23" fillId="102" borderId="30" applyNumberFormat="0" applyProtection="0">
      <alignment horizontal="right" vertical="center"/>
    </xf>
    <xf numFmtId="0" fontId="86" fillId="0" borderId="0"/>
    <xf numFmtId="0" fontId="3" fillId="106" borderId="76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79" borderId="92" applyNumberFormat="0" applyAlignment="0" applyProtection="0"/>
    <xf numFmtId="0" fontId="57" fillId="79" borderId="92" applyNumberFormat="0" applyAlignment="0" applyProtection="0"/>
    <xf numFmtId="0" fontId="70" fillId="49" borderId="92" applyNumberFormat="0" applyAlignment="0" applyProtection="0"/>
    <xf numFmtId="0" fontId="70" fillId="49" borderId="92" applyNumberForma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83" fillId="54" borderId="92" applyNumberFormat="0" applyProtection="0">
      <alignment vertical="center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83" fillId="67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87" fillId="109" borderId="93" applyNumberFormat="0" applyProtection="0">
      <alignment horizontal="left" vertical="center" indent="1"/>
    </xf>
    <xf numFmtId="4" fontId="89" fillId="70" borderId="92" applyNumberFormat="0" applyProtection="0">
      <alignment horizontal="right" vertical="center"/>
    </xf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" fillId="84" borderId="36" applyNumberFormat="0" applyProtection="0">
      <alignment horizontal="left" vertical="center" indent="1"/>
    </xf>
    <xf numFmtId="4" fontId="40" fillId="56" borderId="36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40" fillId="88" borderId="22" applyNumberFormat="0" applyProtection="0">
      <alignment horizontal="right" vertical="center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40" fillId="108" borderId="97" applyNumberFormat="0" applyFont="0" applyAlignment="0" applyProtection="0"/>
    <xf numFmtId="4" fontId="40" fillId="90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63" borderId="36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4" fontId="40" fillId="54" borderId="36" applyNumberFormat="0" applyProtection="0">
      <alignment vertical="center"/>
    </xf>
    <xf numFmtId="4" fontId="82" fillId="54" borderId="36" applyNumberFormat="0" applyProtection="0">
      <alignment vertical="center"/>
    </xf>
    <xf numFmtId="4" fontId="40" fillId="88" borderId="22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4" fontId="40" fillId="54" borderId="36" applyNumberFormat="0" applyProtection="0">
      <alignment vertical="center"/>
    </xf>
    <xf numFmtId="0" fontId="85" fillId="10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40" fillId="64" borderId="36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4" fillId="54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85" fillId="10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33" fillId="66" borderId="22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4" fontId="82" fillId="10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85" fillId="108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85" fillId="104" borderId="22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82" fillId="72" borderId="36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36" applyNumberFormat="0" applyProtection="0">
      <alignment vertical="center"/>
    </xf>
    <xf numFmtId="4" fontId="40" fillId="72" borderId="22" applyNumberFormat="0" applyProtection="0">
      <alignment vertical="center"/>
    </xf>
    <xf numFmtId="4" fontId="85" fillId="108" borderId="22" applyNumberFormat="0" applyProtection="0">
      <alignment vertical="center"/>
    </xf>
    <xf numFmtId="4" fontId="40" fillId="72" borderId="36" applyNumberFormat="0" applyProtection="0">
      <alignment vertical="center"/>
    </xf>
    <xf numFmtId="4" fontId="40" fillId="72" borderId="36" applyNumberFormat="0" applyProtection="0">
      <alignment vertical="center"/>
    </xf>
    <xf numFmtId="4" fontId="35" fillId="62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103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14" fillId="71" borderId="26" applyBorder="0"/>
    <xf numFmtId="4" fontId="35" fillId="69" borderId="22" applyNumberFormat="0" applyProtection="0">
      <alignment vertical="center"/>
    </xf>
    <xf numFmtId="4" fontId="40" fillId="100" borderId="36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100" borderId="94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6" fillId="99" borderId="36" applyNumberFormat="0" applyProtection="0">
      <alignment horizontal="left" vertical="center" indent="1"/>
    </xf>
    <xf numFmtId="4" fontId="35" fillId="62" borderId="22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63" borderId="36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84" fillId="82" borderId="22" applyNumberFormat="0" applyProtection="0">
      <alignment horizontal="left" vertical="top" indent="1"/>
    </xf>
    <xf numFmtId="4" fontId="40" fillId="54" borderId="36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82" fillId="54" borderId="36" applyNumberFormat="0" applyProtection="0">
      <alignment vertical="center"/>
    </xf>
    <xf numFmtId="4" fontId="40" fillId="54" borderId="36" applyNumberFormat="0" applyProtection="0">
      <alignment vertical="center"/>
    </xf>
    <xf numFmtId="4" fontId="33" fillId="54" borderId="22" applyNumberFormat="0" applyProtection="0">
      <alignment vertical="center"/>
    </xf>
    <xf numFmtId="4" fontId="40" fillId="0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78" fillId="79" borderId="36" applyNumberFormat="0" applyAlignment="0" applyProtection="0"/>
    <xf numFmtId="0" fontId="78" fillId="79" borderId="36" applyNumberFormat="0" applyAlignment="0" applyProtection="0"/>
    <xf numFmtId="4" fontId="35" fillId="64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34" fillId="54" borderId="22" applyNumberFormat="0" applyProtection="0">
      <alignment vertical="center"/>
    </xf>
    <xf numFmtId="4" fontId="33" fillId="54" borderId="22" applyNumberFormat="0" applyProtection="0">
      <alignment vertical="center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106" borderId="36" applyNumberFormat="0" applyProtection="0">
      <alignment horizontal="left" vertical="center" indent="1"/>
    </xf>
    <xf numFmtId="0" fontId="78" fillId="79" borderId="36" applyNumberFormat="0" applyAlignment="0" applyProtection="0"/>
    <xf numFmtId="4" fontId="36" fillId="82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35" fillId="56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4" fontId="35" fillId="59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33" fillId="54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88" fillId="100" borderId="36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61" borderId="36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0" borderId="22" applyNumberFormat="0" applyProtection="0">
      <alignment horizontal="right" vertical="center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4" fontId="40" fillId="0" borderId="36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9" fontId="92" fillId="110" borderId="89"/>
    <xf numFmtId="0" fontId="3" fillId="0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94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0" fontId="127" fillId="0" borderId="90" applyFill="0" applyBorder="0" applyProtection="0">
      <alignment horizontal="left" vertical="top"/>
    </xf>
    <xf numFmtId="0" fontId="3" fillId="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14" fillId="71" borderId="26" applyBorder="0"/>
    <xf numFmtId="0" fontId="3" fillId="0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4" fontId="40" fillId="100" borderId="94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85" fillId="108" borderId="22" applyNumberFormat="0" applyProtection="0">
      <alignment vertical="center"/>
    </xf>
    <xf numFmtId="4" fontId="88" fillId="101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0" borderId="22" applyNumberFormat="0" applyProtection="0">
      <alignment horizontal="right" vertical="center"/>
    </xf>
    <xf numFmtId="4" fontId="35" fillId="69" borderId="22" applyNumberFormat="0" applyProtection="0">
      <alignment vertical="center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4" fontId="35" fillId="58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3" fillId="66" borderId="22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4" fontId="33" fillId="66" borderId="27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14" fillId="71" borderId="26" applyBorder="0"/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35" fillId="69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35" fillId="62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4" fontId="35" fillId="5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33" fillId="54" borderId="22" applyNumberFormat="0" applyProtection="0">
      <alignment vertical="center"/>
    </xf>
    <xf numFmtId="4" fontId="40" fillId="97" borderId="36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" fillId="0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88" borderId="22" applyNumberFormat="0" applyProtection="0">
      <alignment horizontal="right" vertical="center"/>
    </xf>
    <xf numFmtId="0" fontId="3" fillId="106" borderId="36" applyNumberFormat="0" applyProtection="0">
      <alignment horizontal="left" vertical="center" indent="1"/>
    </xf>
    <xf numFmtId="4" fontId="40" fillId="92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0" fontId="23" fillId="101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72" borderId="36" applyNumberFormat="0" applyProtection="0">
      <alignment vertical="center"/>
    </xf>
    <xf numFmtId="4" fontId="40" fillId="100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54" borderId="36" applyNumberFormat="0" applyProtection="0">
      <alignment vertical="center"/>
    </xf>
    <xf numFmtId="0" fontId="23" fillId="48" borderId="92" applyNumberFormat="0" applyFont="0" applyAlignment="0" applyProtection="0"/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54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4" fontId="23" fillId="0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35" fillId="54" borderId="2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135" fillId="116" borderId="96" applyNumberFormat="0" applyAlignment="0" applyProtection="0"/>
    <xf numFmtId="0" fontId="135" fillId="116" borderId="96" applyNumberFormat="0" applyAlignment="0" applyProtection="0"/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35" fillId="116" borderId="96" applyNumberFormat="0" applyAlignment="0" applyProtection="0"/>
    <xf numFmtId="0" fontId="135" fillId="116" borderId="96" applyNumberFormat="0" applyAlignment="0" applyProtection="0"/>
    <xf numFmtId="0" fontId="121" fillId="104" borderId="96" applyNumberFormat="0" applyAlignment="0" applyProtection="0"/>
    <xf numFmtId="0" fontId="121" fillId="104" borderId="96" applyNumberFormat="0" applyAlignment="0" applyProtection="0"/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4" fontId="45" fillId="68" borderId="27" applyNumberFormat="0" applyProtection="0">
      <alignment horizontal="left" vertical="center" indent="1"/>
    </xf>
    <xf numFmtId="4" fontId="88" fillId="100" borderId="36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9" fontId="92" fillId="110" borderId="89"/>
    <xf numFmtId="0" fontId="3" fillId="69" borderId="22" applyNumberFormat="0" applyProtection="0">
      <alignment horizontal="left" vertical="center" indent="1"/>
    </xf>
    <xf numFmtId="0" fontId="90" fillId="67" borderId="89">
      <protection locked="0"/>
    </xf>
    <xf numFmtId="0" fontId="23" fillId="102" borderId="22" applyNumberFormat="0" applyProtection="0">
      <alignment horizontal="left" vertical="top" indent="1"/>
    </xf>
    <xf numFmtId="4" fontId="35" fillId="69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0" fontId="3" fillId="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4" fontId="40" fillId="103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4" fontId="35" fillId="63" borderId="22" applyNumberFormat="0" applyProtection="0">
      <alignment horizontal="right" vertical="center"/>
    </xf>
    <xf numFmtId="0" fontId="3" fillId="0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0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4" fontId="82" fillId="54" borderId="36" applyNumberFormat="0" applyProtection="0">
      <alignment vertical="center"/>
    </xf>
    <xf numFmtId="0" fontId="23" fillId="101" borderId="22" applyNumberFormat="0" applyProtection="0">
      <alignment horizontal="left" vertical="top" indent="1"/>
    </xf>
    <xf numFmtId="0" fontId="90" fillId="67" borderId="89">
      <protection locked="0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5" fillId="68" borderId="27" applyNumberFormat="0" applyProtection="0">
      <alignment horizontal="left" vertical="center" indent="1"/>
    </xf>
    <xf numFmtId="4" fontId="40" fillId="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0" fontId="85" fillId="10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72" borderId="36" applyNumberFormat="0" applyProtection="0">
      <alignment vertical="center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4" fontId="40" fillId="63" borderId="36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0" fontId="23" fillId="101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85" fillId="108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35" fillId="61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94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9" fontId="92" fillId="110" borderId="89"/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5" fillId="57" borderId="22" applyNumberFormat="0" applyProtection="0">
      <alignment horizontal="right" vertical="center"/>
    </xf>
    <xf numFmtId="4" fontId="33" fillId="54" borderId="22" applyNumberFormat="0" applyProtection="0">
      <alignment vertical="center"/>
    </xf>
    <xf numFmtId="0" fontId="3" fillId="106" borderId="36" applyNumberFormat="0" applyProtection="0">
      <alignment horizontal="left" vertical="center" indent="1"/>
    </xf>
    <xf numFmtId="4" fontId="82" fillId="54" borderId="36" applyNumberFormat="0" applyProtection="0">
      <alignment vertical="center"/>
    </xf>
    <xf numFmtId="4" fontId="33" fillId="66" borderId="27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8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85" fillId="108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90" fillId="67" borderId="89">
      <protection locked="0"/>
    </xf>
    <xf numFmtId="0" fontId="3" fillId="84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85" fillId="10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4" fontId="82" fillId="10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82" fillId="72" borderId="36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36" applyNumberFormat="0" applyProtection="0">
      <alignment vertical="center"/>
    </xf>
    <xf numFmtId="4" fontId="40" fillId="72" borderId="22" applyNumberFormat="0" applyProtection="0">
      <alignment vertical="center"/>
    </xf>
    <xf numFmtId="4" fontId="85" fillId="108" borderId="22" applyNumberFormat="0" applyProtection="0">
      <alignment vertical="center"/>
    </xf>
    <xf numFmtId="4" fontId="40" fillId="72" borderId="36" applyNumberFormat="0" applyProtection="0">
      <alignment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84" fillId="82" borderId="22" applyNumberFormat="0" applyProtection="0">
      <alignment horizontal="left" vertical="top" indent="1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35" fillId="57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57" borderId="36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35" fillId="56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34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40" fillId="85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3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135" fillId="116" borderId="96" applyNumberFormat="0" applyAlignment="0" applyProtection="0"/>
    <xf numFmtId="0" fontId="135" fillId="116" borderId="96" applyNumberFormat="0" applyAlignment="0" applyProtection="0"/>
    <xf numFmtId="0" fontId="36" fillId="54" borderId="22" applyNumberFormat="0" applyProtection="0">
      <alignment horizontal="left" vertical="top" indent="1"/>
    </xf>
    <xf numFmtId="4" fontId="40" fillId="88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35" fillId="69" borderId="22" applyNumberFormat="0" applyProtection="0">
      <alignment vertical="center"/>
    </xf>
    <xf numFmtId="4" fontId="40" fillId="102" borderId="22" applyNumberFormat="0" applyProtection="0">
      <alignment horizontal="left" vertical="center" indent="1"/>
    </xf>
    <xf numFmtId="4" fontId="40" fillId="72" borderId="36" applyNumberFormat="0" applyProtection="0">
      <alignment vertical="center"/>
    </xf>
    <xf numFmtId="4" fontId="82" fillId="72" borderId="36" applyNumberFormat="0" applyProtection="0">
      <alignment vertical="center"/>
    </xf>
    <xf numFmtId="4" fontId="40" fillId="72" borderId="36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33" fillId="54" borderId="22" applyNumberFormat="0" applyProtection="0">
      <alignment vertical="center"/>
    </xf>
    <xf numFmtId="0" fontId="3" fillId="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106" borderId="36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4" fontId="40" fillId="63" borderId="36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4" fontId="35" fillId="69" borderId="22" applyNumberFormat="0" applyProtection="0">
      <alignment vertical="center"/>
    </xf>
    <xf numFmtId="0" fontId="23" fillId="102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121" fillId="104" borderId="96" applyNumberFormat="0" applyAlignment="0" applyProtection="0"/>
    <xf numFmtId="4" fontId="40" fillId="101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113" fillId="54" borderId="22" applyNumberFormat="0" applyProtection="0">
      <alignment vertical="center"/>
    </xf>
    <xf numFmtId="0" fontId="3" fillId="84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54" borderId="36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36" fillId="54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4" fontId="40" fillId="100" borderId="94" applyNumberFormat="0" applyProtection="0">
      <alignment horizontal="left" vertical="center" indent="1"/>
    </xf>
    <xf numFmtId="4" fontId="35" fillId="62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88" fillId="100" borderId="36" applyNumberFormat="0" applyProtection="0">
      <alignment horizontal="right" vertical="center"/>
    </xf>
    <xf numFmtId="4" fontId="36" fillId="99" borderId="36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6" fillId="69" borderId="22" applyNumberFormat="0" applyProtection="0">
      <alignment horizontal="right" vertical="center"/>
    </xf>
    <xf numFmtId="4" fontId="40" fillId="103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6" fillId="69" borderId="22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4" fontId="45" fillId="68" borderId="27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33" fillId="66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3" fillId="55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55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9" fontId="92" fillId="110" borderId="89"/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0" borderId="22" applyNumberFormat="0" applyProtection="0">
      <alignment horizontal="right" vertical="center"/>
    </xf>
    <xf numFmtId="0" fontId="3" fillId="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36" fillId="99" borderId="36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94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5" fillId="64" borderId="22" applyNumberFormat="0" applyProtection="0">
      <alignment horizontal="right" vertical="center"/>
    </xf>
    <xf numFmtId="4" fontId="34" fillId="54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100" borderId="94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5" fillId="54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4" borderId="22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0" fillId="0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135" fillId="116" borderId="96" applyNumberFormat="0" applyAlignment="0" applyProtection="0"/>
    <xf numFmtId="4" fontId="40" fillId="93" borderId="36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4" fillId="54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120" fillId="0" borderId="46" applyFill="0" applyProtection="0">
      <alignment horizontal="right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3" fillId="0" borderId="36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49" fontId="92" fillId="110" borderId="89"/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0" fillId="0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0" fontId="85" fillId="108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85" fillId="104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35" fillId="59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135" fillId="116" borderId="96" applyNumberFormat="0" applyAlignment="0" applyProtection="0"/>
    <xf numFmtId="0" fontId="135" fillId="116" borderId="96" applyNumberFormat="0" applyAlignment="0" applyProtection="0"/>
    <xf numFmtId="4" fontId="40" fillId="54" borderId="36" applyNumberFormat="0" applyProtection="0">
      <alignment horizontal="left" vertical="center" indent="1"/>
    </xf>
    <xf numFmtId="194" fontId="124" fillId="0" borderId="91">
      <alignment horizontal="right"/>
    </xf>
    <xf numFmtId="4" fontId="40" fillId="54" borderId="36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40" fillId="54" borderId="36" applyNumberFormat="0" applyProtection="0">
      <alignment vertical="center"/>
    </xf>
    <xf numFmtId="4" fontId="3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72" borderId="36" applyNumberFormat="0" applyProtection="0">
      <alignment vertical="center"/>
    </xf>
    <xf numFmtId="4" fontId="40" fillId="102" borderId="22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35" fillId="6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66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5" fillId="6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40" fillId="104" borderId="36" applyNumberFormat="0" applyAlignment="0" applyProtection="0"/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46" fillId="69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40" fillId="56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3" fontId="124" fillId="0" borderId="44"/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1" fillId="69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96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6" fillId="0" borderId="98" applyNumberFormat="0" applyFill="0" applyAlignment="0" applyProtection="0"/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9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127" fillId="0" borderId="90" applyFill="0" applyBorder="0" applyProtection="0">
      <alignment horizontal="left" vertical="top"/>
    </xf>
    <xf numFmtId="0" fontId="3" fillId="68" borderId="22" applyNumberFormat="0" applyProtection="0">
      <alignment horizontal="left" vertical="top" indent="1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3" fontId="124" fillId="0" borderId="44"/>
    <xf numFmtId="0" fontId="3" fillId="68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0" fontId="3" fillId="0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0" fontId="3" fillId="4" borderId="36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88" fillId="101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78" fillId="79" borderId="36" applyNumberFormat="0" applyAlignment="0" applyProtection="0"/>
    <xf numFmtId="4" fontId="46" fillId="69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4" fontId="35" fillId="59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58" borderId="36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40" fillId="95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35" fillId="116" borderId="96" applyNumberFormat="0" applyAlignment="0" applyProtection="0"/>
    <xf numFmtId="0" fontId="135" fillId="116" borderId="96" applyNumberFormat="0" applyAlignment="0" applyProtection="0"/>
    <xf numFmtId="0" fontId="3" fillId="68" borderId="22" applyNumberFormat="0" applyProtection="0">
      <alignment horizontal="left" vertical="top" indent="1"/>
    </xf>
    <xf numFmtId="4" fontId="40" fillId="63" borderId="36" applyNumberFormat="0" applyProtection="0">
      <alignment horizontal="right" vertical="center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120" fillId="0" borderId="46" applyFill="0" applyProtection="0">
      <alignment horizontal="right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14" fillId="71" borderId="26" applyBorder="0"/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35" fillId="62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33" fillId="54" borderId="22" applyNumberFormat="0" applyProtection="0">
      <alignment vertical="center"/>
    </xf>
    <xf numFmtId="0" fontId="3" fillId="68" borderId="22" applyNumberFormat="0" applyProtection="0">
      <alignment horizontal="left" vertical="top" indent="1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4" fontId="35" fillId="64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35" fillId="59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61" borderId="36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33" fillId="54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101" borderId="22" applyNumberFormat="0" applyProtection="0">
      <alignment horizontal="right" vertical="center"/>
    </xf>
    <xf numFmtId="4" fontId="40" fillId="72" borderId="22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90" fillId="67" borderId="89">
      <protection locked="0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194" fontId="124" fillId="0" borderId="91">
      <alignment horizontal="right"/>
    </xf>
    <xf numFmtId="0" fontId="40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35" fillId="58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36" fillId="0" borderId="98" applyNumberFormat="0" applyFill="0" applyAlignment="0" applyProtection="0"/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9" fontId="92" fillId="110" borderId="89"/>
    <xf numFmtId="0" fontId="3" fillId="68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35" fillId="69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88" fillId="100" borderId="36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1" fillId="69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33" fillId="66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0" borderId="36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72" borderId="36" applyNumberFormat="0" applyProtection="0">
      <alignment vertical="center"/>
    </xf>
    <xf numFmtId="0" fontId="23" fillId="107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78" fillId="79" borderId="36" applyNumberFormat="0" applyAlignment="0" applyProtection="0"/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40" fillId="94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0" fontId="3" fillId="0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9" fontId="92" fillId="110" borderId="89"/>
    <xf numFmtId="4" fontId="40" fillId="54" borderId="36" applyNumberFormat="0" applyProtection="0">
      <alignment vertical="center"/>
    </xf>
    <xf numFmtId="4" fontId="40" fillId="72" borderId="22" applyNumberFormat="0" applyProtection="0">
      <alignment vertical="center"/>
    </xf>
    <xf numFmtId="4" fontId="33" fillId="66" borderId="27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40" fillId="8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88" fillId="101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5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6" fillId="0" borderId="98" applyNumberFormat="0" applyFill="0" applyAlignment="0" applyProtection="0"/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58" borderId="36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4" fontId="40" fillId="0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0" fontId="140" fillId="104" borderId="36" applyNumberFormat="0" applyAlignment="0" applyProtection="0"/>
    <xf numFmtId="0" fontId="3" fillId="68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0" fontId="120" fillId="0" borderId="46" applyFill="0" applyProtection="0">
      <alignment horizontal="right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4" fontId="113" fillId="54" borderId="22" applyNumberFormat="0" applyProtection="0">
      <alignment vertical="center"/>
    </xf>
    <xf numFmtId="0" fontId="3" fillId="68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23" fillId="102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101" borderId="22" applyNumberFormat="0" applyProtection="0">
      <alignment horizontal="right" vertical="center"/>
    </xf>
    <xf numFmtId="4" fontId="40" fillId="72" borderId="22" applyNumberFormat="0" applyProtection="0">
      <alignment vertical="center"/>
    </xf>
    <xf numFmtId="4" fontId="82" fillId="101" borderId="22" applyNumberFormat="0" applyProtection="0">
      <alignment horizontal="right" vertical="center"/>
    </xf>
    <xf numFmtId="4" fontId="40" fillId="72" borderId="22" applyNumberFormat="0" applyProtection="0">
      <alignment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121" fillId="104" borderId="96" applyNumberFormat="0" applyAlignment="0" applyProtection="0"/>
    <xf numFmtId="4" fontId="113" fillId="54" borderId="22" applyNumberFormat="0" applyProtection="0">
      <alignment vertical="center"/>
    </xf>
    <xf numFmtId="4" fontId="40" fillId="85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3" fontId="124" fillId="0" borderId="44"/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0" fontId="135" fillId="116" borderId="96" applyNumberFormat="0" applyAlignment="0" applyProtection="0"/>
    <xf numFmtId="0" fontId="135" fillId="116" borderId="96" applyNumberFormat="0" applyAlignment="0" applyProtection="0"/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84" fillId="82" borderId="22" applyNumberFormat="0" applyProtection="0">
      <alignment horizontal="left" vertical="top" indent="1"/>
    </xf>
    <xf numFmtId="194" fontId="124" fillId="0" borderId="91">
      <alignment horizontal="right"/>
    </xf>
    <xf numFmtId="4" fontId="40" fillId="63" borderId="36" applyNumberFormat="0" applyProtection="0">
      <alignment horizontal="right" vertical="center"/>
    </xf>
    <xf numFmtId="0" fontId="23" fillId="107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4" fontId="45" fillId="68" borderId="27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35" fillId="69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4" fontId="40" fillId="63" borderId="36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82" fillId="72" borderId="36" applyNumberFormat="0" applyProtection="0">
      <alignment vertical="center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40" fillId="104" borderId="36" applyNumberFormat="0" applyAlignment="0" applyProtection="0"/>
    <xf numFmtId="0" fontId="140" fillId="104" borderId="36" applyNumberFormat="0" applyAlignment="0" applyProtection="0"/>
    <xf numFmtId="0" fontId="3" fillId="55" borderId="22" applyNumberFormat="0" applyProtection="0">
      <alignment horizontal="left" vertical="center" indent="1"/>
    </xf>
    <xf numFmtId="4" fontId="35" fillId="56" borderId="22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4" fontId="40" fillId="89" borderId="22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4" fontId="35" fillId="56" borderId="22" applyNumberFormat="0" applyProtection="0">
      <alignment horizontal="right" vertical="center"/>
    </xf>
    <xf numFmtId="0" fontId="90" fillId="67" borderId="89">
      <protection locked="0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3" fontId="124" fillId="0" borderId="44"/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88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40" fillId="54" borderId="36" applyNumberFormat="0" applyProtection="0">
      <alignment vertical="center"/>
    </xf>
    <xf numFmtId="4" fontId="45" fillId="68" borderId="27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4" fontId="85" fillId="108" borderId="22" applyNumberFormat="0" applyProtection="0">
      <alignment vertical="center"/>
    </xf>
    <xf numFmtId="0" fontId="127" fillId="0" borderId="90" applyFill="0" applyBorder="0" applyProtection="0">
      <alignment horizontal="left" vertical="top"/>
    </xf>
    <xf numFmtId="4" fontId="40" fillId="58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3" fontId="124" fillId="0" borderId="44"/>
    <xf numFmtId="0" fontId="3" fillId="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35" fillId="64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0" fillId="7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40" fillId="87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63" borderId="22" applyNumberFormat="0" applyProtection="0">
      <alignment horizontal="right" vertical="center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35" fillId="116" borderId="96" applyNumberFormat="0" applyAlignment="0" applyProtection="0"/>
    <xf numFmtId="0" fontId="135" fillId="116" borderId="96" applyNumberFormat="0" applyAlignment="0" applyProtection="0"/>
    <xf numFmtId="0" fontId="23" fillId="71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40" fillId="90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120" fillId="0" borderId="46" applyFill="0" applyProtection="0">
      <alignment horizontal="right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14" fillId="71" borderId="26" applyBorder="0"/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35" fillId="62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33" fillId="54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4" fontId="45" fillId="68" borderId="27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0" fontId="40" fillId="108" borderId="97" applyNumberFormat="0" applyFont="0" applyAlignment="0" applyProtection="0"/>
    <xf numFmtId="0" fontId="3" fillId="66" borderId="22" applyNumberFormat="0" applyProtection="0">
      <alignment horizontal="left" vertical="center" indent="1"/>
    </xf>
    <xf numFmtId="4" fontId="88" fillId="100" borderId="36" applyNumberFormat="0" applyProtection="0">
      <alignment horizontal="right" vertical="center"/>
    </xf>
    <xf numFmtId="0" fontId="23" fillId="101" borderId="22" applyNumberFormat="0" applyProtection="0">
      <alignment horizontal="left" vertical="top" indent="1"/>
    </xf>
    <xf numFmtId="4" fontId="33" fillId="54" borderId="22" applyNumberFormat="0" applyProtection="0">
      <alignment vertical="center"/>
    </xf>
    <xf numFmtId="4" fontId="40" fillId="0" borderId="22" applyNumberFormat="0" applyProtection="0">
      <alignment horizontal="left" vertical="center" indent="1"/>
    </xf>
    <xf numFmtId="4" fontId="40" fillId="58" borderId="36" applyNumberFormat="0" applyProtection="0">
      <alignment horizontal="right" vertical="center"/>
    </xf>
    <xf numFmtId="4" fontId="36" fillId="99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54" borderId="36" applyNumberFormat="0" applyProtection="0">
      <alignment vertical="center"/>
    </xf>
    <xf numFmtId="0" fontId="23" fillId="101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35" fillId="69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40" fillId="54" borderId="36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88" fillId="100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40" fillId="58" borderId="36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40" fillId="91" borderId="36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4" fontId="40" fillId="64" borderId="36" applyNumberFormat="0" applyProtection="0">
      <alignment horizontal="right" vertical="center"/>
    </xf>
    <xf numFmtId="4" fontId="85" fillId="104" borderId="22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3" fillId="66" borderId="27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40" fillId="72" borderId="36" applyNumberFormat="0" applyProtection="0">
      <alignment horizontal="left" vertical="center" indent="1"/>
    </xf>
    <xf numFmtId="0" fontId="120" fillId="0" borderId="46" applyFill="0" applyProtection="0">
      <alignment horizontal="right"/>
    </xf>
    <xf numFmtId="0" fontId="3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45" fillId="68" borderId="27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3" fillId="106" borderId="36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0" fontId="84" fillId="82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35" fillId="54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72" borderId="36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0" fontId="3" fillId="84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6" fillId="69" borderId="22" applyNumberFormat="0" applyProtection="0">
      <alignment horizontal="right" vertical="center"/>
    </xf>
    <xf numFmtId="4" fontId="40" fillId="72" borderId="22" applyNumberFormat="0" applyProtection="0">
      <alignment horizontal="left" vertical="center" indent="1"/>
    </xf>
    <xf numFmtId="4" fontId="33" fillId="54" borderId="22" applyNumberFormat="0" applyProtection="0">
      <alignment vertical="center"/>
    </xf>
    <xf numFmtId="4" fontId="35" fillId="69" borderId="22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78" fillId="79" borderId="36" applyNumberFormat="0" applyAlignment="0" applyProtection="0"/>
    <xf numFmtId="4" fontId="40" fillId="54" borderId="36" applyNumberFormat="0" applyProtection="0">
      <alignment horizontal="left" vertical="center" indent="1"/>
    </xf>
    <xf numFmtId="4" fontId="82" fillId="54" borderId="36" applyNumberFormat="0" applyProtection="0">
      <alignment vertical="center"/>
    </xf>
    <xf numFmtId="4" fontId="34" fillId="54" borderId="22" applyNumberFormat="0" applyProtection="0">
      <alignment vertical="center"/>
    </xf>
    <xf numFmtId="4" fontId="40" fillId="5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100" borderId="94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194" fontId="124" fillId="0" borderId="91">
      <alignment horizontal="right"/>
    </xf>
    <xf numFmtId="0" fontId="3" fillId="106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36" applyNumberFormat="0" applyProtection="0">
      <alignment horizontal="left" vertical="center" indent="1"/>
    </xf>
    <xf numFmtId="4" fontId="85" fillId="104" borderId="22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vertical="center"/>
    </xf>
    <xf numFmtId="4" fontId="40" fillId="72" borderId="36" applyNumberFormat="0" applyProtection="0">
      <alignment horizontal="left" vertical="center" indent="1"/>
    </xf>
    <xf numFmtId="4" fontId="40" fillId="0" borderId="36" applyNumberFormat="0" applyProtection="0">
      <alignment horizontal="right" vertical="center"/>
    </xf>
    <xf numFmtId="0" fontId="3" fillId="0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90" fillId="67" borderId="89">
      <protection locked="0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0" borderId="36" applyNumberFormat="0" applyProtection="0">
      <alignment horizontal="left" vertical="center" indent="1"/>
    </xf>
    <xf numFmtId="4" fontId="35" fillId="69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72" borderId="36" applyNumberFormat="0" applyProtection="0">
      <alignment vertical="center"/>
    </xf>
    <xf numFmtId="0" fontId="23" fillId="101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46" fillId="69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0" fontId="14" fillId="71" borderId="26" applyBorder="0"/>
    <xf numFmtId="4" fontId="41" fillId="69" borderId="22" applyNumberFormat="0" applyProtection="0">
      <alignment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5" fillId="60" borderId="22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0" fontId="3" fillId="106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33" fillId="54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0" fontId="23" fillId="107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4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35" fillId="56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121" fillId="104" borderId="96" applyNumberFormat="0" applyAlignment="0" applyProtection="0"/>
    <xf numFmtId="4" fontId="40" fillId="72" borderId="22" applyNumberFormat="0" applyProtection="0">
      <alignment vertical="center"/>
    </xf>
    <xf numFmtId="4" fontId="40" fillId="72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40" fillId="91" borderId="36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78" fillId="79" borderId="36" applyNumberFormat="0" applyAlignment="0" applyProtection="0"/>
    <xf numFmtId="4" fontId="35" fillId="69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140" fillId="104" borderId="36" applyNumberFormat="0" applyAlignment="0" applyProtection="0"/>
    <xf numFmtId="4" fontId="40" fillId="0" borderId="36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72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194" fontId="124" fillId="0" borderId="91">
      <alignment horizontal="right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6" fillId="54" borderId="22" applyNumberFormat="0" applyProtection="0">
      <alignment horizontal="left" vertical="top" indent="1"/>
    </xf>
    <xf numFmtId="0" fontId="40" fillId="108" borderId="97" applyNumberFormat="0" applyFont="0" applyAlignment="0" applyProtection="0"/>
    <xf numFmtId="4" fontId="40" fillId="72" borderId="22" applyNumberFormat="0" applyProtection="0">
      <alignment horizontal="left" vertical="center" indent="1"/>
    </xf>
    <xf numFmtId="4" fontId="46" fillId="69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14" fillId="71" borderId="26" applyBorder="0"/>
    <xf numFmtId="4" fontId="35" fillId="6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35" fillId="61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5" fillId="58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85" fillId="10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0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40" fillId="7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1" fillId="69" borderId="22" applyNumberFormat="0" applyProtection="0">
      <alignment vertical="center"/>
    </xf>
    <xf numFmtId="4" fontId="88" fillId="101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46" fillId="69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0" fontId="3" fillId="66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40" fillId="103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103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78" fillId="79" borderId="36" applyNumberFormat="0" applyAlignment="0" applyProtection="0"/>
    <xf numFmtId="4" fontId="36" fillId="82" borderId="22" applyNumberFormat="0" applyProtection="0">
      <alignment vertical="center"/>
    </xf>
    <xf numFmtId="0" fontId="36" fillId="54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0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0" borderId="36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0" fillId="63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0" fontId="127" fillId="0" borderId="90" applyFill="0" applyBorder="0" applyProtection="0">
      <alignment horizontal="left" vertical="top"/>
    </xf>
    <xf numFmtId="3" fontId="124" fillId="0" borderId="44"/>
    <xf numFmtId="0" fontId="23" fillId="101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135" fillId="116" borderId="96" applyNumberFormat="0" applyAlignment="0" applyProtection="0"/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100" borderId="94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40" fillId="9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23" fillId="101" borderId="22" applyNumberFormat="0" applyProtection="0">
      <alignment horizontal="left" vertical="top" indent="1"/>
    </xf>
    <xf numFmtId="0" fontId="90" fillId="67" borderId="89">
      <protection locked="0"/>
    </xf>
    <xf numFmtId="49" fontId="92" fillId="110" borderId="89"/>
    <xf numFmtId="0" fontId="40" fillId="68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4" fontId="35" fillId="61" borderId="22" applyNumberFormat="0" applyProtection="0">
      <alignment horizontal="right" vertical="center"/>
    </xf>
    <xf numFmtId="0" fontId="23" fillId="71" borderId="22" applyNumberFormat="0" applyProtection="0">
      <alignment horizontal="left" vertical="top" indent="1"/>
    </xf>
    <xf numFmtId="0" fontId="3" fillId="0" borderId="36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40" fillId="94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35" fillId="5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3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36" fillId="99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100" borderId="94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40" fillId="57" borderId="36" applyNumberFormat="0" applyProtection="0">
      <alignment horizontal="right" vertical="center"/>
    </xf>
    <xf numFmtId="4" fontId="40" fillId="64" borderId="36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0" fontId="3" fillId="0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6" fillId="54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92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5" fillId="56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40" fillId="72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4" fontId="40" fillId="58" borderId="36" applyNumberFormat="0" applyProtection="0">
      <alignment horizontal="right" vertical="center"/>
    </xf>
    <xf numFmtId="4" fontId="40" fillId="103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40" fillId="85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127" fillId="0" borderId="90" applyFill="0" applyBorder="0" applyProtection="0">
      <alignment horizontal="left" vertical="top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40" fillId="0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4" fontId="35" fillId="69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0" fontId="36" fillId="54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0" fontId="23" fillId="71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40" fillId="72" borderId="22" applyNumberFormat="0" applyProtection="0">
      <alignment vertical="center"/>
    </xf>
    <xf numFmtId="0" fontId="3" fillId="55" borderId="22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4" fontId="35" fillId="57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4" fontId="35" fillId="66" borderId="22" applyNumberFormat="0" applyProtection="0">
      <alignment horizontal="right" vertical="center"/>
    </xf>
    <xf numFmtId="0" fontId="23" fillId="7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100" borderId="94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97" borderId="36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97" borderId="36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35" fillId="56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194" fontId="124" fillId="0" borderId="91">
      <alignment horizontal="right"/>
    </xf>
    <xf numFmtId="4" fontId="40" fillId="88" borderId="22" applyNumberFormat="0" applyProtection="0">
      <alignment horizontal="right" vertical="center"/>
    </xf>
    <xf numFmtId="0" fontId="23" fillId="107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97" borderId="36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4" fontId="82" fillId="100" borderId="36" applyNumberFormat="0" applyProtection="0">
      <alignment horizontal="right" vertical="center"/>
    </xf>
    <xf numFmtId="0" fontId="23" fillId="102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0" fontId="3" fillId="103" borderId="36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102" borderId="22" applyNumberFormat="0" applyProtection="0">
      <alignment horizontal="right" vertical="center"/>
    </xf>
    <xf numFmtId="4" fontId="40" fillId="54" borderId="36" applyNumberFormat="0" applyProtection="0">
      <alignment horizontal="left" vertical="center" indent="1"/>
    </xf>
    <xf numFmtId="4" fontId="35" fillId="59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0" fontId="40" fillId="108" borderId="97" applyNumberFormat="0" applyFont="0" applyAlignment="0" applyProtection="0"/>
    <xf numFmtId="0" fontId="85" fillId="102" borderId="22" applyNumberFormat="0" applyProtection="0">
      <alignment horizontal="left" vertical="top" indent="1"/>
    </xf>
    <xf numFmtId="4" fontId="40" fillId="0" borderId="22" applyNumberFormat="0" applyProtection="0">
      <alignment horizontal="left" vertical="center" indent="1"/>
    </xf>
    <xf numFmtId="0" fontId="3" fillId="0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4" fontId="41" fillId="69" borderId="22" applyNumberFormat="0" applyProtection="0">
      <alignment vertical="center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4" fontId="35" fillId="59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3" fillId="66" borderId="27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40" fillId="102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40" fillId="88" borderId="22" applyNumberFormat="0" applyProtection="0">
      <alignment horizontal="right" vertical="center"/>
    </xf>
    <xf numFmtId="4" fontId="82" fillId="100" borderId="36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35" fillId="57" borderId="22" applyNumberFormat="0" applyProtection="0">
      <alignment horizontal="right" vertical="center"/>
    </xf>
    <xf numFmtId="0" fontId="3" fillId="4" borderId="36" applyNumberFormat="0" applyProtection="0">
      <alignment horizontal="left" vertical="center" indent="1"/>
    </xf>
    <xf numFmtId="4" fontId="40" fillId="88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40" fillId="56" borderId="36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84" fillId="82" borderId="22" applyNumberFormat="0" applyProtection="0">
      <alignment horizontal="left" vertical="top" indent="1"/>
    </xf>
    <xf numFmtId="4" fontId="40" fillId="72" borderId="36" applyNumberFormat="0" applyProtection="0">
      <alignment vertical="center"/>
    </xf>
    <xf numFmtId="4" fontId="36" fillId="82" borderId="22" applyNumberFormat="0" applyProtection="0">
      <alignment vertical="center"/>
    </xf>
    <xf numFmtId="0" fontId="14" fillId="71" borderId="26" applyBorder="0"/>
    <xf numFmtId="4" fontId="35" fillId="69" borderId="22" applyNumberFormat="0" applyProtection="0">
      <alignment horizontal="right" vertical="center"/>
    </xf>
    <xf numFmtId="0" fontId="23" fillId="107" borderId="22" applyNumberFormat="0" applyProtection="0">
      <alignment horizontal="left" vertical="top" indent="1"/>
    </xf>
    <xf numFmtId="4" fontId="35" fillId="62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40" fillId="8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23" fillId="107" borderId="22" applyNumberFormat="0" applyProtection="0">
      <alignment horizontal="left" vertical="top" indent="1"/>
    </xf>
    <xf numFmtId="4" fontId="35" fillId="62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4" fontId="35" fillId="6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5" fillId="56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35" fillId="64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35" fillId="69" borderId="22" applyNumberFormat="0" applyProtection="0">
      <alignment horizontal="right" vertical="center"/>
    </xf>
    <xf numFmtId="4" fontId="33" fillId="66" borderId="27" applyNumberFormat="0" applyProtection="0">
      <alignment horizontal="left" vertical="center" indent="1"/>
    </xf>
    <xf numFmtId="0" fontId="121" fillId="104" borderId="96" applyNumberFormat="0" applyAlignment="0" applyProtection="0"/>
    <xf numFmtId="0" fontId="120" fillId="0" borderId="46" applyFill="0" applyProtection="0">
      <alignment horizontal="right"/>
    </xf>
    <xf numFmtId="0" fontId="135" fillId="116" borderId="96" applyNumberFormat="0" applyAlignment="0" applyProtection="0"/>
    <xf numFmtId="0" fontId="36" fillId="54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6" fillId="0" borderId="98" applyNumberFormat="0" applyFill="0" applyAlignment="0" applyProtection="0"/>
    <xf numFmtId="0" fontId="40" fillId="68" borderId="22" applyNumberFormat="0" applyProtection="0">
      <alignment horizontal="left" vertical="top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0" fontId="40" fillId="108" borderId="97" applyNumberFormat="0" applyFont="0" applyAlignment="0" applyProtection="0"/>
    <xf numFmtId="4" fontId="36" fillId="54" borderId="22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82" fillId="54" borderId="36" applyNumberFormat="0" applyProtection="0">
      <alignment vertical="center"/>
    </xf>
    <xf numFmtId="4" fontId="40" fillId="57" borderId="36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72" borderId="36" applyNumberFormat="0" applyProtection="0">
      <alignment vertical="center"/>
    </xf>
    <xf numFmtId="0" fontId="23" fillId="101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35" fillId="60" borderId="22" applyNumberFormat="0" applyProtection="0">
      <alignment horizontal="right" vertical="center"/>
    </xf>
    <xf numFmtId="4" fontId="34" fillId="54" borderId="22" applyNumberFormat="0" applyProtection="0">
      <alignment vertical="center"/>
    </xf>
    <xf numFmtId="4" fontId="88" fillId="101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33" fillId="66" borderId="22" applyNumberFormat="0" applyProtection="0">
      <alignment horizontal="left" vertical="center" indent="1"/>
    </xf>
    <xf numFmtId="0" fontId="85" fillId="102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90" fillId="67" borderId="89">
      <protection locked="0"/>
    </xf>
    <xf numFmtId="4" fontId="33" fillId="66" borderId="22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35" fillId="58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87" borderId="22" applyNumberFormat="0" applyProtection="0">
      <alignment horizontal="right" vertical="center"/>
    </xf>
    <xf numFmtId="0" fontId="23" fillId="71" borderId="22" applyNumberFormat="0" applyProtection="0">
      <alignment horizontal="left" vertical="top" indent="1"/>
    </xf>
    <xf numFmtId="4" fontId="40" fillId="89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40" fillId="90" borderId="22" applyNumberFormat="0" applyProtection="0">
      <alignment horizontal="right" vertical="center"/>
    </xf>
    <xf numFmtId="4" fontId="40" fillId="72" borderId="22" applyNumberFormat="0" applyProtection="0">
      <alignment vertical="center"/>
    </xf>
    <xf numFmtId="0" fontId="3" fillId="55" borderId="22" applyNumberFormat="0" applyProtection="0">
      <alignment horizontal="left" vertical="top" indent="1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35" fillId="5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64" borderId="36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40" fillId="97" borderId="36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7" borderId="36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6" fillId="99" borderId="36" applyNumberFormat="0" applyProtection="0">
      <alignment horizontal="left" vertical="center" indent="1"/>
    </xf>
    <xf numFmtId="4" fontId="45" fillId="68" borderId="27" applyNumberFormat="0" applyProtection="0">
      <alignment horizontal="left" vertical="center" indent="1"/>
    </xf>
    <xf numFmtId="4" fontId="35" fillId="64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4" fontId="40" fillId="63" borderId="36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33" fillId="66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40" fillId="102" borderId="22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40" fillId="100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0" fontId="3" fillId="106" borderId="36" applyNumberFormat="0" applyProtection="0">
      <alignment horizontal="left" vertical="center" indent="1"/>
    </xf>
    <xf numFmtId="4" fontId="40" fillId="97" borderId="36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23" fillId="71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56" borderId="36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0" fontId="3" fillId="4" borderId="36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0" fontId="3" fillId="68" borderId="22" applyNumberFormat="0" applyProtection="0">
      <alignment horizontal="left" vertical="top" indent="1"/>
    </xf>
    <xf numFmtId="4" fontId="85" fillId="104" borderId="22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4" fontId="35" fillId="69" borderId="22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120" fillId="0" borderId="46" applyFill="0" applyProtection="0">
      <alignment horizontal="right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40" fillId="68" borderId="22" applyNumberFormat="0" applyProtection="0">
      <alignment horizontal="left" vertical="top" indent="1"/>
    </xf>
    <xf numFmtId="4" fontId="82" fillId="100" borderId="36" applyNumberFormat="0" applyProtection="0">
      <alignment horizontal="right" vertical="center"/>
    </xf>
    <xf numFmtId="4" fontId="40" fillId="0" borderId="36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82" fillId="72" borderId="36" applyNumberFormat="0" applyProtection="0">
      <alignment vertical="center"/>
    </xf>
    <xf numFmtId="4" fontId="40" fillId="72" borderId="36" applyNumberFormat="0" applyProtection="0">
      <alignment vertical="center"/>
    </xf>
    <xf numFmtId="4" fontId="85" fillId="108" borderId="22" applyNumberFormat="0" applyProtection="0">
      <alignment vertical="center"/>
    </xf>
    <xf numFmtId="4" fontId="40" fillId="72" borderId="36" applyNumberFormat="0" applyProtection="0">
      <alignment vertical="center"/>
    </xf>
    <xf numFmtId="4" fontId="88" fillId="101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0" fontId="3" fillId="4" borderId="36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3" borderId="36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54" borderId="36" applyNumberFormat="0" applyProtection="0">
      <alignment horizontal="left" vertical="center" indent="1"/>
    </xf>
    <xf numFmtId="0" fontId="84" fillId="82" borderId="22" applyNumberFormat="0" applyProtection="0">
      <alignment horizontal="left" vertical="top" indent="1"/>
    </xf>
    <xf numFmtId="4" fontId="40" fillId="54" borderId="36" applyNumberFormat="0" applyProtection="0">
      <alignment horizontal="left" vertical="center" indent="1"/>
    </xf>
    <xf numFmtId="0" fontId="135" fillId="116" borderId="96" applyNumberFormat="0" applyAlignment="0" applyProtection="0"/>
    <xf numFmtId="0" fontId="135" fillId="116" borderId="96" applyNumberFormat="0" applyAlignment="0" applyProtection="0"/>
    <xf numFmtId="4" fontId="40" fillId="54" borderId="36" applyNumberFormat="0" applyProtection="0">
      <alignment horizontal="left" vertical="center" indent="1"/>
    </xf>
    <xf numFmtId="194" fontId="124" fillId="0" borderId="91">
      <alignment horizontal="right"/>
    </xf>
    <xf numFmtId="4" fontId="40" fillId="54" borderId="36" applyNumberFormat="0" applyProtection="0">
      <alignment horizontal="left" vertical="center" indent="1"/>
    </xf>
    <xf numFmtId="4" fontId="35" fillId="54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40" fillId="54" borderId="36" applyNumberFormat="0" applyProtection="0">
      <alignment vertical="center"/>
    </xf>
    <xf numFmtId="0" fontId="78" fillId="79" borderId="36" applyNumberFormat="0" applyAlignment="0" applyProtection="0"/>
    <xf numFmtId="0" fontId="78" fillId="79" borderId="36" applyNumberFormat="0" applyAlignment="0" applyProtection="0"/>
    <xf numFmtId="0" fontId="3" fillId="69" borderId="22" applyNumberFormat="0" applyProtection="0">
      <alignment horizontal="left" vertical="top" indent="1"/>
    </xf>
    <xf numFmtId="4" fontId="35" fillId="58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40" fillId="104" borderId="36" applyNumberFormat="0" applyAlignment="0" applyProtection="0"/>
    <xf numFmtId="0" fontId="140" fillId="104" borderId="36" applyNumberFormat="0" applyAlignment="0" applyProtection="0"/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3" fontId="124" fillId="0" borderId="44"/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0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63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127" fillId="0" borderId="90" applyFill="0" applyBorder="0" applyProtection="0">
      <alignment horizontal="left" vertical="top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3" fontId="124" fillId="0" borderId="44"/>
    <xf numFmtId="0" fontId="23" fillId="101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5" fillId="104" borderId="22" applyNumberFormat="0" applyProtection="0">
      <alignment horizontal="left" vertical="center" indent="1"/>
    </xf>
    <xf numFmtId="0" fontId="3" fillId="4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35" fillId="116" borderId="96" applyNumberFormat="0" applyAlignment="0" applyProtection="0"/>
    <xf numFmtId="0" fontId="135" fillId="116" borderId="96" applyNumberFormat="0" applyAlignment="0" applyProtection="0"/>
    <xf numFmtId="4" fontId="35" fillId="61" borderId="22" applyNumberFormat="0" applyProtection="0">
      <alignment horizontal="right" vertical="center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120" fillId="0" borderId="46" applyFill="0" applyProtection="0">
      <alignment horizontal="right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14" fillId="71" borderId="26" applyBorder="0"/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35" fillId="62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33" fillId="54" borderId="22" applyNumberFormat="0" applyProtection="0">
      <alignment vertical="center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0" fontId="3" fillId="8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5" fillId="59" borderId="22" applyNumberFormat="0" applyProtection="0">
      <alignment horizontal="right" vertical="center"/>
    </xf>
    <xf numFmtId="0" fontId="3" fillId="0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23" fillId="71" borderId="22" applyNumberFormat="0" applyProtection="0">
      <alignment horizontal="left" vertical="top" indent="1"/>
    </xf>
    <xf numFmtId="0" fontId="23" fillId="71" borderId="22" applyNumberFormat="0" applyProtection="0">
      <alignment horizontal="left" vertical="top" indent="1"/>
    </xf>
    <xf numFmtId="0" fontId="3" fillId="103" borderId="36" applyNumberFormat="0" applyProtection="0">
      <alignment horizontal="left" vertical="center" indent="1"/>
    </xf>
    <xf numFmtId="4" fontId="35" fillId="64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4" fontId="35" fillId="62" borderId="22" applyNumberFormat="0" applyProtection="0">
      <alignment horizontal="right" vertical="center"/>
    </xf>
    <xf numFmtId="0" fontId="3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0" fontId="3" fillId="103" borderId="36" applyNumberFormat="0" applyProtection="0">
      <alignment horizontal="left" vertical="center" indent="1"/>
    </xf>
    <xf numFmtId="4" fontId="40" fillId="97" borderId="36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33" fillId="66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120" fillId="0" borderId="46" applyFill="0" applyProtection="0">
      <alignment horizontal="right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121" fillId="104" borderId="96" applyNumberFormat="0" applyAlignment="0" applyProtection="0"/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35" fillId="54" borderId="22" applyNumberFormat="0" applyProtection="0">
      <alignment horizontal="left" vertical="center" indent="1"/>
    </xf>
    <xf numFmtId="0" fontId="121" fillId="104" borderId="96" applyNumberFormat="0" applyAlignment="0" applyProtection="0"/>
    <xf numFmtId="0" fontId="40" fillId="72" borderId="22" applyNumberFormat="0" applyProtection="0">
      <alignment horizontal="left" vertical="top" indent="1"/>
    </xf>
    <xf numFmtId="0" fontId="121" fillId="104" borderId="96" applyNumberFormat="0" applyAlignment="0" applyProtection="0"/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23" fillId="101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23" fillId="102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0" fontId="120" fillId="0" borderId="46" applyFill="0" applyProtection="0">
      <alignment horizontal="right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40" fillId="68" borderId="22" applyNumberFormat="0" applyProtection="0">
      <alignment horizontal="left" vertical="top" indent="1"/>
    </xf>
    <xf numFmtId="0" fontId="3" fillId="0" borderId="36" applyNumberFormat="0" applyProtection="0">
      <alignment horizontal="left" vertical="center" indent="1"/>
    </xf>
    <xf numFmtId="4" fontId="33" fillId="66" borderId="22" applyNumberFormat="0" applyProtection="0">
      <alignment horizontal="left" vertical="center" indent="1"/>
    </xf>
    <xf numFmtId="4" fontId="41" fillId="69" borderId="22" applyNumberFormat="0" applyProtection="0">
      <alignment horizontal="right" vertical="center"/>
    </xf>
    <xf numFmtId="4" fontId="82" fillId="100" borderId="36" applyNumberFormat="0" applyProtection="0">
      <alignment horizontal="right" vertical="center"/>
    </xf>
    <xf numFmtId="4" fontId="40" fillId="72" borderId="36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36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82" fillId="72" borderId="36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36" applyNumberFormat="0" applyProtection="0">
      <alignment vertical="center"/>
    </xf>
    <xf numFmtId="4" fontId="88" fillId="101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23" fillId="101" borderId="22" applyNumberFormat="0" applyProtection="0">
      <alignment horizontal="left" vertical="top" indent="1"/>
    </xf>
    <xf numFmtId="0" fontId="3" fillId="84" borderId="36" applyNumberFormat="0" applyProtection="0">
      <alignment horizontal="left" vertical="center" indent="1"/>
    </xf>
    <xf numFmtId="0" fontId="23" fillId="107" borderId="22" applyNumberFormat="0" applyProtection="0">
      <alignment horizontal="left" vertical="top" indent="1"/>
    </xf>
    <xf numFmtId="0" fontId="23" fillId="102" borderId="22" applyNumberFormat="0" applyProtection="0">
      <alignment horizontal="left" vertical="top" indent="1"/>
    </xf>
    <xf numFmtId="0" fontId="3" fillId="106" borderId="36" applyNumberFormat="0" applyProtection="0">
      <alignment horizontal="left" vertical="center" indent="1"/>
    </xf>
    <xf numFmtId="0" fontId="3" fillId="106" borderId="36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40" fillId="63" borderId="36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40" fillId="93" borderId="36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40" fillId="91" borderId="36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61" borderId="36" applyNumberFormat="0" applyProtection="0">
      <alignment horizontal="right" vertical="center"/>
    </xf>
    <xf numFmtId="4" fontId="40" fillId="56" borderId="36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4" fontId="40" fillId="57" borderId="36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0" fontId="135" fillId="116" borderId="96" applyNumberFormat="0" applyAlignment="0" applyProtection="0"/>
    <xf numFmtId="0" fontId="135" fillId="116" borderId="96" applyNumberFormat="0" applyAlignment="0" applyProtection="0"/>
    <xf numFmtId="4" fontId="40" fillId="54" borderId="36" applyNumberFormat="0" applyProtection="0">
      <alignment horizontal="left" vertical="center" indent="1"/>
    </xf>
    <xf numFmtId="194" fontId="124" fillId="0" borderId="91">
      <alignment horizontal="right"/>
    </xf>
    <xf numFmtId="4" fontId="40" fillId="54" borderId="36" applyNumberFormat="0" applyProtection="0">
      <alignment horizontal="left" vertical="center" indent="1"/>
    </xf>
    <xf numFmtId="4" fontId="35" fillId="54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40" fillId="54" borderId="36" applyNumberFormat="0" applyProtection="0">
      <alignment vertical="center"/>
    </xf>
    <xf numFmtId="0" fontId="36" fillId="54" borderId="22" applyNumberFormat="0" applyProtection="0">
      <alignment horizontal="left" vertical="top" indent="1"/>
    </xf>
    <xf numFmtId="4" fontId="35" fillId="58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0" fontId="78" fillId="79" borderId="36" applyNumberFormat="0" applyAlignment="0" applyProtection="0"/>
    <xf numFmtId="0" fontId="78" fillId="79" borderId="36" applyNumberFormat="0" applyAlignment="0" applyProtection="0"/>
    <xf numFmtId="4" fontId="36" fillId="54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40" fillId="104" borderId="36" applyNumberFormat="0" applyAlignment="0" applyProtection="0"/>
    <xf numFmtId="0" fontId="140" fillId="104" borderId="36" applyNumberFormat="0" applyAlignment="0" applyProtection="0"/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3" fontId="124" fillId="0" borderId="44"/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90" fillId="67" borderId="89">
      <protection locked="0"/>
    </xf>
    <xf numFmtId="49" fontId="92" fillId="110" borderId="89"/>
    <xf numFmtId="0" fontId="127" fillId="0" borderId="90" applyFill="0" applyBorder="0" applyProtection="0">
      <alignment horizontal="left" vertical="top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3" fontId="124" fillId="0" borderId="44"/>
    <xf numFmtId="4" fontId="40" fillId="87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0" fontId="3" fillId="55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113" fillId="54" borderId="22" applyNumberFormat="0" applyProtection="0">
      <alignment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85" fillId="102" borderId="22" applyNumberFormat="0" applyProtection="0">
      <alignment horizontal="left" vertical="top" indent="1"/>
    </xf>
    <xf numFmtId="0" fontId="85" fillId="108" borderId="22" applyNumberFormat="0" applyProtection="0">
      <alignment horizontal="left" vertical="top" indent="1"/>
    </xf>
    <xf numFmtId="0" fontId="23" fillId="107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6" fillId="69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1" fillId="69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1" fillId="69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58" borderId="36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4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" fillId="84" borderId="36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0" fillId="63" borderId="36" applyNumberFormat="0" applyProtection="0">
      <alignment horizontal="right" vertical="center"/>
    </xf>
    <xf numFmtId="0" fontId="40" fillId="108" borderId="97" applyNumberFormat="0" applyFont="0" applyAlignment="0" applyProtection="0"/>
    <xf numFmtId="0" fontId="40" fillId="108" borderId="97" applyNumberFormat="0" applyFont="0" applyAlignment="0" applyProtection="0"/>
    <xf numFmtId="0" fontId="135" fillId="116" borderId="96" applyNumberFormat="0" applyAlignment="0" applyProtection="0"/>
    <xf numFmtId="0" fontId="135" fillId="116" borderId="96" applyNumberFormat="0" applyAlignment="0" applyProtection="0"/>
    <xf numFmtId="4" fontId="40" fillId="54" borderId="36" applyNumberFormat="0" applyProtection="0">
      <alignment horizontal="left" vertical="center" indent="1"/>
    </xf>
    <xf numFmtId="4" fontId="40" fillId="93" borderId="36" applyNumberFormat="0" applyProtection="0">
      <alignment horizontal="right" vertical="center"/>
    </xf>
    <xf numFmtId="0" fontId="121" fillId="104" borderId="96" applyNumberFormat="0" applyAlignment="0" applyProtection="0"/>
    <xf numFmtId="0" fontId="121" fillId="104" borderId="96" applyNumberFormat="0" applyAlignment="0" applyProtection="0"/>
    <xf numFmtId="0" fontId="120" fillId="0" borderId="46" applyFill="0" applyProtection="0">
      <alignment horizontal="right"/>
    </xf>
    <xf numFmtId="4" fontId="40" fillId="64" borderId="36" applyNumberFormat="0" applyProtection="0">
      <alignment horizontal="right" vertical="center"/>
    </xf>
    <xf numFmtId="4" fontId="46" fillId="69" borderId="22" applyNumberFormat="0" applyProtection="0">
      <alignment horizontal="right" vertical="center"/>
    </xf>
    <xf numFmtId="4" fontId="45" fillId="68" borderId="27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4" fontId="41" fillId="69" borderId="22" applyNumberFormat="0" applyProtection="0">
      <alignment horizontal="right" vertical="center"/>
    </xf>
    <xf numFmtId="4" fontId="35" fillId="69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33" fillId="66" borderId="27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4" fontId="35" fillId="69" borderId="22" applyNumberFormat="0" applyProtection="0">
      <alignment vertical="center"/>
    </xf>
    <xf numFmtId="0" fontId="14" fillId="71" borderId="26" applyBorder="0"/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4" fontId="35" fillId="62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5" fillId="59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5" fillId="58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5" fillId="54" borderId="22" applyNumberFormat="0" applyProtection="0">
      <alignment horizontal="left" vertical="center" indent="1"/>
    </xf>
    <xf numFmtId="4" fontId="34" fillId="54" borderId="22" applyNumberFormat="0" applyProtection="0">
      <alignment vertical="center"/>
    </xf>
    <xf numFmtId="4" fontId="33" fillId="54" borderId="22" applyNumberFormat="0" applyProtection="0">
      <alignment vertical="center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0" fontId="3" fillId="84" borderId="36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64" borderId="36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0" fontId="3" fillId="84" borderId="36" applyNumberFormat="0" applyProtection="0">
      <alignment horizontal="left" vertical="center" indent="1"/>
    </xf>
    <xf numFmtId="0" fontId="3" fillId="84" borderId="36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194" fontId="124" fillId="0" borderId="91">
      <alignment horizontal="right"/>
    </xf>
    <xf numFmtId="0" fontId="3" fillId="66" borderId="22" applyNumberFormat="0" applyProtection="0">
      <alignment horizontal="left" vertical="center" indent="1"/>
    </xf>
    <xf numFmtId="0" fontId="135" fillId="116" borderId="96" applyNumberFormat="0" applyAlignment="0" applyProtection="0"/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96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127" fillId="0" borderId="90" applyFill="0" applyBorder="0" applyProtection="0">
      <alignment horizontal="left" vertical="top"/>
    </xf>
    <xf numFmtId="4" fontId="40" fillId="92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194" fontId="124" fillId="0" borderId="91">
      <alignment horizontal="right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0" fontId="36" fillId="54" borderId="22" applyNumberFormat="0" applyProtection="0">
      <alignment horizontal="left" vertical="top" indent="1"/>
    </xf>
    <xf numFmtId="4" fontId="36" fillId="54" borderId="22" applyNumberFormat="0" applyProtection="0">
      <alignment horizontal="left" vertical="center" indent="1"/>
    </xf>
    <xf numFmtId="0" fontId="140" fillId="104" borderId="36" applyNumberFormat="0" applyAlignment="0" applyProtection="0"/>
    <xf numFmtId="0" fontId="140" fillId="104" borderId="36" applyNumberFormat="0" applyAlignment="0" applyProtection="0"/>
    <xf numFmtId="4" fontId="36" fillId="54" borderId="22" applyNumberFormat="0" applyProtection="0">
      <alignment horizontal="left" vertical="center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40" fillId="108" borderId="97" applyNumberFormat="0" applyFont="0" applyAlignment="0" applyProtection="0"/>
    <xf numFmtId="0" fontId="135" fillId="116" borderId="96" applyNumberFormat="0" applyAlignment="0" applyProtection="0"/>
    <xf numFmtId="4" fontId="41" fillId="69" borderId="22" applyNumberFormat="0" applyProtection="0">
      <alignment horizontal="right" vertical="center"/>
    </xf>
    <xf numFmtId="4" fontId="33" fillId="66" borderId="27" applyNumberFormat="0" applyProtection="0">
      <alignment horizontal="left" vertical="center" indent="1"/>
    </xf>
    <xf numFmtId="4" fontId="35" fillId="69" borderId="22" applyNumberFormat="0" applyProtection="0">
      <alignment vertical="center"/>
    </xf>
    <xf numFmtId="0" fontId="14" fillId="71" borderId="26" applyBorder="0"/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4" fontId="35" fillId="6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35" fillId="57" borderId="22" applyNumberFormat="0" applyProtection="0">
      <alignment horizontal="right" vertical="center"/>
    </xf>
    <xf numFmtId="4" fontId="35" fillId="56" borderId="22" applyNumberFormat="0" applyProtection="0">
      <alignment horizontal="right" vertical="center"/>
    </xf>
    <xf numFmtId="4" fontId="34" fillId="54" borderId="22" applyNumberFormat="0" applyProtection="0">
      <alignment vertical="center"/>
    </xf>
    <xf numFmtId="4" fontId="33" fillId="54" borderId="22" applyNumberFormat="0" applyProtection="0">
      <alignment vertical="center"/>
    </xf>
    <xf numFmtId="0" fontId="36" fillId="0" borderId="98" applyNumberFormat="0" applyFill="0" applyAlignment="0" applyProtection="0"/>
    <xf numFmtId="0" fontId="36" fillId="0" borderId="98" applyNumberFormat="0" applyFill="0" applyAlignment="0" applyProtection="0"/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" fillId="68" borderId="22" applyNumberFormat="0" applyProtection="0">
      <alignment horizontal="left" vertical="top" indent="1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36" fillId="82" borderId="22" applyNumberFormat="0" applyProtection="0">
      <alignment vertical="center"/>
    </xf>
    <xf numFmtId="4" fontId="113" fillId="54" borderId="22" applyNumberFormat="0" applyProtection="0">
      <alignment vertical="center"/>
    </xf>
    <xf numFmtId="3" fontId="124" fillId="0" borderId="44"/>
    <xf numFmtId="4" fontId="113" fillId="54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0" fontId="36" fillId="54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127" fillId="0" borderId="90" applyFill="0" applyBorder="0" applyProtection="0">
      <alignment horizontal="left" vertical="top"/>
    </xf>
    <xf numFmtId="0" fontId="36" fillId="0" borderId="98" applyNumberFormat="0" applyFill="0" applyAlignment="0" applyProtection="0"/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88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1" fillId="69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35" fillId="6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4" fontId="40" fillId="95" borderId="22" applyNumberFormat="0" applyProtection="0">
      <alignment horizontal="right" vertical="center"/>
    </xf>
    <xf numFmtId="4" fontId="35" fillId="6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35" fillId="60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4" fontId="35" fillId="5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85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96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4" fontId="40" fillId="94" borderId="22" applyNumberFormat="0" applyProtection="0">
      <alignment horizontal="right" vertical="center"/>
    </xf>
    <xf numFmtId="0" fontId="121" fillId="104" borderId="96" applyNumberFormat="0" applyAlignment="0" applyProtection="0"/>
    <xf numFmtId="0" fontId="3" fillId="66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40" fillId="108" borderId="97" applyNumberFormat="0" applyFont="0" applyAlignment="0" applyProtection="0"/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90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3" fontId="124" fillId="0" borderId="44"/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90" borderId="22" applyNumberFormat="0" applyProtection="0">
      <alignment horizontal="right" vertical="center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40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27" fillId="0" borderId="90" applyFill="0" applyBorder="0" applyProtection="0">
      <alignment horizontal="left" vertical="top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3" fontId="124" fillId="0" borderId="44"/>
    <xf numFmtId="0" fontId="40" fillId="72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3" fillId="68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0" fontId="40" fillId="72" borderId="22" applyNumberFormat="0" applyProtection="0">
      <alignment horizontal="left" vertical="top" indent="1"/>
    </xf>
    <xf numFmtId="0" fontId="40" fillId="72" borderId="22" applyNumberFormat="0" applyProtection="0">
      <alignment horizontal="left" vertical="top" indent="1"/>
    </xf>
    <xf numFmtId="4" fontId="113" fillId="54" borderId="22" applyNumberFormat="0" applyProtection="0">
      <alignment vertical="center"/>
    </xf>
    <xf numFmtId="4" fontId="113" fillId="54" borderId="22" applyNumberFormat="0" applyProtection="0">
      <alignment vertical="center"/>
    </xf>
    <xf numFmtId="4" fontId="36" fillId="82" borderId="22" applyNumberFormat="0" applyProtection="0">
      <alignment vertical="center"/>
    </xf>
    <xf numFmtId="0" fontId="3" fillId="69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140" fillId="104" borderId="36" applyNumberFormat="0" applyAlignment="0" applyProtection="0"/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4" fontId="40" fillId="10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4" fontId="40" fillId="102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49" fontId="92" fillId="110" borderId="89"/>
    <xf numFmtId="0" fontId="90" fillId="67" borderId="89">
      <protection locked="0"/>
    </xf>
    <xf numFmtId="0" fontId="3" fillId="55" borderId="22" applyNumberFormat="0" applyProtection="0">
      <alignment horizontal="left" vertical="top" indent="1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5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7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8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89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35" fillId="61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0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2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35" fillId="63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4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5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35" fillId="6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96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4" fontId="40" fillId="102" borderId="22" applyNumberFormat="0" applyProtection="0">
      <alignment horizontal="right" vertical="center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35" fillId="69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33" fillId="66" borderId="27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4" fontId="40" fillId="72" borderId="22" applyNumberFormat="0" applyProtection="0">
      <alignment horizontal="left" vertical="center" indent="1"/>
    </xf>
    <xf numFmtId="0" fontId="40" fillId="72" borderId="22" applyNumberFormat="0" applyProtection="0">
      <alignment horizontal="left" vertical="top" indent="1"/>
    </xf>
    <xf numFmtId="4" fontId="40" fillId="72" borderId="22" applyNumberFormat="0" applyProtection="0">
      <alignment horizontal="left" vertical="center" indent="1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40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4" fontId="40" fillId="102" borderId="22" applyNumberFormat="0" applyProtection="0">
      <alignment horizontal="left" vertical="center" indent="1"/>
    </xf>
    <xf numFmtId="0" fontId="36" fillId="0" borderId="98" applyNumberFormat="0" applyFill="0" applyAlignment="0" applyProtection="0"/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6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4" fontId="40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102" borderId="22" applyNumberFormat="0" applyProtection="0">
      <alignment horizontal="left" vertical="center" indent="1"/>
    </xf>
    <xf numFmtId="4" fontId="40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4" fontId="36" fillId="54" borderId="22" applyNumberFormat="0" applyProtection="0">
      <alignment horizontal="left" vertical="center" indent="1"/>
    </xf>
    <xf numFmtId="0" fontId="36" fillId="54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36" fillId="54" borderId="22" applyNumberFormat="0" applyProtection="0">
      <alignment horizontal="left" vertical="center" indent="1"/>
    </xf>
    <xf numFmtId="0" fontId="3" fillId="55" borderId="22" applyNumberFormat="0" applyProtection="0">
      <alignment horizontal="left" vertical="top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4" fontId="40" fillId="95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0" fontId="3" fillId="66" borderId="22" applyNumberFormat="0" applyProtection="0">
      <alignment horizontal="left" vertical="center" indent="1"/>
    </xf>
    <xf numFmtId="4" fontId="82" fillId="101" borderId="22" applyNumberFormat="0" applyProtection="0">
      <alignment horizontal="right" vertical="center"/>
    </xf>
    <xf numFmtId="0" fontId="3" fillId="55" borderId="22" applyNumberFormat="0" applyProtection="0">
      <alignment horizontal="left" vertical="top" indent="1"/>
    </xf>
    <xf numFmtId="0" fontId="3" fillId="55" borderId="22" applyNumberFormat="0" applyProtection="0">
      <alignment horizontal="left" vertical="top" indent="1"/>
    </xf>
    <xf numFmtId="4" fontId="82" fillId="101" borderId="22" applyNumberFormat="0" applyProtection="0">
      <alignment horizontal="right" vertical="center"/>
    </xf>
    <xf numFmtId="4" fontId="82" fillId="101" borderId="22" applyNumberFormat="0" applyProtection="0">
      <alignment horizontal="right" vertical="center"/>
    </xf>
    <xf numFmtId="0" fontId="3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0" fontId="40" fillId="68" borderId="22" applyNumberFormat="0" applyProtection="0">
      <alignment horizontal="left" vertical="top" indent="1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88" fillId="101" borderId="22" applyNumberFormat="0" applyProtection="0">
      <alignment horizontal="right" vertical="center"/>
    </xf>
    <xf numFmtId="4" fontId="33" fillId="66" borderId="22" applyNumberFormat="0" applyProtection="0">
      <alignment horizontal="left" vertical="center" indent="1"/>
    </xf>
    <xf numFmtId="0" fontId="3" fillId="68" borderId="22" applyNumberFormat="0" applyProtection="0">
      <alignment horizontal="left" vertical="top" indent="1"/>
    </xf>
    <xf numFmtId="0" fontId="3" fillId="66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center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40" fillId="102" borderId="22" applyNumberFormat="0" applyProtection="0">
      <alignment horizontal="left" vertical="center" indent="1"/>
    </xf>
    <xf numFmtId="0" fontId="135" fillId="116" borderId="96" applyNumberFormat="0" applyAlignment="0" applyProtection="0"/>
    <xf numFmtId="0" fontId="40" fillId="108" borderId="97" applyNumberFormat="0" applyFont="0" applyAlignment="0" applyProtection="0"/>
    <xf numFmtId="0" fontId="3" fillId="69" borderId="22" applyNumberFormat="0" applyProtection="0">
      <alignment horizontal="left" vertical="top" indent="1"/>
    </xf>
    <xf numFmtId="4" fontId="35" fillId="66" borderId="22" applyNumberFormat="0" applyProtection="0">
      <alignment horizontal="right" vertical="center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4" fontId="40" fillId="102" borderId="22" applyNumberFormat="0" applyProtection="0">
      <alignment horizontal="right" vertical="center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0" fontId="3" fillId="69" borderId="22" applyNumberFormat="0" applyProtection="0">
      <alignment horizontal="left" vertical="top" indent="1"/>
    </xf>
    <xf numFmtId="4" fontId="82" fillId="72" borderId="22" applyNumberFormat="0" applyProtection="0">
      <alignment vertical="center"/>
    </xf>
    <xf numFmtId="4" fontId="40" fillId="72" borderId="22" applyNumberFormat="0" applyProtection="0">
      <alignment horizontal="left" vertical="center" indent="1"/>
    </xf>
    <xf numFmtId="4" fontId="82" fillId="72" borderId="22" applyNumberFormat="0" applyProtection="0">
      <alignment vertical="center"/>
    </xf>
    <xf numFmtId="4" fontId="82" fillId="72" borderId="22" applyNumberFormat="0" applyProtection="0">
      <alignment vertical="center"/>
    </xf>
    <xf numFmtId="0" fontId="3" fillId="69" borderId="22" applyNumberFormat="0" applyProtection="0">
      <alignment horizontal="left" vertical="top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" fillId="0" borderId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23" fillId="92" borderId="92" applyNumberFormat="0" applyProtection="0">
      <alignment horizontal="right" vertical="center"/>
    </xf>
    <xf numFmtId="4" fontId="23" fillId="98" borderId="93" applyNumberFormat="0" applyProtection="0">
      <alignment horizontal="left" vertical="center" indent="1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0" fontId="23" fillId="107" borderId="92" applyNumberFormat="0" applyProtection="0">
      <alignment horizontal="left" vertical="center" indent="1"/>
    </xf>
    <xf numFmtId="4" fontId="23" fillId="0" borderId="92" applyNumberFormat="0" applyProtection="0">
      <alignment horizontal="right" vertical="center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2" borderId="92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82" borderId="92" applyNumberFormat="0" applyProtection="0">
      <alignment vertical="center"/>
    </xf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4" fontId="89" fillId="70" borderId="92" applyNumberFormat="0" applyProtection="0">
      <alignment horizontal="right" vertical="center"/>
    </xf>
    <xf numFmtId="4" fontId="87" fillId="109" borderId="93" applyNumberFormat="0" applyProtection="0">
      <alignment horizontal="left" vertical="center" indent="1"/>
    </xf>
    <xf numFmtId="0" fontId="30" fillId="38" borderId="0" applyNumberFormat="0" applyBorder="0" applyAlignment="0" applyProtection="0"/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83" fillId="67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4" fontId="23" fillId="0" borderId="92" applyNumberFormat="0" applyProtection="0">
      <alignment horizontal="right" vertical="center"/>
    </xf>
    <xf numFmtId="0" fontId="30" fillId="78" borderId="0" applyNumberFormat="0" applyBorder="0" applyAlignment="0" applyProtection="0"/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55" fillId="48" borderId="0" applyNumberFormat="0" applyBorder="0" applyAlignment="0" applyProtection="0"/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57" fillId="79" borderId="92" applyNumberFormat="0" applyAlignment="0" applyProtection="0"/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23" fillId="104" borderId="92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0" fontId="64" fillId="0" borderId="32" applyNumberFormat="0" applyFill="0" applyAlignment="0" applyProtection="0"/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0" fontId="66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70" fillId="49" borderId="92" applyNumberFormat="0" applyAlignment="0" applyProtection="0"/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0" fontId="72" fillId="0" borderId="35" applyNumberFormat="0" applyFill="0" applyAlignment="0" applyProtection="0"/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3" fillId="71" borderId="93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0" fontId="3" fillId="0" borderId="0"/>
    <xf numFmtId="4" fontId="23" fillId="98" borderId="93" applyNumberFormat="0" applyProtection="0">
      <alignment horizontal="left" vertical="center" indent="1"/>
    </xf>
    <xf numFmtId="4" fontId="23" fillId="96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0" fontId="23" fillId="48" borderId="92" applyNumberFormat="0" applyFont="0" applyAlignment="0" applyProtection="0"/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0" fontId="81" fillId="0" borderId="69">
      <alignment horizont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83" fillId="54" borderId="92" applyNumberFormat="0" applyProtection="0">
      <alignment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83" fillId="54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70" fillId="49" borderId="92" applyNumberFormat="0" applyAlignment="0" applyProtection="0"/>
    <xf numFmtId="0" fontId="70" fillId="49" borderId="92" applyNumberFormat="0" applyAlignment="0" applyProtection="0"/>
    <xf numFmtId="0" fontId="57" fillId="79" borderId="92" applyNumberFormat="0" applyAlignment="0" applyProtection="0"/>
    <xf numFmtId="4" fontId="3" fillId="71" borderId="93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83" fillId="67" borderId="92" applyNumberFormat="0" applyProtection="0">
      <alignment horizontal="right" vertical="center"/>
    </xf>
    <xf numFmtId="4" fontId="87" fillId="109" borderId="93" applyNumberFormat="0" applyProtection="0">
      <alignment horizontal="left" vertical="center" indent="1"/>
    </xf>
    <xf numFmtId="4" fontId="89" fillId="70" borderId="92" applyNumberFormat="0" applyProtection="0">
      <alignment horizontal="right" vertical="center"/>
    </xf>
    <xf numFmtId="0" fontId="32" fillId="0" borderId="95" applyNumberFormat="0" applyFill="0" applyAlignment="0" applyProtection="0"/>
    <xf numFmtId="0" fontId="95" fillId="0" borderId="0" applyNumberFormat="0" applyFill="0" applyBorder="0" applyAlignment="0" applyProtection="0"/>
    <xf numFmtId="0" fontId="23" fillId="104" borderId="92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3" fillId="0" borderId="92" applyNumberFormat="0" applyProtection="0">
      <alignment horizontal="right" vertical="center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3" fillId="102" borderId="93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3" fillId="71" borderId="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0" fontId="2" fillId="0" borderId="0"/>
    <xf numFmtId="0" fontId="2" fillId="0" borderId="0"/>
    <xf numFmtId="4" fontId="23" fillId="98" borderId="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0" fontId="2" fillId="0" borderId="0"/>
    <xf numFmtId="4" fontId="23" fillId="96" borderId="92" applyNumberFormat="0" applyProtection="0">
      <alignment horizontal="right" vertical="center"/>
    </xf>
    <xf numFmtId="0" fontId="2" fillId="0" borderId="0"/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0" fontId="2" fillId="11" borderId="20" applyNumberFormat="0" applyFont="0" applyAlignment="0" applyProtection="0"/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54" borderId="92" applyNumberFormat="0" applyProtection="0">
      <alignment horizontal="left" vertical="center" indent="1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23" fillId="48" borderId="92" applyNumberFormat="0" applyFont="0" applyAlignment="0" applyProtection="0"/>
    <xf numFmtId="0" fontId="57" fillId="79" borderId="92" applyNumberFormat="0" applyAlignment="0" applyProtection="0"/>
    <xf numFmtId="194" fontId="124" fillId="0" borderId="6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3" fillId="48" borderId="92" applyNumberFormat="0" applyFont="0" applyAlignment="0" applyProtection="0"/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82" borderId="92" applyNumberFormat="0" applyProtection="0">
      <alignment vertical="center"/>
    </xf>
    <xf numFmtId="4" fontId="23" fillId="54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5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6" borderId="92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8" borderId="93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89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0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2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4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5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6" borderId="92" applyNumberFormat="0" applyProtection="0">
      <alignment horizontal="right" vertical="center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98" borderId="93" applyNumberFormat="0" applyProtection="0">
      <alignment horizontal="left" vertical="center" indent="1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2" borderId="92" applyNumberFormat="0" applyProtection="0">
      <alignment horizontal="right" vertical="center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4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4" fontId="23" fillId="0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0" fontId="81" fillId="0" borderId="69">
      <alignment horizontal="center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0" fontId="127" fillId="0" borderId="3" applyFill="0" applyBorder="0" applyProtection="0">
      <alignment horizontal="left" vertical="top"/>
    </xf>
    <xf numFmtId="8" fontId="3" fillId="0" borderId="99" applyFont="0" applyFill="0" applyBorder="0" applyProtection="0">
      <alignment horizontal="right"/>
    </xf>
    <xf numFmtId="0" fontId="136" fillId="0" borderId="69">
      <alignment horizontal="right"/>
    </xf>
    <xf numFmtId="0" fontId="136" fillId="0" borderId="69">
      <alignment horizontal="left"/>
    </xf>
    <xf numFmtId="0" fontId="81" fillId="0" borderId="69">
      <alignment horizontal="center"/>
    </xf>
    <xf numFmtId="0" fontId="136" fillId="0" borderId="69">
      <alignment horizontal="right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83" fillId="54" borderId="92" applyNumberFormat="0" applyProtection="0">
      <alignment vertical="center"/>
    </xf>
    <xf numFmtId="4" fontId="23" fillId="83" borderId="92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3" fillId="71" borderId="93" applyNumberFormat="0" applyProtection="0">
      <alignment horizontal="left" vertical="center" indent="1"/>
    </xf>
    <xf numFmtId="4" fontId="23" fillId="101" borderId="93" applyNumberFormat="0" applyProtection="0">
      <alignment horizontal="left" vertical="center" indent="1"/>
    </xf>
    <xf numFmtId="4" fontId="23" fillId="102" borderId="93" applyNumberFormat="0" applyProtection="0">
      <alignment horizontal="left" vertical="center" indent="1"/>
    </xf>
    <xf numFmtId="4" fontId="83" fillId="67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89" fillId="70" borderId="92" applyNumberFormat="0" applyProtection="0">
      <alignment horizontal="right" vertical="center"/>
    </xf>
    <xf numFmtId="4" fontId="23" fillId="83" borderId="92" applyNumberFormat="0" applyProtection="0">
      <alignment horizontal="left" vertical="center" indent="1"/>
    </xf>
    <xf numFmtId="4" fontId="23" fillId="102" borderId="92" applyNumberFormat="0" applyProtection="0">
      <alignment horizontal="right" vertical="center"/>
    </xf>
    <xf numFmtId="0" fontId="23" fillId="104" borderId="92" applyNumberFormat="0" applyProtection="0">
      <alignment horizontal="left" vertical="center" indent="1"/>
    </xf>
    <xf numFmtId="0" fontId="23" fillId="105" borderId="92" applyNumberFormat="0" applyProtection="0">
      <alignment horizontal="left" vertical="center" indent="1"/>
    </xf>
    <xf numFmtId="0" fontId="23" fillId="107" borderId="92" applyNumberFormat="0" applyProtection="0">
      <alignment horizontal="left" vertical="center" indent="1"/>
    </xf>
    <xf numFmtId="0" fontId="23" fillId="101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4" fontId="23" fillId="83" borderId="92" applyNumberFormat="0" applyProtection="0">
      <alignment horizontal="left" vertical="center" indent="1"/>
    </xf>
    <xf numFmtId="0" fontId="23" fillId="70" borderId="106" applyNumberFormat="0">
      <protection locked="0"/>
    </xf>
    <xf numFmtId="4" fontId="33" fillId="65" borderId="105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79" borderId="107" applyNumberFormat="0" applyAlignment="0" applyProtection="0"/>
    <xf numFmtId="4" fontId="40" fillId="54" borderId="107" applyNumberFormat="0" applyProtection="0">
      <alignment vertical="center"/>
    </xf>
    <xf numFmtId="4" fontId="40" fillId="54" borderId="107" applyNumberFormat="0" applyProtection="0">
      <alignment vertical="center"/>
    </xf>
    <xf numFmtId="4" fontId="40" fillId="54" borderId="107" applyNumberFormat="0" applyProtection="0">
      <alignment vertical="center"/>
    </xf>
    <xf numFmtId="4" fontId="82" fillId="54" borderId="107" applyNumberFormat="0" applyProtection="0">
      <alignment vertical="center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4" fontId="40" fillId="57" borderId="107" applyNumberFormat="0" applyProtection="0">
      <alignment horizontal="right" vertical="center"/>
    </xf>
    <xf numFmtId="4" fontId="40" fillId="57" borderId="107" applyNumberFormat="0" applyProtection="0">
      <alignment horizontal="right" vertical="center"/>
    </xf>
    <xf numFmtId="4" fontId="40" fillId="57" borderId="107" applyNumberFormat="0" applyProtection="0">
      <alignment horizontal="right" vertical="center"/>
    </xf>
    <xf numFmtId="4" fontId="40" fillId="58" borderId="107" applyNumberFormat="0" applyProtection="0">
      <alignment horizontal="right" vertical="center"/>
    </xf>
    <xf numFmtId="4" fontId="40" fillId="58" borderId="107" applyNumberFormat="0" applyProtection="0">
      <alignment horizontal="right" vertical="center"/>
    </xf>
    <xf numFmtId="4" fontId="40" fillId="58" borderId="107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40" fillId="56" borderId="107" applyNumberFormat="0" applyProtection="0">
      <alignment horizontal="right" vertical="center"/>
    </xf>
    <xf numFmtId="4" fontId="40" fillId="56" borderId="107" applyNumberFormat="0" applyProtection="0">
      <alignment horizontal="right" vertical="center"/>
    </xf>
    <xf numFmtId="4" fontId="40" fillId="56" borderId="107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40" fillId="61" borderId="107" applyNumberFormat="0" applyProtection="0">
      <alignment horizontal="right" vertical="center"/>
    </xf>
    <xf numFmtId="4" fontId="40" fillId="61" borderId="107" applyNumberFormat="0" applyProtection="0">
      <alignment horizontal="right" vertical="center"/>
    </xf>
    <xf numFmtId="4" fontId="40" fillId="61" borderId="107" applyNumberFormat="0" applyProtection="0">
      <alignment horizontal="right" vertical="center"/>
    </xf>
    <xf numFmtId="4" fontId="40" fillId="91" borderId="107" applyNumberFormat="0" applyProtection="0">
      <alignment horizontal="right" vertical="center"/>
    </xf>
    <xf numFmtId="4" fontId="40" fillId="91" borderId="107" applyNumberFormat="0" applyProtection="0">
      <alignment horizontal="right" vertical="center"/>
    </xf>
    <xf numFmtId="4" fontId="40" fillId="91" borderId="107" applyNumberFormat="0" applyProtection="0">
      <alignment horizontal="right" vertical="center"/>
    </xf>
    <xf numFmtId="4" fontId="40" fillId="93" borderId="107" applyNumberFormat="0" applyProtection="0">
      <alignment horizontal="right" vertical="center"/>
    </xf>
    <xf numFmtId="4" fontId="40" fillId="93" borderId="107" applyNumberFormat="0" applyProtection="0">
      <alignment horizontal="right" vertical="center"/>
    </xf>
    <xf numFmtId="4" fontId="40" fillId="93" borderId="107" applyNumberFormat="0" applyProtection="0">
      <alignment horizontal="right" vertical="center"/>
    </xf>
    <xf numFmtId="4" fontId="40" fillId="64" borderId="107" applyNumberFormat="0" applyProtection="0">
      <alignment horizontal="right" vertical="center"/>
    </xf>
    <xf numFmtId="4" fontId="40" fillId="64" borderId="107" applyNumberFormat="0" applyProtection="0">
      <alignment horizontal="right" vertical="center"/>
    </xf>
    <xf numFmtId="4" fontId="40" fillId="64" borderId="107" applyNumberFormat="0" applyProtection="0">
      <alignment horizontal="right" vertical="center"/>
    </xf>
    <xf numFmtId="4" fontId="40" fillId="63" borderId="107" applyNumberFormat="0" applyProtection="0">
      <alignment horizontal="right" vertical="center"/>
    </xf>
    <xf numFmtId="4" fontId="40" fillId="63" borderId="107" applyNumberFormat="0" applyProtection="0">
      <alignment horizontal="right" vertical="center"/>
    </xf>
    <xf numFmtId="4" fontId="40" fillId="63" borderId="107" applyNumberFormat="0" applyProtection="0">
      <alignment horizontal="right" vertical="center"/>
    </xf>
    <xf numFmtId="4" fontId="40" fillId="97" borderId="107" applyNumberFormat="0" applyProtection="0">
      <alignment horizontal="right" vertical="center"/>
    </xf>
    <xf numFmtId="4" fontId="40" fillId="97" borderId="107" applyNumberFormat="0" applyProtection="0">
      <alignment horizontal="right" vertical="center"/>
    </xf>
    <xf numFmtId="4" fontId="40" fillId="97" borderId="107" applyNumberFormat="0" applyProtection="0">
      <alignment horizontal="right" vertical="center"/>
    </xf>
    <xf numFmtId="4" fontId="36" fillId="99" borderId="107" applyNumberFormat="0" applyProtection="0">
      <alignment horizontal="left" vertical="center" indent="1"/>
    </xf>
    <xf numFmtId="4" fontId="36" fillId="98" borderId="105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33" fillId="65" borderId="105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40" fillId="100" borderId="109" applyNumberFormat="0" applyProtection="0">
      <alignment horizontal="left" vertical="center" indent="1"/>
    </xf>
    <xf numFmtId="4" fontId="40" fillId="100" borderId="109" applyNumberFormat="0" applyProtection="0">
      <alignment horizontal="left" vertical="center" indent="1"/>
    </xf>
    <xf numFmtId="4" fontId="40" fillId="100" borderId="109" applyNumberFormat="0" applyProtection="0">
      <alignment horizontal="left" vertical="center" indent="1"/>
    </xf>
    <xf numFmtId="4" fontId="3" fillId="71" borderId="108" applyNumberFormat="0" applyProtection="0">
      <alignment horizontal="left" vertical="center" indent="1"/>
    </xf>
    <xf numFmtId="4" fontId="3" fillId="71" borderId="108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23" fillId="70" borderId="106" applyNumberFormat="0">
      <protection locked="0"/>
    </xf>
    <xf numFmtId="0" fontId="23" fillId="70" borderId="106" applyNumberFormat="0">
      <protection locked="0"/>
    </xf>
    <xf numFmtId="0" fontId="23" fillId="70" borderId="106" applyNumberFormat="0">
      <protection locked="0"/>
    </xf>
    <xf numFmtId="0" fontId="23" fillId="70" borderId="106" applyNumberFormat="0">
      <protection locked="0"/>
    </xf>
    <xf numFmtId="4" fontId="40" fillId="72" borderId="107" applyNumberFormat="0" applyProtection="0">
      <alignment vertical="center"/>
    </xf>
    <xf numFmtId="4" fontId="40" fillId="72" borderId="107" applyNumberFormat="0" applyProtection="0">
      <alignment vertical="center"/>
    </xf>
    <xf numFmtId="4" fontId="40" fillId="72" borderId="107" applyNumberFormat="0" applyProtection="0">
      <alignment vertical="center"/>
    </xf>
    <xf numFmtId="4" fontId="82" fillId="72" borderId="107" applyNumberFormat="0" applyProtection="0">
      <alignment vertical="center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0" borderId="107" applyNumberFormat="0" applyProtection="0">
      <alignment horizontal="right" vertical="center"/>
    </xf>
    <xf numFmtId="4" fontId="40" fillId="0" borderId="107" applyNumberFormat="0" applyProtection="0">
      <alignment horizontal="right" vertical="center"/>
    </xf>
    <xf numFmtId="4" fontId="40" fillId="0" borderId="107" applyNumberFormat="0" applyProtection="0">
      <alignment horizontal="right" vertical="center"/>
    </xf>
    <xf numFmtId="4" fontId="82" fillId="100" borderId="107" applyNumberFormat="0" applyProtection="0">
      <alignment horizontal="right" vertical="center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4" fontId="88" fillId="100" borderId="107" applyNumberFormat="0" applyProtection="0">
      <alignment horizontal="right" vertical="center"/>
    </xf>
    <xf numFmtId="0" fontId="32" fillId="0" borderId="110" applyNumberFormat="0" applyFill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2" fillId="0" borderId="11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165" fontId="4" fillId="0" borderId="0" xfId="1" applyNumberFormat="1" applyFont="1" applyFill="1" applyBorder="1"/>
    <xf numFmtId="164" fontId="4" fillId="0" borderId="0" xfId="2" applyNumberFormat="1" applyFont="1" applyFill="1" applyBorder="1"/>
    <xf numFmtId="165" fontId="4" fillId="0" borderId="0" xfId="1" applyNumberFormat="1" applyFont="1" applyBorder="1"/>
    <xf numFmtId="0" fontId="25" fillId="0" borderId="0" xfId="0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left" vertical="center"/>
    </xf>
    <xf numFmtId="0" fontId="9" fillId="0" borderId="0" xfId="4" applyFont="1"/>
    <xf numFmtId="0" fontId="9" fillId="0" borderId="0" xfId="4" applyFont="1" applyAlignment="1">
      <alignment horizontal="left"/>
    </xf>
    <xf numFmtId="165" fontId="5" fillId="0" borderId="51" xfId="22" applyNumberFormat="1" applyFont="1" applyBorder="1"/>
    <xf numFmtId="175" fontId="5" fillId="0" borderId="47" xfId="22" applyNumberFormat="1" applyFont="1" applyBorder="1"/>
    <xf numFmtId="175" fontId="4" fillId="0" borderId="4" xfId="4" applyNumberFormat="1" applyFont="1" applyBorder="1" applyAlignment="1">
      <alignment horizontal="right"/>
    </xf>
    <xf numFmtId="0" fontId="4" fillId="0" borderId="0" xfId="2012" applyFont="1" applyAlignment="1">
      <alignment horizontal="center"/>
    </xf>
    <xf numFmtId="0" fontId="5" fillId="0" borderId="0" xfId="2012" applyFont="1" applyAlignment="1">
      <alignment horizontal="center"/>
    </xf>
    <xf numFmtId="0" fontId="5" fillId="0" borderId="0" xfId="2012" applyFont="1"/>
    <xf numFmtId="0" fontId="5" fillId="0" borderId="0" xfId="2012" applyFont="1" applyAlignment="1">
      <alignment horizontal="left"/>
    </xf>
    <xf numFmtId="0" fontId="12" fillId="0" borderId="0" xfId="2012" applyFont="1"/>
    <xf numFmtId="177" fontId="4" fillId="0" borderId="0" xfId="2012" applyNumberFormat="1" applyFont="1" applyAlignment="1">
      <alignment horizontal="right"/>
    </xf>
    <xf numFmtId="0" fontId="4" fillId="0" borderId="0" xfId="2012" applyFont="1"/>
    <xf numFmtId="177" fontId="4" fillId="0" borderId="0" xfId="2012" quotePrefix="1" applyNumberFormat="1" applyFont="1" applyAlignment="1">
      <alignment horizontal="right"/>
    </xf>
    <xf numFmtId="176" fontId="4" fillId="0" borderId="0" xfId="2012" applyNumberFormat="1" applyFont="1" applyAlignment="1">
      <alignment horizontal="left"/>
    </xf>
    <xf numFmtId="0" fontId="12" fillId="0" borderId="0" xfId="2012" applyFont="1" applyAlignment="1">
      <alignment horizontal="center"/>
    </xf>
    <xf numFmtId="164" fontId="4" fillId="0" borderId="0" xfId="21" applyNumberFormat="1" applyFont="1" applyFill="1" applyBorder="1" applyProtection="1">
      <protection locked="0"/>
    </xf>
    <xf numFmtId="10" fontId="5" fillId="0" borderId="0" xfId="61" applyNumberFormat="1" applyFont="1" applyBorder="1"/>
    <xf numFmtId="10" fontId="5" fillId="0" borderId="0" xfId="1043" applyNumberFormat="1" applyFont="1" applyAlignment="1" applyProtection="1">
      <alignment horizontal="right"/>
    </xf>
    <xf numFmtId="164" fontId="5" fillId="0" borderId="0" xfId="2012" applyNumberFormat="1" applyFont="1" applyAlignment="1" applyProtection="1">
      <alignment horizontal="right"/>
      <protection locked="0"/>
    </xf>
    <xf numFmtId="10" fontId="5" fillId="0" borderId="0" xfId="61" applyNumberFormat="1" applyFont="1"/>
    <xf numFmtId="177" fontId="5" fillId="0" borderId="0" xfId="2012" quotePrefix="1" applyNumberFormat="1" applyFont="1" applyAlignment="1">
      <alignment horizontal="right"/>
    </xf>
    <xf numFmtId="177" fontId="4" fillId="0" borderId="0" xfId="2012" applyNumberFormat="1" applyFont="1" applyAlignment="1" applyProtection="1">
      <alignment horizontal="right"/>
      <protection locked="0"/>
    </xf>
    <xf numFmtId="164" fontId="4" fillId="0" borderId="0" xfId="21" applyNumberFormat="1" applyFont="1" applyFill="1" applyBorder="1" applyAlignment="1" applyProtection="1">
      <alignment horizontal="right"/>
      <protection locked="0"/>
    </xf>
    <xf numFmtId="0" fontId="5" fillId="0" borderId="4" xfId="4" applyFont="1" applyBorder="1"/>
    <xf numFmtId="0" fontId="5" fillId="0" borderId="4" xfId="4" applyFont="1" applyBorder="1" applyAlignment="1">
      <alignment horizontal="center"/>
    </xf>
    <xf numFmtId="10" fontId="5" fillId="0" borderId="4" xfId="61" applyNumberFormat="1" applyFont="1" applyBorder="1" applyAlignment="1">
      <alignment horizontal="center"/>
    </xf>
    <xf numFmtId="0" fontId="5" fillId="0" borderId="52" xfId="4" applyFont="1" applyBorder="1"/>
    <xf numFmtId="0" fontId="5" fillId="0" borderId="41" xfId="4" applyFont="1" applyBorder="1"/>
    <xf numFmtId="0" fontId="5" fillId="0" borderId="0" xfId="4" applyFont="1" applyAlignment="1">
      <alignment horizontal="left"/>
    </xf>
    <xf numFmtId="10" fontId="5" fillId="0" borderId="0" xfId="1043" applyNumberFormat="1" applyFont="1" applyBorder="1" applyAlignment="1">
      <alignment horizontal="right"/>
    </xf>
    <xf numFmtId="0" fontId="4" fillId="0" borderId="0" xfId="1965" applyFont="1"/>
    <xf numFmtId="0" fontId="4" fillId="0" borderId="0" xfId="1604" applyFont="1"/>
    <xf numFmtId="0" fontId="5" fillId="0" borderId="0" xfId="4" applyFont="1"/>
    <xf numFmtId="0" fontId="4" fillId="0" borderId="0" xfId="4" applyFont="1" applyAlignment="1">
      <alignment horizontal="center"/>
    </xf>
    <xf numFmtId="164" fontId="5" fillId="0" borderId="0" xfId="21" quotePrefix="1" applyNumberFormat="1" applyFont="1" applyFill="1" applyBorder="1" applyAlignment="1">
      <alignment horizontal="right"/>
    </xf>
    <xf numFmtId="168" fontId="5" fillId="0" borderId="0" xfId="4" applyNumberFormat="1" applyFont="1" applyAlignment="1">
      <alignment horizontal="center"/>
    </xf>
    <xf numFmtId="0" fontId="12" fillId="0" borderId="0" xfId="4" applyFont="1" applyAlignment="1">
      <alignment horizontal="left"/>
    </xf>
    <xf numFmtId="0" fontId="5" fillId="0" borderId="0" xfId="4" applyFont="1" applyAlignment="1" applyProtection="1">
      <alignment horizontal="center"/>
      <protection locked="0"/>
    </xf>
    <xf numFmtId="165" fontId="5" fillId="0" borderId="0" xfId="2408" applyNumberFormat="1" applyFont="1" applyFill="1" applyAlignment="1" applyProtection="1">
      <alignment horizontal="center"/>
    </xf>
    <xf numFmtId="165" fontId="5" fillId="0" borderId="0" xfId="2408" applyNumberFormat="1" applyFont="1" applyFill="1" applyAlignment="1" applyProtection="1">
      <alignment horizontal="right"/>
    </xf>
    <xf numFmtId="165" fontId="5" fillId="0" borderId="0" xfId="2408" applyNumberFormat="1" applyFont="1" applyFill="1" applyBorder="1" applyAlignment="1" applyProtection="1">
      <alignment horizontal="center"/>
    </xf>
    <xf numFmtId="164" fontId="5" fillId="0" borderId="0" xfId="21" applyNumberFormat="1" applyFont="1" applyFill="1" applyBorder="1" applyAlignment="1" applyProtection="1">
      <alignment horizontal="right"/>
    </xf>
    <xf numFmtId="0" fontId="5" fillId="0" borderId="0" xfId="4" applyFont="1" applyAlignment="1">
      <alignment horizontal="center"/>
    </xf>
    <xf numFmtId="164" fontId="4" fillId="0" borderId="0" xfId="21" applyNumberFormat="1" applyFont="1" applyFill="1" applyAlignment="1" applyProtection="1">
      <alignment horizontal="right"/>
    </xf>
    <xf numFmtId="165" fontId="4" fillId="0" borderId="0" xfId="2408" applyNumberFormat="1" applyFont="1" applyFill="1" applyAlignment="1" applyProtection="1">
      <alignment horizontal="right"/>
    </xf>
    <xf numFmtId="0" fontId="5" fillId="0" borderId="0" xfId="4" quotePrefix="1" applyFont="1" applyAlignment="1">
      <alignment horizontal="center"/>
    </xf>
    <xf numFmtId="0" fontId="4" fillId="0" borderId="3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112" xfId="4" applyFont="1" applyBorder="1"/>
    <xf numFmtId="0" fontId="5" fillId="0" borderId="4" xfId="4" applyFont="1" applyBorder="1" applyAlignment="1">
      <alignment horizontal="left"/>
    </xf>
    <xf numFmtId="0" fontId="5" fillId="0" borderId="101" xfId="4" applyFont="1" applyBorder="1" applyAlignment="1">
      <alignment horizontal="center"/>
    </xf>
    <xf numFmtId="10" fontId="5" fillId="0" borderId="3" xfId="61" applyNumberFormat="1" applyFont="1" applyBorder="1" applyAlignment="1">
      <alignment horizontal="center"/>
    </xf>
    <xf numFmtId="41" fontId="4" fillId="0" borderId="3" xfId="21" applyNumberFormat="1" applyFont="1" applyBorder="1" applyAlignment="1">
      <alignment horizontal="center"/>
    </xf>
    <xf numFmtId="43" fontId="5" fillId="0" borderId="3" xfId="4" applyNumberFormat="1" applyFont="1" applyBorder="1" applyAlignment="1">
      <alignment horizontal="center"/>
    </xf>
    <xf numFmtId="41" fontId="5" fillId="0" borderId="3" xfId="21" applyNumberFormat="1" applyFont="1" applyBorder="1" applyAlignment="1">
      <alignment horizontal="left"/>
    </xf>
    <xf numFmtId="41" fontId="5" fillId="0" borderId="3" xfId="21" applyNumberFormat="1" applyFont="1" applyFill="1" applyBorder="1" applyAlignment="1">
      <alignment horizontal="left"/>
    </xf>
    <xf numFmtId="41" fontId="4" fillId="0" borderId="3" xfId="21" applyNumberFormat="1" applyFont="1" applyFill="1" applyBorder="1" applyAlignment="1">
      <alignment horizontal="center"/>
    </xf>
    <xf numFmtId="41" fontId="4" fillId="0" borderId="0" xfId="21" applyNumberFormat="1" applyFont="1" applyFill="1" applyBorder="1" applyAlignment="1">
      <alignment horizontal="center"/>
    </xf>
    <xf numFmtId="41" fontId="5" fillId="0" borderId="3" xfId="21" applyNumberFormat="1" applyFont="1" applyFill="1" applyBorder="1" applyAlignment="1">
      <alignment horizontal="center"/>
    </xf>
    <xf numFmtId="0" fontId="5" fillId="0" borderId="102" xfId="4" applyFont="1" applyBorder="1"/>
    <xf numFmtId="43" fontId="4" fillId="0" borderId="3" xfId="4" applyNumberFormat="1" applyFont="1" applyBorder="1" applyAlignment="1">
      <alignment horizontal="center"/>
    </xf>
    <xf numFmtId="41" fontId="5" fillId="0" borderId="3" xfId="21" applyNumberFormat="1" applyFont="1" applyBorder="1" applyAlignment="1">
      <alignment horizontal="center"/>
    </xf>
    <xf numFmtId="41" fontId="5" fillId="0" borderId="3" xfId="21" applyNumberFormat="1" applyFont="1" applyFill="1" applyBorder="1"/>
    <xf numFmtId="165" fontId="5" fillId="0" borderId="3" xfId="22" applyNumberFormat="1" applyFont="1" applyFill="1" applyBorder="1"/>
    <xf numFmtId="0" fontId="5" fillId="0" borderId="102" xfId="4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6" fontId="5" fillId="0" borderId="0" xfId="4" applyNumberFormat="1" applyFont="1"/>
    <xf numFmtId="0" fontId="4" fillId="0" borderId="0" xfId="37925" applyFont="1"/>
    <xf numFmtId="10" fontId="5" fillId="0" borderId="0" xfId="3853" applyNumberFormat="1" applyFont="1"/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5" fillId="0" borderId="4" xfId="2" applyNumberFormat="1" applyFont="1" applyFill="1" applyBorder="1" applyAlignment="1">
      <alignment vertical="center"/>
    </xf>
    <xf numFmtId="164" fontId="4" fillId="0" borderId="0" xfId="4" applyNumberFormat="1" applyFont="1" applyAlignment="1">
      <alignment vertical="center"/>
    </xf>
    <xf numFmtId="43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4" fontId="4" fillId="0" borderId="91" xfId="2" applyNumberFormat="1" applyFont="1" applyFill="1" applyBorder="1" applyAlignment="1">
      <alignment vertical="center"/>
    </xf>
    <xf numFmtId="165" fontId="4" fillId="0" borderId="91" xfId="1" applyNumberFormat="1" applyFont="1" applyFill="1" applyBorder="1" applyAlignment="1">
      <alignment vertical="center"/>
    </xf>
    <xf numFmtId="165" fontId="4" fillId="0" borderId="0" xfId="2408" applyNumberFormat="1" applyFont="1" applyBorder="1" applyAlignment="1">
      <alignment vertical="center"/>
    </xf>
    <xf numFmtId="164" fontId="4" fillId="0" borderId="4" xfId="2" applyNumberFormat="1" applyFont="1" applyFill="1" applyBorder="1" applyAlignment="1">
      <alignment vertical="center"/>
    </xf>
    <xf numFmtId="0" fontId="8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91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4" fontId="5" fillId="0" borderId="50" xfId="2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5" fillId="0" borderId="91" xfId="2" applyNumberFormat="1" applyFont="1" applyFill="1" applyBorder="1" applyAlignment="1">
      <alignment vertical="center"/>
    </xf>
    <xf numFmtId="0" fontId="10" fillId="0" borderId="9" xfId="1604" applyFont="1" applyBorder="1" applyAlignment="1">
      <alignment horizontal="center"/>
    </xf>
    <xf numFmtId="37" fontId="4" fillId="0" borderId="0" xfId="0" applyNumberFormat="1" applyFont="1" applyAlignment="1">
      <alignment vertical="center"/>
    </xf>
    <xf numFmtId="37" fontId="4" fillId="0" borderId="11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115" xfId="0" applyNumberFormat="1" applyFont="1" applyBorder="1" applyAlignment="1">
      <alignment horizontal="center" vertical="center"/>
    </xf>
    <xf numFmtId="37" fontId="5" fillId="0" borderId="116" xfId="0" applyNumberFormat="1" applyFont="1" applyBorder="1" applyAlignment="1">
      <alignment vertical="center"/>
    </xf>
    <xf numFmtId="37" fontId="5" fillId="0" borderId="8" xfId="0" quotePrefix="1" applyNumberFormat="1" applyFont="1" applyBorder="1" applyAlignment="1">
      <alignment horizontal="center" vertical="center"/>
    </xf>
    <xf numFmtId="37" fontId="5" fillId="0" borderId="116" xfId="0" quotePrefix="1" applyNumberFormat="1" applyFont="1" applyBorder="1" applyAlignment="1">
      <alignment horizontal="center" vertical="center"/>
    </xf>
    <xf numFmtId="37" fontId="5" fillId="0" borderId="117" xfId="0" quotePrefix="1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5" fillId="0" borderId="118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91" xfId="12" applyNumberFormat="1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119" xfId="0" applyNumberFormat="1" applyFont="1" applyBorder="1" applyAlignment="1">
      <alignment horizontal="center" vertical="center"/>
    </xf>
    <xf numFmtId="37" fontId="5" fillId="0" borderId="11" xfId="0" applyNumberFormat="1" applyFont="1" applyBorder="1" applyAlignment="1">
      <alignment horizontal="center" vertical="center"/>
    </xf>
    <xf numFmtId="37" fontId="5" fillId="0" borderId="51" xfId="12" applyNumberFormat="1" applyFont="1" applyBorder="1" applyAlignment="1">
      <alignment horizontal="center" vertical="center"/>
    </xf>
    <xf numFmtId="37" fontId="5" fillId="0" borderId="114" xfId="0" applyNumberFormat="1" applyFont="1" applyBorder="1" applyAlignment="1">
      <alignment horizontal="center" vertical="center"/>
    </xf>
    <xf numFmtId="37" fontId="4" fillId="0" borderId="118" xfId="0" applyNumberFormat="1" applyFont="1" applyBorder="1" applyAlignment="1">
      <alignment horizontal="center" vertical="center"/>
    </xf>
    <xf numFmtId="37" fontId="18" fillId="0" borderId="0" xfId="0" applyNumberFormat="1" applyFont="1" applyAlignment="1">
      <alignment vertical="center"/>
    </xf>
    <xf numFmtId="37" fontId="4" fillId="0" borderId="91" xfId="12" applyNumberFormat="1" applyFont="1" applyBorder="1" applyAlignment="1">
      <alignment horizontal="center" vertical="center"/>
    </xf>
    <xf numFmtId="37" fontId="4" fillId="0" borderId="10" xfId="12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vertical="center"/>
    </xf>
    <xf numFmtId="43" fontId="4" fillId="0" borderId="0" xfId="1" applyFont="1" applyFill="1" applyAlignment="1">
      <alignment vertical="center"/>
    </xf>
    <xf numFmtId="168" fontId="4" fillId="0" borderId="118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37" fontId="4" fillId="0" borderId="91" xfId="0" applyNumberFormat="1" applyFont="1" applyBorder="1" applyAlignment="1">
      <alignment vertical="center"/>
    </xf>
    <xf numFmtId="37" fontId="4" fillId="0" borderId="10" xfId="0" applyNumberFormat="1" applyFont="1" applyBorder="1" applyAlignment="1">
      <alignment vertical="center"/>
    </xf>
    <xf numFmtId="164" fontId="5" fillId="0" borderId="50" xfId="2" applyNumberFormat="1" applyFont="1" applyBorder="1" applyAlignment="1">
      <alignment vertical="center"/>
    </xf>
    <xf numFmtId="37" fontId="4" fillId="0" borderId="10" xfId="0" applyNumberFormat="1" applyFont="1" applyBorder="1" applyAlignment="1">
      <alignment horizontal="center" vertical="center"/>
    </xf>
    <xf numFmtId="37" fontId="4" fillId="0" borderId="119" xfId="0" applyNumberFormat="1" applyFont="1" applyBorder="1" applyAlignment="1">
      <alignment vertical="center"/>
    </xf>
    <xf numFmtId="37" fontId="4" fillId="0" borderId="51" xfId="1" applyNumberFormat="1" applyFont="1" applyBorder="1" applyAlignment="1">
      <alignment vertical="center"/>
    </xf>
    <xf numFmtId="0" fontId="5" fillId="0" borderId="103" xfId="0" applyFont="1" applyBorder="1" applyAlignment="1">
      <alignment horizontal="center" vertical="center"/>
    </xf>
    <xf numFmtId="37" fontId="4" fillId="0" borderId="114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37" fontId="12" fillId="0" borderId="9" xfId="0" applyNumberFormat="1" applyFont="1" applyBorder="1" applyAlignment="1">
      <alignment horizontal="left" vertical="center"/>
    </xf>
    <xf numFmtId="37" fontId="5" fillId="0" borderId="0" xfId="0" applyNumberFormat="1" applyFont="1" applyAlignment="1">
      <alignment horizontal="left" vertical="center"/>
    </xf>
    <xf numFmtId="164" fontId="5" fillId="0" borderId="1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37" fontId="4" fillId="0" borderId="53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 horizontal="left" vertical="center"/>
    </xf>
    <xf numFmtId="168" fontId="4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37" fontId="5" fillId="0" borderId="0" xfId="56" applyNumberFormat="1" applyFont="1" applyAlignment="1" applyProtection="1">
      <alignment horizontal="center" vertical="center"/>
      <protection locked="0"/>
    </xf>
    <xf numFmtId="37" fontId="5" fillId="0" borderId="0" xfId="56" applyNumberFormat="1" applyFont="1" applyAlignment="1">
      <alignment vertical="center"/>
    </xf>
    <xf numFmtId="5" fontId="4" fillId="0" borderId="0" xfId="4" applyNumberFormat="1" applyFont="1" applyAlignment="1" applyProtection="1">
      <alignment vertical="center"/>
      <protection locked="0"/>
    </xf>
    <xf numFmtId="165" fontId="4" fillId="3" borderId="0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Alignment="1">
      <alignment horizontal="center" vertical="center"/>
    </xf>
    <xf numFmtId="164" fontId="4" fillId="0" borderId="0" xfId="21" applyNumberFormat="1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164" fontId="4" fillId="0" borderId="0" xfId="21" applyNumberFormat="1" applyFont="1" applyBorder="1" applyAlignment="1" applyProtection="1">
      <alignment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164" fontId="4" fillId="3" borderId="0" xfId="21" applyNumberFormat="1" applyFont="1" applyFill="1" applyAlignment="1" applyProtection="1">
      <alignment vertical="center"/>
      <protection locked="0"/>
    </xf>
    <xf numFmtId="5" fontId="4" fillId="0" borderId="0" xfId="4" applyNumberFormat="1" applyFont="1" applyAlignment="1">
      <alignment horizontal="center" vertical="center"/>
    </xf>
    <xf numFmtId="5" fontId="4" fillId="0" borderId="0" xfId="4" applyNumberFormat="1" applyFont="1" applyAlignment="1" applyProtection="1">
      <alignment horizontal="center" vertical="center"/>
      <protection locked="0"/>
    </xf>
    <xf numFmtId="10" fontId="4" fillId="0" borderId="0" xfId="4" applyNumberFormat="1" applyFont="1" applyAlignment="1" applyProtection="1">
      <alignment vertical="center"/>
      <protection locked="0"/>
    </xf>
    <xf numFmtId="10" fontId="4" fillId="0" borderId="0" xfId="4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Border="1" applyAlignment="1" applyProtection="1">
      <alignment horizontal="right" vertical="center"/>
      <protection locked="0"/>
    </xf>
    <xf numFmtId="164" fontId="4" fillId="0" borderId="1" xfId="21" applyNumberFormat="1" applyFont="1" applyBorder="1" applyAlignment="1" applyProtection="1">
      <alignment horizontal="right" vertical="center"/>
      <protection locked="0"/>
    </xf>
    <xf numFmtId="165" fontId="4" fillId="0" borderId="0" xfId="2408" applyNumberFormat="1" applyFont="1" applyBorder="1" applyAlignment="1" applyProtection="1">
      <alignment vertical="center"/>
      <protection locked="0"/>
    </xf>
    <xf numFmtId="165" fontId="4" fillId="0" borderId="0" xfId="2408" applyNumberFormat="1" applyFont="1" applyAlignment="1" applyProtection="1">
      <alignment vertical="center"/>
      <protection locked="0"/>
    </xf>
    <xf numFmtId="0" fontId="9" fillId="0" borderId="0" xfId="4" applyFont="1" applyAlignment="1">
      <alignment vertical="center"/>
    </xf>
    <xf numFmtId="164" fontId="4" fillId="2" borderId="0" xfId="21" applyNumberFormat="1" applyFont="1" applyFill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/>
      <protection locked="0"/>
    </xf>
    <xf numFmtId="165" fontId="4" fillId="2" borderId="0" xfId="2408" applyNumberFormat="1" applyFont="1" applyFill="1" applyBorder="1" applyAlignment="1" applyProtection="1">
      <alignment horizontal="right" vertical="center"/>
      <protection locked="0"/>
    </xf>
    <xf numFmtId="165" fontId="4" fillId="0" borderId="0" xfId="2408" applyNumberFormat="1" applyFont="1" applyFill="1" applyBorder="1" applyAlignment="1" applyProtection="1">
      <alignment vertical="center"/>
      <protection locked="0"/>
    </xf>
    <xf numFmtId="10" fontId="4" fillId="0" borderId="0" xfId="3853" applyNumberFormat="1" applyFont="1" applyBorder="1" applyAlignment="1">
      <alignment vertical="center"/>
    </xf>
    <xf numFmtId="164" fontId="4" fillId="0" borderId="0" xfId="2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>
      <alignment vertical="center"/>
    </xf>
    <xf numFmtId="0" fontId="4" fillId="0" borderId="0" xfId="2606" applyFont="1" applyAlignment="1">
      <alignment vertical="center"/>
    </xf>
    <xf numFmtId="0" fontId="10" fillId="0" borderId="0" xfId="4" quotePrefix="1" applyFont="1" applyAlignment="1">
      <alignment horizontal="center" vertical="center"/>
    </xf>
    <xf numFmtId="0" fontId="4" fillId="0" borderId="0" xfId="6107" applyFont="1"/>
    <xf numFmtId="0" fontId="4" fillId="0" borderId="11" xfId="6107" applyFont="1" applyBorder="1"/>
    <xf numFmtId="0" fontId="5" fillId="0" borderId="0" xfId="0" applyFont="1" applyAlignment="1">
      <alignment horizontal="center" vertical="center"/>
    </xf>
    <xf numFmtId="164" fontId="4" fillId="3" borderId="0" xfId="2" applyNumberFormat="1" applyFont="1" applyFill="1" applyAlignment="1" applyProtection="1">
      <alignment vertical="center"/>
      <protection locked="0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4" fillId="0" borderId="0" xfId="0" applyNumberFormat="1" applyFont="1" applyAlignment="1" applyProtection="1">
      <alignment vertical="center"/>
      <protection locked="0"/>
    </xf>
    <xf numFmtId="165" fontId="4" fillId="3" borderId="0" xfId="1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  <protection locked="0"/>
    </xf>
    <xf numFmtId="164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2" applyNumberFormat="1" applyFont="1" applyAlignment="1">
      <alignment horizontal="center"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4" fillId="0" borderId="0" xfId="2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164" fontId="4" fillId="2" borderId="0" xfId="2" applyNumberFormat="1" applyFont="1" applyFill="1" applyAlignment="1">
      <alignment horizontal="right" vertical="center"/>
    </xf>
    <xf numFmtId="165" fontId="4" fillId="111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0" fontId="4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10" fontId="4" fillId="0" borderId="1" xfId="2" applyNumberFormat="1" applyFont="1" applyBorder="1" applyAlignment="1">
      <alignment horizontal="right"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2083" applyFont="1" applyAlignment="1">
      <alignment horizontal="left" vertical="center"/>
    </xf>
    <xf numFmtId="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10" fontId="4" fillId="0" borderId="1" xfId="3" applyNumberFormat="1" applyFont="1" applyBorder="1" applyAlignment="1">
      <alignment horizontal="right" vertical="center"/>
    </xf>
    <xf numFmtId="10" fontId="4" fillId="0" borderId="0" xfId="3" applyNumberFormat="1" applyFont="1" applyBorder="1" applyAlignment="1">
      <alignment horizontal="right" vertical="center"/>
    </xf>
    <xf numFmtId="165" fontId="4" fillId="0" borderId="0" xfId="1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0" fontId="4" fillId="3" borderId="1" xfId="3" applyNumberFormat="1" applyFont="1" applyFill="1" applyBorder="1" applyAlignment="1">
      <alignment vertical="center"/>
    </xf>
    <xf numFmtId="10" fontId="4" fillId="0" borderId="0" xfId="3" applyNumberFormat="1" applyFont="1" applyFill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4" fillId="0" borderId="0" xfId="3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10" fontId="4" fillId="0" borderId="1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9" fontId="4" fillId="0" borderId="0" xfId="0" applyNumberFormat="1" applyFont="1" applyAlignment="1">
      <alignment horizontal="center" vertical="center" wrapText="1"/>
    </xf>
    <xf numFmtId="10" fontId="4" fillId="2" borderId="0" xfId="3" applyNumberFormat="1" applyFont="1" applyFill="1" applyAlignment="1">
      <alignment horizontal="right" vertical="center"/>
    </xf>
    <xf numFmtId="164" fontId="4" fillId="2" borderId="0" xfId="2" applyNumberFormat="1" applyFont="1" applyFill="1" applyAlignment="1">
      <alignment horizontal="center" vertical="center"/>
    </xf>
    <xf numFmtId="164" fontId="4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0" fontId="4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6" fontId="4" fillId="0" borderId="0" xfId="3" applyNumberFormat="1" applyFont="1" applyAlignment="1">
      <alignment horizontal="right" vertical="center"/>
    </xf>
    <xf numFmtId="166" fontId="5" fillId="0" borderId="0" xfId="3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0" xfId="2" applyNumberFormat="1" applyFont="1" applyFill="1" applyAlignment="1">
      <alignment horizontal="right" vertical="center"/>
    </xf>
    <xf numFmtId="166" fontId="4" fillId="0" borderId="0" xfId="3" applyNumberFormat="1" applyFont="1" applyFill="1" applyAlignment="1">
      <alignment horizontal="right" vertical="center"/>
    </xf>
    <xf numFmtId="9" fontId="4" fillId="0" borderId="0" xfId="3" applyFont="1" applyAlignment="1">
      <alignment horizontal="right" vertical="center"/>
    </xf>
    <xf numFmtId="166" fontId="4" fillId="0" borderId="0" xfId="3" applyNumberFormat="1" applyFont="1" applyBorder="1" applyAlignment="1">
      <alignment horizontal="right" vertical="center"/>
    </xf>
    <xf numFmtId="166" fontId="4" fillId="0" borderId="1" xfId="3" applyNumberFormat="1" applyFont="1" applyBorder="1" applyAlignment="1">
      <alignment horizontal="right" vertical="center"/>
    </xf>
    <xf numFmtId="166" fontId="5" fillId="0" borderId="0" xfId="3" applyNumberFormat="1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5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10" fontId="4" fillId="0" borderId="0" xfId="3" quotePrefix="1" applyNumberFormat="1" applyFont="1" applyBorder="1" applyAlignment="1">
      <alignment horizontal="right"/>
    </xf>
    <xf numFmtId="0" fontId="5" fillId="0" borderId="115" xfId="4" applyFont="1" applyBorder="1" applyAlignment="1">
      <alignment horizontal="center"/>
    </xf>
    <xf numFmtId="0" fontId="5" fillId="0" borderId="123" xfId="4" applyFont="1" applyBorder="1" applyAlignment="1">
      <alignment horizontal="center"/>
    </xf>
    <xf numFmtId="0" fontId="5" fillId="0" borderId="120" xfId="4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4" fillId="0" borderId="104" xfId="1" applyNumberFormat="1" applyFont="1" applyFill="1" applyBorder="1" applyAlignment="1">
      <alignment vertical="center"/>
    </xf>
    <xf numFmtId="165" fontId="4" fillId="3" borderId="7" xfId="2030" applyNumberFormat="1" applyFont="1" applyFill="1" applyBorder="1"/>
    <xf numFmtId="10" fontId="4" fillId="0" borderId="0" xfId="2012" applyNumberFormat="1" applyFont="1" applyAlignment="1">
      <alignment horizontal="right"/>
    </xf>
    <xf numFmtId="177" fontId="4" fillId="0" borderId="0" xfId="2012" applyNumberFormat="1" applyFont="1"/>
    <xf numFmtId="165" fontId="4" fillId="0" borderId="0" xfId="2408" applyNumberFormat="1" applyFont="1" applyFill="1" applyBorder="1" applyAlignment="1" applyProtection="1">
      <alignment horizontal="right"/>
      <protection locked="0"/>
    </xf>
    <xf numFmtId="10" fontId="12" fillId="0" borderId="0" xfId="2012" applyNumberFormat="1" applyFont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4" fillId="0" borderId="45" xfId="2012" applyFont="1" applyBorder="1" applyAlignment="1">
      <alignment horizontal="center"/>
    </xf>
    <xf numFmtId="164" fontId="5" fillId="0" borderId="0" xfId="21" applyNumberFormat="1" applyFont="1" applyFill="1" applyBorder="1" applyAlignment="1" applyProtection="1">
      <alignment horizontal="center"/>
    </xf>
    <xf numFmtId="165" fontId="4" fillId="0" borderId="0" xfId="2408" applyNumberFormat="1" applyFont="1" applyFill="1" applyBorder="1" applyAlignment="1" applyProtection="1">
      <alignment horizontal="right"/>
    </xf>
    <xf numFmtId="6" fontId="4" fillId="0" borderId="0" xfId="4" applyNumberFormat="1" applyFont="1"/>
    <xf numFmtId="0" fontId="4" fillId="0" borderId="0" xfId="1965" applyFont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5" fillId="0" borderId="0" xfId="2012" applyFont="1" applyAlignment="1">
      <alignment horizontal="center" vertical="center"/>
    </xf>
    <xf numFmtId="0" fontId="4" fillId="0" borderId="0" xfId="1965" applyFont="1" applyAlignment="1">
      <alignment vertical="center"/>
    </xf>
    <xf numFmtId="0" fontId="4" fillId="0" borderId="0" xfId="2012" applyFont="1" applyAlignment="1">
      <alignment horizontal="center" vertical="center"/>
    </xf>
    <xf numFmtId="0" fontId="5" fillId="0" borderId="0" xfId="2012" applyFont="1" applyAlignment="1">
      <alignment horizontal="left" vertical="center"/>
    </xf>
    <xf numFmtId="0" fontId="5" fillId="0" borderId="0" xfId="2012" applyFont="1" applyAlignment="1">
      <alignment vertical="center"/>
    </xf>
    <xf numFmtId="49" fontId="5" fillId="0" borderId="0" xfId="4" applyNumberFormat="1" applyFont="1" applyAlignment="1">
      <alignment horizontal="center" vertical="center"/>
    </xf>
    <xf numFmtId="0" fontId="5" fillId="0" borderId="0" xfId="2012" applyFont="1" applyAlignment="1" applyProtection="1">
      <alignment vertical="center"/>
      <protection locked="0"/>
    </xf>
    <xf numFmtId="165" fontId="4" fillId="3" borderId="125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>
      <alignment vertical="center"/>
    </xf>
    <xf numFmtId="165" fontId="4" fillId="0" borderId="125" xfId="1" applyNumberFormat="1" applyFont="1" applyFill="1" applyBorder="1" applyAlignment="1">
      <alignment vertical="center"/>
    </xf>
    <xf numFmtId="10" fontId="4" fillId="0" borderId="0" xfId="1043" applyNumberFormat="1" applyFont="1" applyBorder="1" applyAlignment="1">
      <alignment horizontal="right"/>
    </xf>
    <xf numFmtId="0" fontId="4" fillId="0" borderId="0" xfId="2012" applyFont="1" applyAlignment="1">
      <alignment horizontal="left"/>
    </xf>
    <xf numFmtId="0" fontId="9" fillId="0" borderId="0" xfId="2012" applyFont="1"/>
    <xf numFmtId="164" fontId="4" fillId="0" borderId="50" xfId="48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4" fillId="0" borderId="47" xfId="4" applyNumberFormat="1" applyFont="1" applyBorder="1" applyAlignment="1">
      <alignment vertical="center"/>
    </xf>
    <xf numFmtId="164" fontId="4" fillId="2" borderId="4" xfId="48" applyNumberFormat="1" applyFont="1" applyFill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165" fontId="4" fillId="2" borderId="4" xfId="1" applyNumberFormat="1" applyFont="1" applyFill="1" applyBorder="1" applyAlignment="1">
      <alignment horizontal="right" vertical="center"/>
    </xf>
    <xf numFmtId="175" fontId="5" fillId="0" borderId="47" xfId="4" applyNumberFormat="1" applyFont="1" applyBorder="1" applyAlignment="1">
      <alignment vertical="center"/>
    </xf>
    <xf numFmtId="164" fontId="5" fillId="0" borderId="50" xfId="48" applyNumberFormat="1" applyFont="1" applyBorder="1" applyAlignment="1">
      <alignment horizontal="right" vertical="center"/>
    </xf>
    <xf numFmtId="0" fontId="4" fillId="0" borderId="0" xfId="2012" applyFont="1" applyAlignment="1">
      <alignment vertical="center"/>
    </xf>
    <xf numFmtId="10" fontId="4" fillId="2" borderId="0" xfId="2012" applyNumberFormat="1" applyFont="1" applyFill="1" applyAlignment="1">
      <alignment horizontal="right" vertical="center"/>
    </xf>
    <xf numFmtId="177" fontId="4" fillId="0" borderId="0" xfId="2012" applyNumberFormat="1" applyFont="1" applyAlignment="1">
      <alignment horizontal="right" vertical="center"/>
    </xf>
    <xf numFmtId="177" fontId="4" fillId="0" borderId="0" xfId="2012" applyNumberFormat="1" applyFont="1" applyAlignment="1">
      <alignment vertical="center"/>
    </xf>
    <xf numFmtId="177" fontId="4" fillId="0" borderId="44" xfId="2012" applyNumberFormat="1" applyFont="1" applyBorder="1" applyAlignment="1" applyProtection="1">
      <alignment horizontal="right" vertical="center"/>
      <protection locked="0"/>
    </xf>
    <xf numFmtId="10" fontId="4" fillId="0" borderId="0" xfId="2012" applyNumberFormat="1" applyFont="1" applyAlignment="1">
      <alignment horizontal="right" vertical="center"/>
    </xf>
    <xf numFmtId="177" fontId="4" fillId="0" borderId="0" xfId="2012" quotePrefix="1" applyNumberFormat="1" applyFont="1" applyAlignment="1">
      <alignment horizontal="right" vertical="center"/>
    </xf>
    <xf numFmtId="166" fontId="4" fillId="3" borderId="0" xfId="2012" applyNumberFormat="1" applyFont="1" applyFill="1" applyAlignment="1">
      <alignment horizontal="right" vertical="center"/>
    </xf>
    <xf numFmtId="10" fontId="4" fillId="0" borderId="113" xfId="3" quotePrefix="1" applyNumberFormat="1" applyFont="1" applyBorder="1" applyAlignment="1">
      <alignment horizontal="right" vertical="center"/>
    </xf>
    <xf numFmtId="177" fontId="5" fillId="0" borderId="44" xfId="2012" quotePrefix="1" applyNumberFormat="1" applyFont="1" applyBorder="1" applyAlignment="1">
      <alignment horizontal="right" vertical="center"/>
    </xf>
    <xf numFmtId="0" fontId="12" fillId="0" borderId="0" xfId="2012" applyFont="1" applyAlignment="1">
      <alignment vertical="center"/>
    </xf>
    <xf numFmtId="10" fontId="12" fillId="0" borderId="44" xfId="2012" applyNumberFormat="1" applyFont="1" applyBorder="1" applyAlignment="1">
      <alignment horizontal="right" vertical="center"/>
    </xf>
    <xf numFmtId="0" fontId="12" fillId="0" borderId="0" xfId="2012" applyFont="1" applyAlignment="1">
      <alignment horizontal="center" vertical="center"/>
    </xf>
    <xf numFmtId="10" fontId="4" fillId="0" borderId="0" xfId="1043" applyNumberFormat="1" applyFont="1" applyBorder="1" applyAlignment="1">
      <alignment horizontal="right" vertical="center"/>
    </xf>
    <xf numFmtId="164" fontId="4" fillId="2" borderId="113" xfId="2012" applyNumberFormat="1" applyFont="1" applyFill="1" applyBorder="1" applyAlignment="1" applyProtection="1">
      <alignment horizontal="right" vertical="center"/>
      <protection locked="0"/>
    </xf>
    <xf numFmtId="10" fontId="5" fillId="0" borderId="0" xfId="61" applyNumberFormat="1" applyFont="1" applyBorder="1" applyAlignment="1">
      <alignment vertical="center"/>
    </xf>
    <xf numFmtId="10" fontId="5" fillId="0" borderId="0" xfId="1043" applyNumberFormat="1" applyFont="1" applyAlignment="1" applyProtection="1">
      <alignment horizontal="right" vertical="center"/>
    </xf>
    <xf numFmtId="164" fontId="4" fillId="2" borderId="0" xfId="2012" applyNumberFormat="1" applyFont="1" applyFill="1" applyAlignment="1" applyProtection="1">
      <alignment horizontal="right" vertical="center"/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2012" applyNumberFormat="1" applyFont="1" applyAlignment="1" applyProtection="1">
      <alignment horizontal="right" vertical="center"/>
      <protection locked="0"/>
    </xf>
    <xf numFmtId="166" fontId="4" fillId="2" borderId="0" xfId="6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vertical="center"/>
    </xf>
    <xf numFmtId="164" fontId="4" fillId="2" borderId="0" xfId="21" applyNumberFormat="1" applyFont="1" applyFill="1" applyBorder="1" applyAlignment="1" applyProtection="1">
      <alignment horizontal="right" vertical="center"/>
      <protection locked="0"/>
    </xf>
    <xf numFmtId="165" fontId="5" fillId="0" borderId="0" xfId="2408" applyNumberFormat="1" applyFont="1" applyFill="1" applyAlignment="1" applyProtection="1">
      <alignment horizontal="center" vertical="center"/>
    </xf>
    <xf numFmtId="164" fontId="4" fillId="2" borderId="0" xfId="21" applyNumberFormat="1" applyFont="1" applyFill="1" applyBorder="1" applyAlignment="1" applyProtection="1">
      <alignment horizontal="center" vertical="center"/>
    </xf>
    <xf numFmtId="164" fontId="5" fillId="0" borderId="0" xfId="21" quotePrefix="1" applyNumberFormat="1" applyFont="1" applyFill="1" applyBorder="1" applyAlignment="1">
      <alignment horizontal="right" vertical="center"/>
    </xf>
    <xf numFmtId="164" fontId="4" fillId="2" borderId="0" xfId="21" applyNumberFormat="1" applyFont="1" applyFill="1" applyBorder="1" applyAlignment="1" applyProtection="1">
      <alignment horizontal="right" vertical="center"/>
    </xf>
    <xf numFmtId="43" fontId="4" fillId="2" borderId="0" xfId="2408" applyFont="1" applyFill="1" applyBorder="1" applyAlignment="1" applyProtection="1">
      <alignment horizontal="right" vertical="center"/>
    </xf>
    <xf numFmtId="165" fontId="5" fillId="0" borderId="0" xfId="2408" applyNumberFormat="1" applyFont="1" applyFill="1" applyAlignment="1" applyProtection="1">
      <alignment horizontal="right" vertical="center"/>
    </xf>
    <xf numFmtId="165" fontId="5" fillId="0" borderId="0" xfId="2408" applyNumberFormat="1" applyFont="1" applyFill="1" applyBorder="1" applyAlignment="1" applyProtection="1">
      <alignment horizontal="center" vertical="center"/>
    </xf>
    <xf numFmtId="164" fontId="5" fillId="0" borderId="0" xfId="21" applyNumberFormat="1" applyFont="1" applyFill="1" applyBorder="1" applyAlignment="1" applyProtection="1">
      <alignment horizontal="right" vertical="center"/>
    </xf>
    <xf numFmtId="164" fontId="4" fillId="2" borderId="0" xfId="21" applyNumberFormat="1" applyFont="1" applyFill="1" applyAlignment="1" applyProtection="1">
      <alignment horizontal="right" vertical="center"/>
    </xf>
    <xf numFmtId="165" fontId="4" fillId="2" borderId="0" xfId="2408" applyNumberFormat="1" applyFont="1" applyFill="1" applyAlignment="1" applyProtection="1">
      <alignment horizontal="right" vertical="center"/>
    </xf>
    <xf numFmtId="168" fontId="5" fillId="0" borderId="0" xfId="4" applyNumberFormat="1" applyFont="1" applyAlignment="1">
      <alignment horizontal="center" vertical="center"/>
    </xf>
    <xf numFmtId="164" fontId="4" fillId="0" borderId="0" xfId="21" applyNumberFormat="1" applyFont="1" applyFill="1" applyAlignment="1" applyProtection="1">
      <alignment horizontal="right" vertical="center"/>
    </xf>
    <xf numFmtId="165" fontId="4" fillId="0" borderId="0" xfId="2408" applyNumberFormat="1" applyFont="1" applyFill="1" applyAlignment="1" applyProtection="1">
      <alignment horizontal="right" vertical="center"/>
    </xf>
    <xf numFmtId="41" fontId="4" fillId="0" borderId="0" xfId="21" applyNumberFormat="1" applyFont="1" applyBorder="1" applyAlignment="1">
      <alignment horizontal="center"/>
    </xf>
    <xf numFmtId="44" fontId="4" fillId="0" borderId="0" xfId="0" applyNumberFormat="1" applyFont="1" applyAlignment="1">
      <alignment vertical="center"/>
    </xf>
    <xf numFmtId="165" fontId="4" fillId="2" borderId="91" xfId="1" applyNumberFormat="1" applyFont="1" applyFill="1" applyBorder="1" applyAlignment="1">
      <alignment horizontal="right" vertical="center"/>
    </xf>
    <xf numFmtId="0" fontId="4" fillId="0" borderId="69" xfId="1965" applyFont="1" applyBorder="1"/>
    <xf numFmtId="44" fontId="5" fillId="0" borderId="69" xfId="4" applyNumberFormat="1" applyFont="1" applyBorder="1"/>
    <xf numFmtId="0" fontId="27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1" fontId="4" fillId="0" borderId="0" xfId="4" applyNumberFormat="1" applyFont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0" fontId="25" fillId="0" borderId="0" xfId="3" applyNumberFormat="1" applyFont="1" applyAlignment="1">
      <alignment vertical="center"/>
    </xf>
    <xf numFmtId="0" fontId="4" fillId="0" borderId="125" xfId="4" applyFont="1" applyBorder="1" applyAlignment="1">
      <alignment horizontal="left" vertical="center"/>
    </xf>
    <xf numFmtId="1" fontId="4" fillId="0" borderId="125" xfId="4" applyNumberFormat="1" applyFont="1" applyBorder="1" applyAlignment="1">
      <alignment horizontal="center" vertical="center"/>
    </xf>
    <xf numFmtId="165" fontId="25" fillId="0" borderId="125" xfId="1" applyNumberFormat="1" applyFont="1" applyFill="1" applyBorder="1" applyAlignment="1">
      <alignment vertical="center"/>
    </xf>
    <xf numFmtId="165" fontId="4" fillId="0" borderId="125" xfId="1" applyNumberFormat="1" applyFont="1" applyFill="1" applyBorder="1" applyAlignment="1">
      <alignment horizontal="right" vertical="center"/>
    </xf>
    <xf numFmtId="204" fontId="25" fillId="0" borderId="0" xfId="0" applyNumberFormat="1" applyFont="1" applyAlignment="1">
      <alignment vertical="center"/>
    </xf>
    <xf numFmtId="0" fontId="10" fillId="0" borderId="0" xfId="384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" fontId="4" fillId="0" borderId="0" xfId="55" applyNumberFormat="1" applyFont="1" applyAlignment="1">
      <alignment horizontal="center" vertical="center"/>
    </xf>
    <xf numFmtId="1" fontId="4" fillId="0" borderId="125" xfId="55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9" fontId="4" fillId="0" borderId="0" xfId="3" applyFont="1"/>
    <xf numFmtId="0" fontId="4" fillId="0" borderId="4" xfId="4" applyFont="1" applyBorder="1"/>
    <xf numFmtId="0" fontId="5" fillId="0" borderId="0" xfId="2012" applyFont="1" applyProtection="1">
      <protection locked="0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/>
    <xf numFmtId="5" fontId="4" fillId="0" borderId="0" xfId="2012" applyNumberFormat="1" applyFont="1" applyAlignment="1" applyProtection="1">
      <alignment horizontal="right" vertical="center"/>
      <protection locked="0"/>
    </xf>
    <xf numFmtId="5" fontId="4" fillId="0" borderId="0" xfId="2012" applyNumberFormat="1" applyFont="1" applyAlignment="1" applyProtection="1">
      <alignment horizontal="right"/>
      <protection locked="0"/>
    </xf>
    <xf numFmtId="5" fontId="5" fillId="0" borderId="0" xfId="2012" applyNumberFormat="1" applyFont="1" applyAlignment="1" applyProtection="1">
      <alignment horizontal="right" vertical="center"/>
      <protection locked="0"/>
    </xf>
    <xf numFmtId="5" fontId="5" fillId="0" borderId="0" xfId="2012" applyNumberFormat="1" applyFont="1" applyAlignment="1" applyProtection="1">
      <alignment horizontal="right"/>
      <protection locked="0"/>
    </xf>
    <xf numFmtId="178" fontId="4" fillId="0" borderId="0" xfId="0" applyNumberFormat="1" applyFont="1" applyAlignment="1">
      <alignment vertical="center"/>
    </xf>
    <xf numFmtId="10" fontId="4" fillId="3" borderId="0" xfId="3" applyNumberFormat="1" applyFont="1" applyFill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right" vertical="center"/>
    </xf>
    <xf numFmtId="201" fontId="4" fillId="0" borderId="0" xfId="3" applyNumberFormat="1" applyFont="1" applyAlignment="1">
      <alignment vertical="center"/>
    </xf>
    <xf numFmtId="10" fontId="4" fillId="3" borderId="125" xfId="3" applyNumberFormat="1" applyFont="1" applyFill="1" applyBorder="1" applyAlignment="1">
      <alignment horizontal="center" vertical="center"/>
    </xf>
    <xf numFmtId="165" fontId="4" fillId="0" borderId="125" xfId="1" applyNumberFormat="1" applyFont="1" applyBorder="1" applyAlignment="1">
      <alignment horizontal="right" vertical="center"/>
    </xf>
    <xf numFmtId="164" fontId="4" fillId="0" borderId="124" xfId="2" applyNumberFormat="1" applyFont="1" applyFill="1" applyBorder="1" applyAlignment="1">
      <alignment vertical="center"/>
    </xf>
    <xf numFmtId="203" fontId="4" fillId="0" borderId="124" xfId="2" applyNumberFormat="1" applyFont="1" applyBorder="1" applyAlignment="1">
      <alignment vertical="center"/>
    </xf>
    <xf numFmtId="203" fontId="4" fillId="0" borderId="0" xfId="2" applyNumberFormat="1" applyFont="1" applyAlignment="1">
      <alignment vertical="center"/>
    </xf>
    <xf numFmtId="204" fontId="4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5" fontId="4" fillId="0" borderId="0" xfId="0" applyNumberFormat="1" applyFont="1" applyAlignment="1">
      <alignment horizontal="left" vertical="center"/>
    </xf>
    <xf numFmtId="37" fontId="5" fillId="0" borderId="91" xfId="12" applyNumberFormat="1" applyFont="1" applyBorder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5" fillId="0" borderId="10" xfId="0" applyNumberFormat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165" fontId="4" fillId="2" borderId="100" xfId="1" applyNumberFormat="1" applyFont="1" applyFill="1" applyBorder="1" applyAlignment="1">
      <alignment horizontal="right" vertical="center"/>
    </xf>
    <xf numFmtId="0" fontId="7" fillId="0" borderId="0" xfId="4" applyFont="1" applyAlignment="1">
      <alignment horizontal="left"/>
    </xf>
    <xf numFmtId="41" fontId="5" fillId="0" borderId="0" xfId="2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4" fillId="0" borderId="47" xfId="1" applyNumberFormat="1" applyFont="1" applyBorder="1"/>
    <xf numFmtId="165" fontId="4" fillId="0" borderId="91" xfId="1" applyNumberFormat="1" applyFont="1" applyBorder="1"/>
    <xf numFmtId="0" fontId="8" fillId="0" borderId="0" xfId="2012" applyFont="1" applyAlignment="1">
      <alignment horizontal="center"/>
    </xf>
    <xf numFmtId="0" fontId="8" fillId="0" borderId="0" xfId="1965" applyFont="1"/>
    <xf numFmtId="0" fontId="8" fillId="0" borderId="0" xfId="2012" applyFont="1"/>
    <xf numFmtId="0" fontId="7" fillId="0" borderId="0" xfId="2012" applyFont="1"/>
    <xf numFmtId="0" fontId="156" fillId="0" borderId="9" xfId="1604" applyFont="1" applyBorder="1" applyAlignment="1">
      <alignment horizontal="center"/>
    </xf>
    <xf numFmtId="0" fontId="8" fillId="0" borderId="0" xfId="0" applyFont="1"/>
    <xf numFmtId="0" fontId="4" fillId="0" borderId="0" xfId="6107" applyFont="1" applyAlignment="1">
      <alignment vertical="center"/>
    </xf>
    <xf numFmtId="164" fontId="7" fillId="0" borderId="0" xfId="48" applyNumberFormat="1" applyFont="1"/>
    <xf numFmtId="165" fontId="157" fillId="0" borderId="0" xfId="22" applyNumberFormat="1" applyFont="1" applyBorder="1" applyAlignment="1">
      <alignment vertical="center"/>
    </xf>
    <xf numFmtId="165" fontId="157" fillId="0" borderId="0" xfId="22" applyNumberFormat="1" applyFont="1" applyBorder="1"/>
    <xf numFmtId="164" fontId="8" fillId="0" borderId="0" xfId="48" applyNumberFormat="1" applyFont="1" applyAlignment="1">
      <alignment vertical="center"/>
    </xf>
    <xf numFmtId="10" fontId="155" fillId="0" borderId="0" xfId="61" applyNumberFormat="1" applyFont="1" applyBorder="1" applyAlignment="1" applyProtection="1">
      <alignment vertical="center"/>
    </xf>
    <xf numFmtId="10" fontId="155" fillId="0" borderId="0" xfId="61" applyNumberFormat="1" applyFont="1" applyBorder="1" applyProtection="1"/>
    <xf numFmtId="164" fontId="8" fillId="0" borderId="0" xfId="48" applyNumberFormat="1" applyFont="1" applyBorder="1" applyAlignment="1">
      <alignment horizontal="right" vertical="center"/>
    </xf>
    <xf numFmtId="164" fontId="7" fillId="0" borderId="0" xfId="48" applyNumberFormat="1" applyFont="1" applyBorder="1" applyAlignment="1">
      <alignment horizontal="right"/>
    </xf>
    <xf numFmtId="10" fontId="7" fillId="0" borderId="0" xfId="1043" applyNumberFormat="1" applyFont="1" applyBorder="1" applyAlignment="1">
      <alignment horizontal="right"/>
    </xf>
    <xf numFmtId="10" fontId="4" fillId="2" borderId="0" xfId="2012" applyNumberFormat="1" applyFont="1" applyFill="1" applyAlignment="1">
      <alignment vertical="center"/>
    </xf>
    <xf numFmtId="164" fontId="4" fillId="0" borderId="91" xfId="4" applyNumberFormat="1" applyFont="1" applyBorder="1" applyAlignment="1">
      <alignment horizontal="right" vertical="center"/>
    </xf>
    <xf numFmtId="164" fontId="4" fillId="0" borderId="91" xfId="4" applyNumberFormat="1" applyFont="1" applyBorder="1" applyAlignment="1">
      <alignment vertical="center"/>
    </xf>
    <xf numFmtId="0" fontId="5" fillId="0" borderId="10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4" xfId="4" applyFont="1" applyBorder="1" applyAlignment="1">
      <alignment horizontal="left" indent="2"/>
    </xf>
    <xf numFmtId="165" fontId="4" fillId="2" borderId="87" xfId="1" applyNumberFormat="1" applyFont="1" applyFill="1" applyBorder="1" applyAlignment="1">
      <alignment horizontal="right" vertical="center"/>
    </xf>
    <xf numFmtId="165" fontId="4" fillId="0" borderId="91" xfId="1" applyNumberFormat="1" applyFont="1" applyFill="1" applyBorder="1" applyAlignment="1">
      <alignment horizontal="right" vertical="center"/>
    </xf>
    <xf numFmtId="0" fontId="7" fillId="0" borderId="0" xfId="2012" applyFont="1" applyAlignment="1">
      <alignment vertical="center"/>
    </xf>
    <xf numFmtId="41" fontId="5" fillId="0" borderId="0" xfId="21" applyNumberFormat="1" applyFont="1" applyBorder="1" applyAlignment="1">
      <alignment horizontal="left"/>
    </xf>
    <xf numFmtId="0" fontId="4" fillId="0" borderId="125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43" fontId="4" fillId="2" borderId="0" xfId="2408" applyFont="1" applyFill="1" applyBorder="1" applyAlignment="1" applyProtection="1">
      <alignment horizontal="center" vertical="center"/>
    </xf>
    <xf numFmtId="175" fontId="4" fillId="0" borderId="4" xfId="48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7" fontId="4" fillId="0" borderId="87" xfId="1" applyNumberFormat="1" applyFont="1" applyFill="1" applyBorder="1" applyAlignment="1">
      <alignment horizontal="right"/>
    </xf>
    <xf numFmtId="167" fontId="4" fillId="0" borderId="100" xfId="1" applyNumberFormat="1" applyFont="1" applyFill="1" applyBorder="1" applyAlignment="1">
      <alignment horizontal="right"/>
    </xf>
    <xf numFmtId="0" fontId="4" fillId="0" borderId="4" xfId="4" applyFont="1" applyBorder="1" applyAlignment="1">
      <alignment horizontal="left"/>
    </xf>
    <xf numFmtId="41" fontId="4" fillId="0" borderId="90" xfId="21" applyNumberFormat="1" applyFont="1" applyBorder="1" applyAlignment="1">
      <alignment horizontal="center"/>
    </xf>
    <xf numFmtId="175" fontId="5" fillId="0" borderId="50" xfId="2" applyNumberFormat="1" applyFont="1" applyFill="1" applyBorder="1"/>
    <xf numFmtId="164" fontId="4" fillId="2" borderId="113" xfId="21" applyNumberFormat="1" applyFont="1" applyFill="1" applyBorder="1" applyAlignment="1" applyProtection="1">
      <alignment vertical="center"/>
      <protection locked="0"/>
    </xf>
    <xf numFmtId="166" fontId="4" fillId="0" borderId="125" xfId="3" applyNumberFormat="1" applyFont="1" applyFill="1" applyBorder="1" applyAlignment="1">
      <alignment vertical="center"/>
    </xf>
    <xf numFmtId="165" fontId="4" fillId="2" borderId="54" xfId="1" applyNumberFormat="1" applyFont="1" applyFill="1" applyBorder="1" applyAlignment="1">
      <alignment horizontal="center" vertical="center"/>
    </xf>
    <xf numFmtId="164" fontId="4" fillId="0" borderId="0" xfId="48" applyNumberFormat="1" applyFont="1" applyAlignment="1">
      <alignment vertical="center"/>
    </xf>
    <xf numFmtId="164" fontId="4" fillId="0" borderId="0" xfId="48" applyNumberFormat="1" applyFont="1" applyBorder="1" applyAlignment="1">
      <alignment horizontal="right" vertical="center"/>
    </xf>
    <xf numFmtId="10" fontId="4" fillId="0" borderId="1" xfId="1043" applyNumberFormat="1" applyFont="1" applyBorder="1" applyAlignment="1">
      <alignment horizontal="right" vertical="center"/>
    </xf>
    <xf numFmtId="165" fontId="4" fillId="3" borderId="87" xfId="1" applyNumberFormat="1" applyFont="1" applyFill="1" applyBorder="1" applyAlignment="1">
      <alignment vertical="center"/>
    </xf>
    <xf numFmtId="164" fontId="4" fillId="2" borderId="91" xfId="48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4" fontId="4" fillId="0" borderId="1" xfId="21" applyNumberFormat="1" applyFont="1" applyFill="1" applyBorder="1" applyAlignment="1" applyProtection="1">
      <alignment horizontal="right" vertical="center"/>
    </xf>
    <xf numFmtId="164" fontId="4" fillId="0" borderId="0" xfId="21" applyNumberFormat="1" applyFont="1" applyFill="1" applyBorder="1" applyAlignment="1" applyProtection="1">
      <alignment horizontal="right"/>
    </xf>
    <xf numFmtId="164" fontId="4" fillId="111" borderId="0" xfId="21" applyNumberFormat="1" applyFont="1" applyFill="1" applyBorder="1" applyAlignment="1" applyProtection="1">
      <alignment horizontal="right" vertical="center"/>
    </xf>
    <xf numFmtId="164" fontId="4" fillId="111" borderId="1" xfId="2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vertical="center"/>
    </xf>
    <xf numFmtId="170" fontId="4" fillId="0" borderId="11" xfId="3" applyNumberFormat="1" applyFont="1" applyBorder="1" applyAlignment="1">
      <alignment horizontal="right" vertical="center"/>
    </xf>
    <xf numFmtId="164" fontId="4" fillId="0" borderId="124" xfId="0" applyNumberFormat="1" applyFont="1" applyBorder="1" applyAlignment="1">
      <alignment vertical="center"/>
    </xf>
    <xf numFmtId="10" fontId="4" fillId="0" borderId="125" xfId="3" applyNumberFormat="1" applyFont="1" applyBorder="1" applyAlignment="1">
      <alignment horizontal="right" vertical="center"/>
    </xf>
    <xf numFmtId="0" fontId="4" fillId="0" borderId="125" xfId="0" applyFont="1" applyBorder="1" applyAlignment="1">
      <alignment horizontal="center" vertical="center" wrapText="1"/>
    </xf>
    <xf numFmtId="164" fontId="4" fillId="111" borderId="0" xfId="2" applyNumberFormat="1" applyFont="1" applyFill="1" applyAlignment="1">
      <alignment horizontal="right" vertical="center"/>
    </xf>
    <xf numFmtId="9" fontId="4" fillId="2" borderId="125" xfId="3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2" borderId="125" xfId="3" applyNumberFormat="1" applyFont="1" applyFill="1" applyBorder="1" applyAlignment="1">
      <alignment horizontal="right" vertical="center"/>
    </xf>
    <xf numFmtId="166" fontId="4" fillId="0" borderId="125" xfId="3" applyNumberFormat="1" applyFont="1" applyBorder="1" applyAlignment="1">
      <alignment horizontal="right" vertical="center"/>
    </xf>
    <xf numFmtId="166" fontId="4" fillId="2" borderId="125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4" fillId="2" borderId="125" xfId="2" applyNumberFormat="1" applyFont="1" applyFill="1" applyBorder="1" applyAlignment="1">
      <alignment horizontal="right" vertical="center"/>
    </xf>
    <xf numFmtId="10" fontId="4" fillId="2" borderId="125" xfId="4" applyNumberFormat="1" applyFont="1" applyFill="1" applyBorder="1" applyAlignment="1" applyProtection="1">
      <alignment horizontal="right" vertical="center"/>
      <protection locked="0"/>
    </xf>
    <xf numFmtId="10" fontId="4" fillId="111" borderId="1" xfId="3" applyNumberFormat="1" applyFont="1" applyFill="1" applyBorder="1" applyAlignment="1">
      <alignment vertical="center"/>
    </xf>
    <xf numFmtId="164" fontId="4" fillId="111" borderId="0" xfId="2" applyNumberFormat="1" applyFont="1" applyFill="1" applyAlignment="1">
      <alignment vertical="center"/>
    </xf>
    <xf numFmtId="165" fontId="4" fillId="111" borderId="0" xfId="1" applyNumberFormat="1" applyFont="1" applyFill="1" applyAlignment="1">
      <alignment vertical="center"/>
    </xf>
    <xf numFmtId="10" fontId="4" fillId="111" borderId="0" xfId="3" applyNumberFormat="1" applyFont="1" applyFill="1" applyAlignment="1">
      <alignment horizontal="right" vertical="center"/>
    </xf>
    <xf numFmtId="10" fontId="4" fillId="111" borderId="125" xfId="3" applyNumberFormat="1" applyFont="1" applyFill="1" applyBorder="1" applyAlignment="1">
      <alignment horizontal="right" vertical="center"/>
    </xf>
    <xf numFmtId="10" fontId="4" fillId="111" borderId="0" xfId="0" applyNumberFormat="1" applyFont="1" applyFill="1" applyAlignment="1">
      <alignment horizontal="right" vertical="center"/>
    </xf>
    <xf numFmtId="10" fontId="4" fillId="111" borderId="0" xfId="0" applyNumberFormat="1" applyFont="1" applyFill="1" applyAlignment="1">
      <alignment vertical="center"/>
    </xf>
    <xf numFmtId="164" fontId="4" fillId="111" borderId="0" xfId="2" applyNumberFormat="1" applyFont="1" applyFill="1" applyAlignment="1">
      <alignment horizontal="center" vertical="center"/>
    </xf>
    <xf numFmtId="165" fontId="4" fillId="111" borderId="0" xfId="2408" applyNumberFormat="1" applyFont="1" applyFill="1" applyBorder="1" applyAlignment="1" applyProtection="1">
      <alignment horizontal="right" vertical="center"/>
    </xf>
    <xf numFmtId="165" fontId="4" fillId="111" borderId="125" xfId="2408" applyNumberFormat="1" applyFont="1" applyFill="1" applyBorder="1" applyAlignment="1" applyProtection="1">
      <alignment horizontal="right" vertical="center"/>
    </xf>
    <xf numFmtId="165" fontId="25" fillId="0" borderId="0" xfId="1" applyNumberFormat="1" applyFont="1" applyFill="1" applyBorder="1" applyAlignment="1">
      <alignment vertical="center"/>
    </xf>
    <xf numFmtId="164" fontId="4" fillId="0" borderId="91" xfId="2" applyNumberFormat="1" applyFont="1" applyFill="1" applyBorder="1" applyAlignment="1">
      <alignment horizontal="right" vertical="center"/>
    </xf>
    <xf numFmtId="175" fontId="4" fillId="0" borderId="4" xfId="2" applyNumberFormat="1" applyFont="1" applyFill="1" applyBorder="1" applyAlignment="1">
      <alignment horizontal="right"/>
    </xf>
    <xf numFmtId="164" fontId="4" fillId="0" borderId="0" xfId="0" applyNumberFormat="1" applyFont="1" applyAlignment="1">
      <alignment vertical="center"/>
    </xf>
    <xf numFmtId="37" fontId="4" fillId="0" borderId="9" xfId="4" applyNumberFormat="1" applyFont="1" applyBorder="1" applyAlignment="1">
      <alignment horizontal="center"/>
    </xf>
    <xf numFmtId="37" fontId="4" fillId="0" borderId="0" xfId="0" applyNumberFormat="1" applyFont="1"/>
    <xf numFmtId="37" fontId="4" fillId="0" borderId="0" xfId="0" applyNumberFormat="1" applyFont="1" applyAlignment="1">
      <alignment horizontal="center"/>
    </xf>
    <xf numFmtId="164" fontId="4" fillId="0" borderId="0" xfId="2" applyNumberFormat="1" applyFont="1"/>
    <xf numFmtId="165" fontId="4" fillId="0" borderId="0" xfId="1" applyNumberFormat="1" applyFont="1"/>
    <xf numFmtId="165" fontId="4" fillId="0" borderId="125" xfId="1" applyNumberFormat="1" applyFont="1" applyBorder="1"/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 horizontal="left" vertical="top"/>
    </xf>
    <xf numFmtId="37" fontId="158" fillId="0" borderId="0" xfId="0" applyNumberFormat="1" applyFont="1"/>
    <xf numFmtId="43" fontId="158" fillId="0" borderId="0" xfId="1" applyFont="1"/>
    <xf numFmtId="165" fontId="158" fillId="0" borderId="0" xfId="1" applyNumberFormat="1" applyFont="1"/>
    <xf numFmtId="37" fontId="4" fillId="0" borderId="9" xfId="4" applyNumberFormat="1" applyFont="1" applyBorder="1" applyAlignment="1">
      <alignment horizontal="center" vertical="top"/>
    </xf>
    <xf numFmtId="165" fontId="4" fillId="0" borderId="0" xfId="1" applyNumberFormat="1" applyFont="1" applyAlignment="1">
      <alignment vertical="top"/>
    </xf>
    <xf numFmtId="168" fontId="4" fillId="0" borderId="9" xfId="4" applyNumberFormat="1" applyFont="1" applyBorder="1" applyAlignment="1">
      <alignment horizontal="center" wrapText="1"/>
    </xf>
    <xf numFmtId="165" fontId="158" fillId="0" borderId="0" xfId="1" applyNumberFormat="1" applyFont="1" applyAlignment="1">
      <alignment vertical="top"/>
    </xf>
    <xf numFmtId="165" fontId="4" fillId="0" borderId="125" xfId="1" applyNumberFormat="1" applyFont="1" applyBorder="1" applyAlignment="1">
      <alignment vertical="top"/>
    </xf>
    <xf numFmtId="37" fontId="4" fillId="0" borderId="0" xfId="0" applyNumberFormat="1" applyFont="1" applyAlignment="1">
      <alignment wrapText="1"/>
    </xf>
    <xf numFmtId="37" fontId="4" fillId="0" borderId="9" xfId="55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 wrapText="1"/>
    </xf>
    <xf numFmtId="43" fontId="7" fillId="0" borderId="0" xfId="1" applyFont="1" applyAlignment="1">
      <alignment horizontal="right" vertical="center"/>
    </xf>
    <xf numFmtId="37" fontId="7" fillId="0" borderId="0" xfId="0" applyNumberFormat="1" applyFont="1" applyAlignment="1">
      <alignment horizontal="right" vertical="center"/>
    </xf>
    <xf numFmtId="0" fontId="156" fillId="0" borderId="0" xfId="0" applyFont="1" applyAlignment="1">
      <alignment horizontal="center" vertical="center"/>
    </xf>
    <xf numFmtId="0" fontId="2" fillId="0" borderId="0" xfId="57"/>
    <xf numFmtId="0" fontId="161" fillId="0" borderId="0" xfId="57" applyFont="1" applyAlignment="1">
      <alignment horizontal="centerContinuous" vertical="center"/>
    </xf>
    <xf numFmtId="0" fontId="161" fillId="0" borderId="0" xfId="57" applyFont="1" applyAlignment="1">
      <alignment horizontal="centerContinuous" vertical="justify"/>
    </xf>
    <xf numFmtId="0" fontId="27" fillId="0" borderId="0" xfId="57" applyFont="1" applyAlignment="1">
      <alignment horizontal="centerContinuous" vertical="justify"/>
    </xf>
    <xf numFmtId="0" fontId="161" fillId="0" borderId="0" xfId="57" applyFont="1" applyAlignment="1">
      <alignment horizontal="centerContinuous"/>
    </xf>
    <xf numFmtId="0" fontId="5" fillId="0" borderId="0" xfId="0" quotePrefix="1" applyFont="1" applyAlignment="1">
      <alignment horizontal="center"/>
    </xf>
    <xf numFmtId="0" fontId="13" fillId="0" borderId="0" xfId="0" applyFont="1"/>
    <xf numFmtId="0" fontId="25" fillId="0" borderId="0" xfId="57" applyFont="1"/>
    <xf numFmtId="0" fontId="114" fillId="0" borderId="0" xfId="57" quotePrefix="1" applyFont="1" applyAlignment="1">
      <alignment horizontal="center"/>
    </xf>
    <xf numFmtId="0" fontId="114" fillId="0" borderId="0" xfId="57" applyFont="1"/>
    <xf numFmtId="0" fontId="4" fillId="0" borderId="125" xfId="0" applyFont="1" applyBorder="1" applyAlignment="1">
      <alignment horizontal="center"/>
    </xf>
    <xf numFmtId="0" fontId="114" fillId="0" borderId="0" xfId="57" applyFont="1" applyAlignment="1">
      <alignment horizontal="center"/>
    </xf>
    <xf numFmtId="0" fontId="27" fillId="0" borderId="0" xfId="57" applyFont="1" applyAlignment="1">
      <alignment horizontal="center"/>
    </xf>
    <xf numFmtId="0" fontId="25" fillId="0" borderId="0" xfId="57" applyFont="1" applyAlignment="1">
      <alignment horizontal="center"/>
    </xf>
    <xf numFmtId="0" fontId="25" fillId="0" borderId="0" xfId="57" applyFont="1" applyAlignment="1">
      <alignment wrapText="1"/>
    </xf>
    <xf numFmtId="0" fontId="7" fillId="0" borderId="0" xfId="57" applyFont="1" applyAlignment="1">
      <alignment horizontal="center"/>
    </xf>
    <xf numFmtId="164" fontId="25" fillId="0" borderId="0" xfId="9" applyNumberFormat="1" applyFont="1"/>
    <xf numFmtId="165" fontId="25" fillId="0" borderId="125" xfId="1497" applyNumberFormat="1" applyFont="1" applyBorder="1"/>
    <xf numFmtId="165" fontId="25" fillId="0" borderId="0" xfId="1497" applyNumberFormat="1" applyFont="1"/>
    <xf numFmtId="165" fontId="25" fillId="0" borderId="0" xfId="1497" applyNumberFormat="1" applyFont="1" applyBorder="1"/>
    <xf numFmtId="0" fontId="27" fillId="0" borderId="0" xfId="57" applyFont="1" applyAlignment="1">
      <alignment horizontal="left"/>
    </xf>
    <xf numFmtId="164" fontId="27" fillId="0" borderId="0" xfId="2" applyNumberFormat="1" applyFont="1" applyBorder="1"/>
    <xf numFmtId="165" fontId="25" fillId="0" borderId="0" xfId="1" applyNumberFormat="1" applyFont="1"/>
    <xf numFmtId="165" fontId="25" fillId="0" borderId="125" xfId="1" applyNumberFormat="1" applyFont="1" applyBorder="1"/>
    <xf numFmtId="175" fontId="27" fillId="0" borderId="1" xfId="2" applyNumberFormat="1" applyFont="1" applyBorder="1"/>
    <xf numFmtId="0" fontId="25" fillId="0" borderId="0" xfId="57" applyFont="1" applyAlignment="1">
      <alignment horizontal="left"/>
    </xf>
    <xf numFmtId="43" fontId="25" fillId="0" borderId="0" xfId="57" applyNumberFormat="1" applyFont="1"/>
    <xf numFmtId="0" fontId="163" fillId="0" borderId="0" xfId="57" applyFont="1" applyAlignment="1">
      <alignment horizontal="center"/>
    </xf>
    <xf numFmtId="0" fontId="4" fillId="0" borderId="0" xfId="57" applyFont="1"/>
    <xf numFmtId="0" fontId="4" fillId="0" borderId="0" xfId="6107" applyFont="1" applyAlignment="1">
      <alignment horizontal="center" vertical="center"/>
    </xf>
    <xf numFmtId="0" fontId="164" fillId="0" borderId="11" xfId="0" applyFont="1" applyBorder="1" applyAlignment="1">
      <alignment horizontal="center"/>
    </xf>
    <xf numFmtId="0" fontId="0" fillId="0" borderId="11" xfId="0" applyBorder="1"/>
    <xf numFmtId="0" fontId="4" fillId="0" borderId="10" xfId="4" applyFont="1" applyBorder="1" applyAlignment="1">
      <alignment horizontal="center"/>
    </xf>
    <xf numFmtId="0" fontId="5" fillId="0" borderId="122" xfId="4" applyFont="1" applyBorder="1" applyAlignment="1">
      <alignment horizontal="center"/>
    </xf>
    <xf numFmtId="0" fontId="5" fillId="0" borderId="0" xfId="4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wrapText="1"/>
    </xf>
    <xf numFmtId="0" fontId="165" fillId="0" borderId="0" xfId="0" applyFont="1" applyAlignment="1">
      <alignment horizontal="center"/>
    </xf>
    <xf numFmtId="0" fontId="5" fillId="0" borderId="117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5" fillId="0" borderId="125" xfId="4" applyFont="1" applyBorder="1" applyAlignment="1">
      <alignment horizontal="center"/>
    </xf>
    <xf numFmtId="0" fontId="165" fillId="0" borderId="125" xfId="0" applyFont="1" applyBorder="1" applyAlignment="1">
      <alignment horizontal="center"/>
    </xf>
    <xf numFmtId="0" fontId="5" fillId="0" borderId="2" xfId="4" applyFont="1" applyBorder="1"/>
    <xf numFmtId="10" fontId="5" fillId="0" borderId="0" xfId="61" applyNumberFormat="1" applyFont="1" applyBorder="1" applyAlignment="1">
      <alignment horizontal="center"/>
    </xf>
    <xf numFmtId="10" fontId="5" fillId="0" borderId="0" xfId="61" applyNumberFormat="1" applyFont="1" applyFill="1" applyBorder="1" applyAlignment="1">
      <alignment horizontal="center"/>
    </xf>
    <xf numFmtId="164" fontId="4" fillId="0" borderId="0" xfId="48" applyNumberFormat="1" applyFont="1" applyFill="1" applyBorder="1" applyAlignment="1">
      <alignment horizontal="right" vertical="center"/>
    </xf>
    <xf numFmtId="164" fontId="4" fillId="0" borderId="0" xfId="4" applyNumberFormat="1" applyFont="1" applyAlignment="1">
      <alignment horizontal="right" vertical="center"/>
    </xf>
    <xf numFmtId="0" fontId="16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43" fontId="5" fillId="0" borderId="0" xfId="4" applyNumberFormat="1" applyFont="1" applyAlignment="1">
      <alignment horizontal="center"/>
    </xf>
    <xf numFmtId="0" fontId="5" fillId="0" borderId="0" xfId="4" applyFont="1" applyAlignment="1">
      <alignment horizontal="left" indent="2"/>
    </xf>
    <xf numFmtId="164" fontId="5" fillId="0" borderId="0" xfId="2" applyNumberFormat="1" applyFont="1" applyFill="1" applyBorder="1" applyAlignment="1">
      <alignment horizontal="right" vertical="center"/>
    </xf>
    <xf numFmtId="41" fontId="5" fillId="0" borderId="0" xfId="21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vertical="center"/>
    </xf>
    <xf numFmtId="175" fontId="5" fillId="0" borderId="0" xfId="4" applyNumberFormat="1" applyFont="1" applyAlignment="1">
      <alignment vertical="center"/>
    </xf>
    <xf numFmtId="175" fontId="4" fillId="0" borderId="0" xfId="4" applyNumberFormat="1" applyFont="1" applyAlignment="1">
      <alignment vertical="center"/>
    </xf>
    <xf numFmtId="164" fontId="5" fillId="0" borderId="1" xfId="48" applyNumberFormat="1" applyFont="1" applyBorder="1" applyAlignment="1">
      <alignment horizontal="right" vertical="center"/>
    </xf>
    <xf numFmtId="164" fontId="4" fillId="0" borderId="1" xfId="48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/>
    </xf>
    <xf numFmtId="0" fontId="5" fillId="0" borderId="11" xfId="4" applyFont="1" applyBorder="1"/>
    <xf numFmtId="0" fontId="5" fillId="0" borderId="126" xfId="4" applyFont="1" applyBorder="1"/>
    <xf numFmtId="44" fontId="5" fillId="0" borderId="11" xfId="4" applyNumberFormat="1" applyFont="1" applyBorder="1"/>
    <xf numFmtId="0" fontId="5" fillId="0" borderId="0" xfId="4" applyFont="1" applyAlignment="1">
      <alignment horizontal="center" wrapText="1"/>
    </xf>
    <xf numFmtId="168" fontId="5" fillId="0" borderId="0" xfId="4" applyNumberFormat="1" applyFont="1" applyAlignment="1">
      <alignment horizontal="center" wrapText="1"/>
    </xf>
    <xf numFmtId="175" fontId="4" fillId="0" borderId="0" xfId="48" applyNumberFormat="1" applyFont="1" applyFill="1" applyBorder="1" applyAlignment="1">
      <alignment horizontal="right"/>
    </xf>
    <xf numFmtId="175" fontId="4" fillId="0" borderId="0" xfId="4" applyNumberFormat="1" applyFont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43" fontId="4" fillId="0" borderId="0" xfId="4" applyNumberFormat="1" applyFont="1" applyAlignment="1">
      <alignment horizontal="center"/>
    </xf>
    <xf numFmtId="167" fontId="4" fillId="0" borderId="125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5" fontId="4" fillId="0" borderId="125" xfId="1" applyNumberFormat="1" applyFont="1" applyFill="1" applyBorder="1" applyAlignment="1">
      <alignment horizontal="right"/>
    </xf>
    <xf numFmtId="175" fontId="5" fillId="0" borderId="0" xfId="2" applyNumberFormat="1" applyFont="1" applyFill="1" applyBorder="1" applyAlignment="1">
      <alignment horizontal="right"/>
    </xf>
    <xf numFmtId="175" fontId="4" fillId="0" borderId="0" xfId="2" applyNumberFormat="1" applyFont="1" applyFill="1" applyBorder="1" applyAlignment="1">
      <alignment horizontal="right"/>
    </xf>
    <xf numFmtId="175" fontId="5" fillId="0" borderId="0" xfId="0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205" fontId="4" fillId="0" borderId="0" xfId="0" applyNumberFormat="1" applyFont="1"/>
    <xf numFmtId="41" fontId="5" fillId="0" borderId="0" xfId="21" applyNumberFormat="1" applyFont="1" applyBorder="1" applyAlignment="1">
      <alignment horizontal="center"/>
    </xf>
    <xf numFmtId="175" fontId="5" fillId="0" borderId="0" xfId="2" applyNumberFormat="1" applyFont="1" applyFill="1" applyBorder="1"/>
    <xf numFmtId="175" fontId="4" fillId="0" borderId="0" xfId="2" applyNumberFormat="1" applyFont="1" applyFill="1" applyBorder="1"/>
    <xf numFmtId="175" fontId="5" fillId="0" borderId="0" xfId="22" applyNumberFormat="1" applyFont="1" applyBorder="1"/>
    <xf numFmtId="175" fontId="5" fillId="0" borderId="0" xfId="22" applyNumberFormat="1" applyFont="1" applyFill="1" applyBorder="1"/>
    <xf numFmtId="41" fontId="5" fillId="0" borderId="0" xfId="21" applyNumberFormat="1" applyFont="1" applyFill="1" applyBorder="1"/>
    <xf numFmtId="165" fontId="4" fillId="0" borderId="0" xfId="2030" applyNumberFormat="1" applyFont="1" applyFill="1" applyBorder="1"/>
    <xf numFmtId="165" fontId="4" fillId="0" borderId="125" xfId="2030" applyNumberFormat="1" applyFont="1" applyFill="1" applyBorder="1"/>
    <xf numFmtId="165" fontId="5" fillId="0" borderId="0" xfId="22" applyNumberFormat="1" applyFont="1" applyFill="1" applyBorder="1"/>
    <xf numFmtId="164" fontId="5" fillId="0" borderId="1" xfId="48" applyNumberFormat="1" applyFont="1" applyBorder="1" applyAlignment="1">
      <alignment horizontal="right"/>
    </xf>
    <xf numFmtId="164" fontId="4" fillId="0" borderId="1" xfId="48" applyNumberFormat="1" applyFont="1" applyBorder="1" applyAlignment="1">
      <alignment horizontal="right"/>
    </xf>
    <xf numFmtId="165" fontId="5" fillId="0" borderId="11" xfId="22" applyNumberFormat="1" applyFont="1" applyBorder="1"/>
    <xf numFmtId="165" fontId="5" fillId="0" borderId="11" xfId="22" applyNumberFormat="1" applyFont="1" applyFill="1" applyBorder="1"/>
    <xf numFmtId="0" fontId="5" fillId="0" borderId="11" xfId="4" applyFont="1" applyBorder="1" applyAlignment="1">
      <alignment horizontal="center"/>
    </xf>
    <xf numFmtId="0" fontId="5" fillId="0" borderId="0" xfId="4" applyFont="1" applyAlignment="1">
      <alignment horizontal="right"/>
    </xf>
    <xf numFmtId="0" fontId="5" fillId="0" borderId="8" xfId="4" applyFont="1" applyBorder="1" applyAlignment="1">
      <alignment horizontal="center"/>
    </xf>
    <xf numFmtId="0" fontId="5" fillId="0" borderId="87" xfId="4" applyFont="1" applyBorder="1" applyAlignment="1">
      <alignment horizontal="center"/>
    </xf>
    <xf numFmtId="0" fontId="5" fillId="0" borderId="127" xfId="4" applyFont="1" applyBorder="1"/>
    <xf numFmtId="10" fontId="5" fillId="0" borderId="91" xfId="61" applyNumberFormat="1" applyFont="1" applyBorder="1" applyAlignment="1">
      <alignment horizontal="center"/>
    </xf>
    <xf numFmtId="165" fontId="5" fillId="2" borderId="91" xfId="1" applyNumberFormat="1" applyFont="1" applyFill="1" applyBorder="1" applyAlignment="1">
      <alignment horizontal="right" vertical="center"/>
    </xf>
    <xf numFmtId="164" fontId="5" fillId="0" borderId="91" xfId="2" applyNumberFormat="1" applyFont="1" applyFill="1" applyBorder="1" applyAlignment="1">
      <alignment horizontal="right" vertical="center"/>
    </xf>
    <xf numFmtId="175" fontId="5" fillId="0" borderId="91" xfId="4" applyNumberFormat="1" applyFont="1" applyBorder="1" applyAlignment="1">
      <alignment vertical="center"/>
    </xf>
    <xf numFmtId="0" fontId="5" fillId="0" borderId="121" xfId="4" applyFont="1" applyBorder="1"/>
    <xf numFmtId="0" fontId="5" fillId="0" borderId="51" xfId="4" applyFont="1" applyBorder="1"/>
    <xf numFmtId="175" fontId="4" fillId="0" borderId="91" xfId="48" applyNumberFormat="1" applyFont="1" applyFill="1" applyBorder="1" applyAlignment="1">
      <alignment horizontal="right"/>
    </xf>
    <xf numFmtId="175" fontId="4" fillId="0" borderId="91" xfId="4" applyNumberFormat="1" applyFont="1" applyBorder="1" applyAlignment="1">
      <alignment horizontal="right"/>
    </xf>
    <xf numFmtId="167" fontId="5" fillId="0" borderId="91" xfId="1" applyNumberFormat="1" applyFont="1" applyFill="1" applyBorder="1" applyAlignment="1">
      <alignment horizontal="right"/>
    </xf>
    <xf numFmtId="165" fontId="4" fillId="0" borderId="91" xfId="1" applyNumberFormat="1" applyFont="1" applyBorder="1" applyAlignment="1">
      <alignment horizontal="right"/>
    </xf>
    <xf numFmtId="165" fontId="4" fillId="0" borderId="91" xfId="1" applyNumberFormat="1" applyFont="1" applyFill="1" applyBorder="1" applyAlignment="1">
      <alignment horizontal="right"/>
    </xf>
    <xf numFmtId="175" fontId="5" fillId="0" borderId="91" xfId="2" applyNumberFormat="1" applyFont="1" applyFill="1" applyBorder="1" applyAlignment="1">
      <alignment horizontal="right"/>
    </xf>
    <xf numFmtId="167" fontId="4" fillId="0" borderId="91" xfId="1" applyNumberFormat="1" applyFont="1" applyFill="1" applyBorder="1" applyAlignment="1">
      <alignment horizontal="right"/>
    </xf>
    <xf numFmtId="175" fontId="5" fillId="0" borderId="91" xfId="22" applyNumberFormat="1" applyFont="1" applyBorder="1"/>
    <xf numFmtId="165" fontId="4" fillId="3" borderId="87" xfId="2030" applyNumberFormat="1" applyFont="1" applyFill="1" applyBorder="1"/>
    <xf numFmtId="164" fontId="5" fillId="0" borderId="50" xfId="48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128" xfId="2012" applyFont="1" applyBorder="1" applyAlignment="1">
      <alignment horizontal="center"/>
    </xf>
    <xf numFmtId="10" fontId="5" fillId="2" borderId="0" xfId="2012" applyNumberFormat="1" applyFont="1" applyFill="1" applyAlignment="1">
      <alignment horizontal="right" vertical="center"/>
    </xf>
    <xf numFmtId="177" fontId="4" fillId="0" borderId="2" xfId="2012" applyNumberFormat="1" applyFont="1" applyBorder="1" applyAlignment="1" applyProtection="1">
      <alignment horizontal="right" vertical="center"/>
      <protection locked="0"/>
    </xf>
    <xf numFmtId="10" fontId="5" fillId="0" borderId="0" xfId="2012" applyNumberFormat="1" applyFont="1" applyAlignment="1">
      <alignment horizontal="right" vertical="center"/>
    </xf>
    <xf numFmtId="10" fontId="4" fillId="0" borderId="125" xfId="3" quotePrefix="1" applyNumberFormat="1" applyFont="1" applyBorder="1" applyAlignment="1">
      <alignment horizontal="right" vertical="center"/>
    </xf>
    <xf numFmtId="177" fontId="5" fillId="0" borderId="2" xfId="2012" quotePrefix="1" applyNumberFormat="1" applyFont="1" applyBorder="1" applyAlignment="1">
      <alignment horizontal="right" vertical="center"/>
    </xf>
    <xf numFmtId="10" fontId="5" fillId="0" borderId="1" xfId="2012" quotePrefix="1" applyNumberFormat="1" applyFont="1" applyBorder="1" applyAlignment="1">
      <alignment horizontal="right" vertical="center"/>
    </xf>
    <xf numFmtId="10" fontId="12" fillId="0" borderId="2" xfId="2012" applyNumberFormat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64" fontId="5" fillId="2" borderId="125" xfId="21" applyNumberFormat="1" applyFont="1" applyFill="1" applyBorder="1" applyAlignment="1" applyProtection="1">
      <alignment vertical="center"/>
      <protection locked="0"/>
    </xf>
    <xf numFmtId="10" fontId="5" fillId="0" borderId="0" xfId="1043" applyNumberFormat="1" applyFont="1" applyBorder="1" applyAlignment="1">
      <alignment horizontal="right" vertical="center"/>
    </xf>
    <xf numFmtId="164" fontId="5" fillId="2" borderId="125" xfId="2012" applyNumberFormat="1" applyFont="1" applyFill="1" applyBorder="1" applyAlignment="1" applyProtection="1">
      <alignment horizontal="right" vertical="center"/>
      <protection locked="0"/>
    </xf>
    <xf numFmtId="164" fontId="4" fillId="2" borderId="125" xfId="2012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55" xfId="2012" applyNumberFormat="1" applyFont="1" applyBorder="1" applyAlignment="1" applyProtection="1">
      <alignment horizontal="right" vertical="center"/>
      <protection locked="0"/>
    </xf>
    <xf numFmtId="164" fontId="5" fillId="0" borderId="54" xfId="2012" applyNumberFormat="1" applyFont="1" applyBorder="1" applyAlignment="1" applyProtection="1">
      <alignment horizontal="right" vertical="center"/>
      <protection locked="0"/>
    </xf>
    <xf numFmtId="0" fontId="8" fillId="0" borderId="0" xfId="6107" applyFont="1"/>
    <xf numFmtId="165" fontId="5" fillId="2" borderId="0" xfId="1" applyNumberFormat="1" applyFont="1" applyFill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5" fontId="5" fillId="0" borderId="125" xfId="1" applyNumberFormat="1" applyFont="1" applyFill="1" applyBorder="1" applyAlignment="1">
      <alignment vertical="center"/>
    </xf>
    <xf numFmtId="165" fontId="5" fillId="0" borderId="125" xfId="1" applyNumberFormat="1" applyFont="1" applyBorder="1" applyAlignment="1">
      <alignment horizontal="center" vertical="center"/>
    </xf>
    <xf numFmtId="165" fontId="5" fillId="0" borderId="125" xfId="1" applyNumberFormat="1" applyFont="1" applyFill="1" applyBorder="1" applyAlignment="1">
      <alignment horizontal="right" vertical="center"/>
    </xf>
    <xf numFmtId="164" fontId="5" fillId="0" borderId="124" xfId="2" applyNumberFormat="1" applyFont="1" applyFill="1" applyBorder="1" applyAlignment="1">
      <alignment vertical="center"/>
    </xf>
    <xf numFmtId="164" fontId="5" fillId="0" borderId="1" xfId="21" applyNumberFormat="1" applyFont="1" applyBorder="1" applyAlignment="1" applyProtection="1">
      <alignment horizontal="right" vertical="center"/>
      <protection locked="0"/>
    </xf>
    <xf numFmtId="15" fontId="4" fillId="0" borderId="125" xfId="0" applyNumberFormat="1" applyFont="1" applyBorder="1" applyAlignment="1">
      <alignment horizontal="center" vertical="center"/>
    </xf>
    <xf numFmtId="165" fontId="4" fillId="3" borderId="0" xfId="1" applyNumberFormat="1" applyFont="1" applyFill="1" applyBorder="1" applyAlignment="1">
      <alignment vertical="center"/>
    </xf>
    <xf numFmtId="165" fontId="5" fillId="3" borderId="125" xfId="1" applyNumberFormat="1" applyFont="1" applyFill="1" applyBorder="1" applyAlignment="1">
      <alignment vertical="center"/>
    </xf>
    <xf numFmtId="164" fontId="5" fillId="0" borderId="2" xfId="2" applyNumberFormat="1" applyFont="1" applyBorder="1" applyAlignment="1">
      <alignment vertical="center"/>
    </xf>
    <xf numFmtId="165" fontId="5" fillId="3" borderId="125" xfId="1" applyNumberFormat="1" applyFont="1" applyFill="1" applyBorder="1" applyAlignment="1" applyProtection="1">
      <alignment vertical="center"/>
      <protection locked="0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0" fontId="4" fillId="2" borderId="125" xfId="0" applyNumberFormat="1" applyFont="1" applyFill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165" fontId="4" fillId="0" borderId="125" xfId="1" applyNumberFormat="1" applyFont="1" applyFill="1" applyBorder="1" applyAlignment="1" applyProtection="1">
      <alignment vertical="center"/>
      <protection locked="0"/>
    </xf>
    <xf numFmtId="164" fontId="5" fillId="0" borderId="1" xfId="2" applyNumberFormat="1" applyFont="1" applyFill="1" applyBorder="1" applyAlignment="1">
      <alignment horizontal="right" vertical="center"/>
    </xf>
    <xf numFmtId="165" fontId="4" fillId="2" borderId="125" xfId="1" applyNumberFormat="1" applyFont="1" applyFill="1" applyBorder="1" applyAlignment="1" applyProtection="1">
      <alignment horizontal="right" vertical="center"/>
    </xf>
    <xf numFmtId="164" fontId="4" fillId="0" borderId="124" xfId="2" applyNumberFormat="1" applyFont="1" applyBorder="1" applyAlignment="1">
      <alignment horizontal="right" vertical="center"/>
    </xf>
    <xf numFmtId="165" fontId="4" fillId="2" borderId="125" xfId="1" applyNumberFormat="1" applyFont="1" applyFill="1" applyBorder="1" applyAlignment="1">
      <alignment vertical="center"/>
    </xf>
    <xf numFmtId="164" fontId="4" fillId="0" borderId="124" xfId="2" applyNumberFormat="1" applyFont="1" applyBorder="1" applyAlignment="1">
      <alignment vertical="center"/>
    </xf>
    <xf numFmtId="0" fontId="5" fillId="0" borderId="123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4" fillId="0" borderId="4" xfId="1" applyNumberFormat="1" applyFont="1" applyFill="1" applyBorder="1" applyAlignment="1">
      <alignment vertical="center"/>
    </xf>
    <xf numFmtId="165" fontId="5" fillId="0" borderId="4" xfId="1" applyNumberFormat="1" applyFont="1" applyFill="1" applyBorder="1"/>
    <xf numFmtId="165" fontId="5" fillId="0" borderId="91" xfId="1" applyNumberFormat="1" applyFont="1" applyFill="1" applyBorder="1" applyAlignment="1">
      <alignment vertical="center"/>
    </xf>
    <xf numFmtId="165" fontId="4" fillId="0" borderId="87" xfId="1" applyNumberFormat="1" applyFont="1" applyFill="1" applyBorder="1" applyAlignment="1">
      <alignment vertical="center"/>
    </xf>
    <xf numFmtId="165" fontId="4" fillId="0" borderId="88" xfId="1" applyNumberFormat="1" applyFont="1" applyFill="1" applyBorder="1" applyAlignment="1">
      <alignment vertical="center"/>
    </xf>
    <xf numFmtId="0" fontId="166" fillId="0" borderId="129" xfId="0" applyFont="1" applyBorder="1" applyAlignment="1">
      <alignment horizontal="center"/>
    </xf>
    <xf numFmtId="164" fontId="5" fillId="0" borderId="130" xfId="2" applyNumberFormat="1" applyFont="1" applyFill="1" applyBorder="1" applyAlignment="1">
      <alignment vertical="center"/>
    </xf>
    <xf numFmtId="0" fontId="166" fillId="0" borderId="9" xfId="0" applyFont="1" applyBorder="1" applyAlignment="1">
      <alignment horizontal="center"/>
    </xf>
    <xf numFmtId="165" fontId="5" fillId="0" borderId="0" xfId="1" applyNumberFormat="1" applyFont="1" applyFill="1" applyBorder="1"/>
    <xf numFmtId="164" fontId="5" fillId="0" borderId="1" xfId="2" applyNumberFormat="1" applyFont="1" applyFill="1" applyBorder="1" applyAlignment="1">
      <alignment vertical="center"/>
    </xf>
    <xf numFmtId="37" fontId="5" fillId="0" borderId="0" xfId="12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7" fontId="5" fillId="0" borderId="11" xfId="1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/>
    </xf>
    <xf numFmtId="37" fontId="4" fillId="0" borderId="0" xfId="12" applyNumberFormat="1" applyFont="1" applyAlignment="1">
      <alignment horizontal="center" vertical="center"/>
    </xf>
    <xf numFmtId="37" fontId="4" fillId="0" borderId="8" xfId="12" applyNumberFormat="1" applyFont="1" applyBorder="1" applyAlignment="1">
      <alignment horizontal="center" vertical="center"/>
    </xf>
    <xf numFmtId="165" fontId="167" fillId="0" borderId="4" xfId="1" applyNumberFormat="1" applyFont="1" applyFill="1" applyBorder="1" applyAlignment="1">
      <alignment vertical="center"/>
    </xf>
    <xf numFmtId="165" fontId="10" fillId="0" borderId="4" xfId="1" applyNumberFormat="1" applyFont="1" applyFill="1" applyBorder="1" applyAlignment="1">
      <alignment vertical="center"/>
    </xf>
    <xf numFmtId="168" fontId="5" fillId="0" borderId="11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4" fontId="5" fillId="2" borderId="0" xfId="2" applyNumberFormat="1" applyFont="1" applyFill="1" applyAlignment="1">
      <alignment horizontal="right" vertical="center"/>
    </xf>
    <xf numFmtId="5" fontId="5" fillId="0" borderId="0" xfId="0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right" vertical="center"/>
    </xf>
    <xf numFmtId="15" fontId="4" fillId="0" borderId="125" xfId="4" applyNumberFormat="1" applyFont="1" applyBorder="1" applyAlignment="1">
      <alignment horizontal="center" vertical="center"/>
    </xf>
    <xf numFmtId="0" fontId="4" fillId="0" borderId="125" xfId="4" applyFont="1" applyBorder="1" applyAlignment="1">
      <alignment horizontal="center" vertical="center"/>
    </xf>
    <xf numFmtId="164" fontId="4" fillId="3" borderId="125" xfId="21" applyNumberFormat="1" applyFont="1" applyFill="1" applyBorder="1" applyAlignment="1" applyProtection="1">
      <alignment horizontal="center" vertical="center"/>
      <protection locked="0"/>
    </xf>
    <xf numFmtId="164" fontId="5" fillId="2" borderId="0" xfId="21" applyNumberFormat="1" applyFont="1" applyFill="1" applyAlignment="1" applyProtection="1">
      <alignment vertical="center"/>
      <protection locked="0"/>
    </xf>
    <xf numFmtId="165" fontId="5" fillId="2" borderId="0" xfId="2408" applyNumberFormat="1" applyFont="1" applyFill="1" applyBorder="1" applyAlignment="1" applyProtection="1">
      <alignment horizontal="right" vertical="center"/>
      <protection locked="0"/>
    </xf>
    <xf numFmtId="165" fontId="4" fillId="2" borderId="125" xfId="1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Alignment="1">
      <alignment horizontal="right" vertical="center"/>
    </xf>
    <xf numFmtId="10" fontId="4" fillId="3" borderId="125" xfId="3853" applyNumberFormat="1" applyFont="1" applyFill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164" fontId="4" fillId="0" borderId="131" xfId="2" applyNumberFormat="1" applyFont="1" applyBorder="1" applyAlignment="1" applyProtection="1">
      <alignment vertical="center"/>
      <protection locked="0"/>
    </xf>
    <xf numFmtId="164" fontId="4" fillId="3" borderId="125" xfId="2" applyNumberFormat="1" applyFont="1" applyFill="1" applyBorder="1" applyAlignment="1" applyProtection="1">
      <alignment vertical="center"/>
      <protection locked="0"/>
    </xf>
    <xf numFmtId="164" fontId="4" fillId="0" borderId="124" xfId="2" applyNumberFormat="1" applyFont="1" applyBorder="1" applyAlignment="1" applyProtection="1">
      <alignment vertical="center"/>
    </xf>
    <xf numFmtId="10" fontId="4" fillId="0" borderId="125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9" fontId="4" fillId="3" borderId="125" xfId="3" applyFont="1" applyFill="1" applyBorder="1" applyAlignment="1">
      <alignment horizontal="right" vertical="center"/>
    </xf>
    <xf numFmtId="164" fontId="5" fillId="0" borderId="0" xfId="2" applyNumberFormat="1" applyFont="1" applyFill="1" applyAlignment="1">
      <alignment horizontal="right" vertical="center"/>
    </xf>
    <xf numFmtId="0" fontId="4" fillId="3" borderId="125" xfId="3" applyNumberFormat="1" applyFont="1" applyFill="1" applyBorder="1" applyAlignment="1">
      <alignment horizontal="right" vertical="center"/>
    </xf>
    <xf numFmtId="166" fontId="4" fillId="2" borderId="125" xfId="3" applyNumberFormat="1" applyFont="1" applyFill="1" applyBorder="1" applyAlignment="1">
      <alignment horizontal="right" vertical="center"/>
    </xf>
    <xf numFmtId="5" fontId="4" fillId="0" borderId="125" xfId="4" applyNumberFormat="1" applyFont="1" applyBorder="1" applyAlignment="1">
      <alignment horizontal="center"/>
    </xf>
    <xf numFmtId="0" fontId="4" fillId="0" borderId="125" xfId="4" applyFont="1" applyBorder="1" applyAlignment="1">
      <alignment horizontal="center"/>
    </xf>
    <xf numFmtId="165" fontId="4" fillId="2" borderId="125" xfId="2408" applyNumberFormat="1" applyFont="1" applyFill="1" applyBorder="1" applyAlignment="1" applyProtection="1">
      <alignment horizontal="right" vertical="center"/>
      <protection locked="0"/>
    </xf>
    <xf numFmtId="164" fontId="4" fillId="0" borderId="131" xfId="21" applyNumberFormat="1" applyFont="1" applyFill="1" applyBorder="1" applyAlignment="1" applyProtection="1">
      <alignment horizontal="right" vertical="center"/>
    </xf>
    <xf numFmtId="164" fontId="4" fillId="0" borderId="131" xfId="21" applyNumberFormat="1" applyFont="1" applyFill="1" applyBorder="1" applyAlignment="1" applyProtection="1">
      <alignment horizontal="center" vertical="center"/>
    </xf>
    <xf numFmtId="165" fontId="5" fillId="2" borderId="125" xfId="2408" applyNumberFormat="1" applyFont="1" applyFill="1" applyBorder="1" applyAlignment="1" applyProtection="1">
      <alignment horizontal="right" vertical="center"/>
      <protection locked="0"/>
    </xf>
    <xf numFmtId="164" fontId="5" fillId="0" borderId="131" xfId="21" applyNumberFormat="1" applyFont="1" applyFill="1" applyBorder="1" applyAlignment="1" applyProtection="1">
      <alignment horizontal="right" vertical="center"/>
    </xf>
    <xf numFmtId="165" fontId="5" fillId="2" borderId="125" xfId="2408" applyNumberFormat="1" applyFont="1" applyFill="1" applyBorder="1" applyAlignment="1" applyProtection="1">
      <alignment horizontal="center" vertical="center"/>
    </xf>
    <xf numFmtId="164" fontId="5" fillId="0" borderId="1" xfId="21" applyNumberFormat="1" applyFont="1" applyFill="1" applyBorder="1" applyAlignment="1" applyProtection="1">
      <alignment horizontal="right" vertical="center"/>
    </xf>
    <xf numFmtId="165" fontId="4" fillId="2" borderId="125" xfId="2408" applyNumberFormat="1" applyFont="1" applyFill="1" applyBorder="1" applyAlignment="1" applyProtection="1">
      <alignment horizontal="right" vertical="center"/>
    </xf>
    <xf numFmtId="165" fontId="4" fillId="0" borderId="125" xfId="2408" applyNumberFormat="1" applyFont="1" applyFill="1" applyBorder="1" applyAlignment="1" applyProtection="1">
      <alignment horizontal="right" vertical="center"/>
    </xf>
    <xf numFmtId="164" fontId="4" fillId="0" borderId="124" xfId="21" applyNumberFormat="1" applyFont="1" applyFill="1" applyBorder="1" applyAlignment="1" applyProtection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5" fillId="0" borderId="125" xfId="55" applyFont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0" fontId="4" fillId="0" borderId="0" xfId="55" applyFont="1" applyAlignment="1">
      <alignment horizontal="left" vertical="center"/>
    </xf>
    <xf numFmtId="10" fontId="4" fillId="3" borderId="0" xfId="3" applyNumberFormat="1" applyFont="1" applyFill="1" applyBorder="1"/>
    <xf numFmtId="0" fontId="4" fillId="0" borderId="125" xfId="55" applyFont="1" applyBorder="1" applyAlignment="1">
      <alignment horizontal="left" vertical="center"/>
    </xf>
    <xf numFmtId="10" fontId="4" fillId="3" borderId="125" xfId="3" applyNumberFormat="1" applyFont="1" applyFill="1" applyBorder="1"/>
    <xf numFmtId="164" fontId="25" fillId="0" borderId="1" xfId="2" applyNumberFormat="1" applyFont="1" applyFill="1" applyBorder="1" applyAlignment="1">
      <alignment vertical="center"/>
    </xf>
    <xf numFmtId="203" fontId="25" fillId="0" borderId="0" xfId="2" applyNumberFormat="1" applyFont="1" applyBorder="1" applyAlignment="1">
      <alignment vertical="center"/>
    </xf>
    <xf numFmtId="203" fontId="25" fillId="0" borderId="0" xfId="2" applyNumberFormat="1" applyFont="1" applyAlignment="1">
      <alignment vertical="center"/>
    </xf>
    <xf numFmtId="203" fontId="4" fillId="0" borderId="0" xfId="2" applyNumberFormat="1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164" fontId="5" fillId="2" borderId="113" xfId="2012" applyNumberFormat="1" applyFont="1" applyFill="1" applyBorder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>
      <alignment horizontal="right" vertical="center"/>
    </xf>
    <xf numFmtId="44" fontId="25" fillId="0" borderId="0" xfId="2" applyFont="1" applyFill="1" applyBorder="1" applyAlignment="1">
      <alignment vertical="center"/>
    </xf>
    <xf numFmtId="43" fontId="25" fillId="0" borderId="0" xfId="1" applyFont="1" applyFill="1" applyBorder="1" applyAlignment="1">
      <alignment vertical="center"/>
    </xf>
    <xf numFmtId="43" fontId="25" fillId="0" borderId="125" xfId="1" applyFont="1" applyFill="1" applyBorder="1" applyAlignment="1">
      <alignment vertical="center"/>
    </xf>
    <xf numFmtId="43" fontId="25" fillId="0" borderId="0" xfId="1" applyFont="1" applyBorder="1" applyAlignment="1">
      <alignment horizontal="center" vertical="center"/>
    </xf>
    <xf numFmtId="43" fontId="25" fillId="0" borderId="125" xfId="1" applyFont="1" applyBorder="1" applyAlignment="1">
      <alignment horizontal="center" vertical="center"/>
    </xf>
    <xf numFmtId="44" fontId="25" fillId="0" borderId="0" xfId="2" applyFont="1" applyAlignment="1">
      <alignment horizontal="right" vertical="center"/>
    </xf>
    <xf numFmtId="43" fontId="25" fillId="0" borderId="0" xfId="1" applyFont="1" applyAlignment="1">
      <alignment horizontal="right" vertical="center"/>
    </xf>
    <xf numFmtId="43" fontId="25" fillId="0" borderId="125" xfId="1" applyFont="1" applyBorder="1" applyAlignment="1">
      <alignment horizontal="right" vertical="center"/>
    </xf>
    <xf numFmtId="43" fontId="25" fillId="0" borderId="0" xfId="1" applyFont="1" applyBorder="1" applyAlignment="1">
      <alignment horizontal="right" vertical="center"/>
    </xf>
    <xf numFmtId="0" fontId="166" fillId="0" borderId="0" xfId="0" applyFont="1" applyAlignment="1">
      <alignment horizontal="right"/>
    </xf>
    <xf numFmtId="166" fontId="5" fillId="0" borderId="0" xfId="3" applyNumberFormat="1" applyFont="1" applyAlignment="1">
      <alignment horizontal="right" vertical="center"/>
    </xf>
    <xf numFmtId="166" fontId="5" fillId="0" borderId="0" xfId="3" applyNumberFormat="1" applyFont="1" applyFill="1" applyAlignment="1">
      <alignment horizontal="right" vertical="center"/>
    </xf>
    <xf numFmtId="166" fontId="5" fillId="0" borderId="125" xfId="3" applyNumberFormat="1" applyFont="1" applyBorder="1" applyAlignment="1">
      <alignment horizontal="right" vertical="center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center"/>
    </xf>
    <xf numFmtId="164" fontId="4" fillId="0" borderId="91" xfId="48" applyNumberFormat="1" applyFont="1" applyFill="1" applyBorder="1" applyAlignment="1">
      <alignment horizontal="right" vertical="center"/>
    </xf>
    <xf numFmtId="165" fontId="5" fillId="0" borderId="91" xfId="1" applyNumberFormat="1" applyFont="1" applyFill="1" applyBorder="1" applyAlignment="1">
      <alignment horizontal="right" vertical="center"/>
    </xf>
    <xf numFmtId="165" fontId="4" fillId="0" borderId="87" xfId="1" applyNumberFormat="1" applyFont="1" applyFill="1" applyBorder="1" applyAlignment="1">
      <alignment horizontal="right" vertical="center"/>
    </xf>
    <xf numFmtId="165" fontId="4" fillId="0" borderId="87" xfId="2030" applyNumberFormat="1" applyFont="1" applyFill="1" applyBorder="1"/>
    <xf numFmtId="10" fontId="4" fillId="3" borderId="132" xfId="3" applyNumberFormat="1" applyFont="1" applyFill="1" applyBorder="1"/>
    <xf numFmtId="0" fontId="5" fillId="0" borderId="8" xfId="0" quotePrefix="1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37" fontId="7" fillId="0" borderId="91" xfId="12" applyNumberFormat="1" applyFont="1" applyBorder="1" applyAlignment="1">
      <alignment horizontal="left" vertical="center"/>
    </xf>
    <xf numFmtId="37" fontId="4" fillId="0" borderId="123" xfId="12" applyNumberFormat="1" applyFont="1" applyBorder="1" applyAlignment="1">
      <alignment horizontal="center" vertical="center"/>
    </xf>
    <xf numFmtId="37" fontId="4" fillId="0" borderId="116" xfId="12" applyNumberFormat="1" applyFont="1" applyBorder="1" applyAlignment="1">
      <alignment horizontal="center" vertical="center"/>
    </xf>
    <xf numFmtId="165" fontId="10" fillId="0" borderId="0" xfId="1" applyNumberFormat="1" applyFont="1" applyFill="1" applyBorder="1" applyAlignment="1">
      <alignment vertical="center"/>
    </xf>
    <xf numFmtId="165" fontId="4" fillId="0" borderId="132" xfId="1" applyNumberFormat="1" applyFont="1" applyFill="1" applyBorder="1" applyAlignment="1">
      <alignment vertical="center"/>
    </xf>
    <xf numFmtId="165" fontId="4" fillId="0" borderId="101" xfId="1" applyNumberFormat="1" applyFont="1" applyFill="1" applyBorder="1" applyAlignment="1">
      <alignment vertical="center"/>
    </xf>
    <xf numFmtId="37" fontId="4" fillId="0" borderId="4" xfId="0" applyNumberFormat="1" applyFont="1" applyBorder="1" applyAlignment="1">
      <alignment vertical="center"/>
    </xf>
    <xf numFmtId="164" fontId="5" fillId="0" borderId="133" xfId="2" applyNumberFormat="1" applyFont="1" applyFill="1" applyBorder="1" applyAlignment="1">
      <alignment vertical="center"/>
    </xf>
    <xf numFmtId="0" fontId="166" fillId="0" borderId="101" xfId="0" applyFont="1" applyBorder="1" applyAlignment="1">
      <alignment horizontal="center"/>
    </xf>
    <xf numFmtId="164" fontId="5" fillId="0" borderId="104" xfId="2" applyNumberFormat="1" applyFont="1" applyFill="1" applyBorder="1" applyAlignment="1">
      <alignment vertical="center"/>
    </xf>
    <xf numFmtId="0" fontId="5" fillId="0" borderId="126" xfId="0" applyFont="1" applyBorder="1" applyAlignment="1">
      <alignment horizontal="center" vertical="center"/>
    </xf>
    <xf numFmtId="37" fontId="4" fillId="0" borderId="122" xfId="0" applyNumberFormat="1" applyFont="1" applyBorder="1" applyAlignment="1">
      <alignment vertical="center"/>
    </xf>
    <xf numFmtId="37" fontId="4" fillId="0" borderId="116" xfId="0" applyNumberFormat="1" applyFont="1" applyBorder="1" applyAlignment="1">
      <alignment vertical="center"/>
    </xf>
    <xf numFmtId="37" fontId="4" fillId="0" borderId="116" xfId="1" applyNumberFormat="1" applyFont="1" applyBorder="1" applyAlignment="1">
      <alignment vertical="center"/>
    </xf>
    <xf numFmtId="37" fontId="4" fillId="0" borderId="116" xfId="1" applyNumberFormat="1" applyFont="1" applyFill="1" applyBorder="1" applyAlignment="1">
      <alignment vertical="center"/>
    </xf>
    <xf numFmtId="37" fontId="4" fillId="0" borderId="117" xfId="0" applyNumberFormat="1" applyFont="1" applyBorder="1" applyAlignment="1">
      <alignment vertical="center"/>
    </xf>
    <xf numFmtId="165" fontId="4" fillId="0" borderId="132" xfId="1" applyNumberFormat="1" applyFont="1" applyFill="1" applyBorder="1"/>
    <xf numFmtId="37" fontId="7" fillId="0" borderId="10" xfId="0" applyNumberFormat="1" applyFont="1" applyBorder="1" applyAlignment="1">
      <alignment vertical="center"/>
    </xf>
    <xf numFmtId="43" fontId="158" fillId="0" borderId="0" xfId="1" applyFont="1" applyFill="1" applyBorder="1"/>
    <xf numFmtId="165" fontId="158" fillId="0" borderId="0" xfId="1" applyNumberFormat="1" applyFont="1" applyFill="1" applyBorder="1"/>
    <xf numFmtId="165" fontId="4" fillId="0" borderId="132" xfId="1" applyNumberFormat="1" applyFont="1" applyFill="1" applyBorder="1" applyAlignment="1"/>
    <xf numFmtId="165" fontId="4" fillId="0" borderId="0" xfId="1" applyNumberFormat="1" applyFont="1" applyFill="1" applyBorder="1" applyAlignment="1">
      <alignment vertical="top"/>
    </xf>
    <xf numFmtId="165" fontId="158" fillId="0" borderId="0" xfId="1" applyNumberFormat="1" applyFont="1" applyFill="1" applyBorder="1" applyAlignment="1">
      <alignment vertical="top"/>
    </xf>
    <xf numFmtId="165" fontId="4" fillId="0" borderId="132" xfId="1" applyNumberFormat="1" applyFont="1" applyFill="1" applyBorder="1" applyAlignment="1">
      <alignment vertical="top"/>
    </xf>
    <xf numFmtId="43" fontId="7" fillId="0" borderId="0" xfId="1" applyFont="1" applyFill="1" applyBorder="1" applyAlignment="1">
      <alignment horizontal="right" vertical="center"/>
    </xf>
    <xf numFmtId="164" fontId="25" fillId="0" borderId="0" xfId="0" applyNumberFormat="1" applyFont="1"/>
    <xf numFmtId="168" fontId="4" fillId="0" borderId="0" xfId="4" applyNumberFormat="1" applyFont="1" applyAlignment="1">
      <alignment horizontal="center" vertical="center"/>
    </xf>
    <xf numFmtId="0" fontId="166" fillId="0" borderId="132" xfId="0" applyFont="1" applyBorder="1" applyAlignment="1">
      <alignment horizontal="center"/>
    </xf>
    <xf numFmtId="44" fontId="4" fillId="0" borderId="1" xfId="2" applyFont="1" applyFill="1" applyBorder="1" applyAlignment="1">
      <alignment vertical="center"/>
    </xf>
    <xf numFmtId="0" fontId="161" fillId="0" borderId="0" xfId="57" applyFont="1" applyAlignment="1">
      <alignment horizontal="center" vertical="justify"/>
    </xf>
    <xf numFmtId="0" fontId="161" fillId="0" borderId="0" xfId="57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4" applyFont="1" applyAlignment="1">
      <alignment horizontal="center"/>
    </xf>
    <xf numFmtId="6" fontId="5" fillId="0" borderId="0" xfId="4" quotePrefix="1" applyNumberFormat="1" applyFont="1" applyAlignment="1">
      <alignment horizontal="center"/>
    </xf>
    <xf numFmtId="0" fontId="5" fillId="3" borderId="0" xfId="4" applyFont="1" applyFill="1" applyAlignment="1">
      <alignment horizontal="center"/>
    </xf>
    <xf numFmtId="0" fontId="5" fillId="0" borderId="0" xfId="2012" applyFont="1" applyAlignment="1" applyProtection="1">
      <alignment horizontal="center"/>
      <protection locked="0"/>
    </xf>
    <xf numFmtId="0" fontId="5" fillId="0" borderId="0" xfId="2012" applyFont="1" applyAlignment="1">
      <alignment horizontal="center"/>
    </xf>
    <xf numFmtId="2" fontId="5" fillId="2" borderId="0" xfId="2012" applyNumberFormat="1" applyFont="1" applyFill="1" applyAlignment="1">
      <alignment horizontal="center"/>
    </xf>
    <xf numFmtId="49" fontId="5" fillId="0" borderId="0" xfId="4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1604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0" fontId="5" fillId="2" borderId="0" xfId="4" applyFont="1" applyFill="1" applyAlignment="1">
      <alignment horizontal="center"/>
    </xf>
    <xf numFmtId="0" fontId="5" fillId="2" borderId="0" xfId="4" applyFont="1" applyFill="1"/>
    <xf numFmtId="0" fontId="5" fillId="0" borderId="0" xfId="4" quotePrefix="1" applyFont="1" applyAlignment="1">
      <alignment horizontal="center"/>
    </xf>
    <xf numFmtId="0" fontId="5" fillId="0" borderId="0" xfId="4" applyFont="1"/>
    <xf numFmtId="0" fontId="27" fillId="0" borderId="0" xfId="0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0" borderId="0" xfId="0" quotePrefix="1" applyFont="1" applyAlignment="1">
      <alignment horizontal="center" vertical="center"/>
    </xf>
  </cellXfs>
  <cellStyles count="38102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53" xfId="38100" xr:uid="{00000000-0005-0000-0000-0000FE940000}"/>
    <cellStyle name="Comma 16" xfId="1452" xr:uid="{00000000-0005-0000-0000-0000ED050000}"/>
    <cellStyle name="Comma 164" xfId="38096" xr:uid="{7AB220A9-AC52-49D8-99B2-8E0F9AC44F2C}"/>
    <cellStyle name="Comma 165" xfId="38097" xr:uid="{E07A24B8-7FFD-4AF8-BC5B-CB73E4B5710D}"/>
    <cellStyle name="Comma 166" xfId="38098" xr:uid="{490B61AB-10B0-4BC5-9715-B60675D32BE6}"/>
    <cellStyle name="Comma 17" xfId="1453" xr:uid="{00000000-0005-0000-0000-0000EE050000}"/>
    <cellStyle name="Comma 18" xfId="1454" xr:uid="{00000000-0005-0000-0000-0000EF050000}"/>
    <cellStyle name="Comma 19" xfId="1455" xr:uid="{00000000-0005-0000-0000-0000F005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1" xfId="1478" xr:uid="{00000000-0005-0000-0000-0000330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01" xfId="38101" xr:uid="{00000000-0005-0000-0000-0000FF940000}"/>
    <cellStyle name="Currency 11" xfId="1959" xr:uid="{00000000-0005-0000-0000-0000EA060000}"/>
    <cellStyle name="Currency 12" xfId="23" xr:uid="{00000000-0005-0000-0000-0000EB060000}"/>
    <cellStyle name="Currency 13" xfId="2023" xr:uid="{00000000-0005-0000-0000-0000EC0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1" xfId="2569" xr:uid="{00000000-0005-0000-0000-0000BD08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75" xfId="38099" xr:uid="{00000000-0005-0000-0000-00000095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3" xfId="564" xr:uid="{00000000-0005-0000-0000-00005E100000}"/>
    <cellStyle name="SAPBEXaggDataEmph 3 10" xfId="22292" xr:uid="{00000000-0005-0000-0000-00005F10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3" xfId="586" xr:uid="{00000000-0005-0000-0000-00009E150000}"/>
    <cellStyle name="SAPBEXaggItemX 3 10" xfId="4988" xr:uid="{00000000-0005-0000-0000-00009F15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2" xfId="597" xr:uid="{00000000-0005-0000-0000-00003417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2" xfId="649" xr:uid="{00000000-0005-0000-0000-00002420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4" xfId="744" xr:uid="{00000000-0005-0000-0000-000073320000}"/>
    <cellStyle name="SAPBEXfilterDrill 4 10" xfId="37983" xr:uid="{00000000-0005-0000-0000-000074320000}"/>
    <cellStyle name="SAPBEXfilterDrill 4 2" xfId="745" xr:uid="{00000000-0005-0000-0000-0000753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2" xfId="747" xr:uid="{00000000-0005-0000-0000-0000893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2" xfId="749" xr:uid="{00000000-0005-0000-0000-00009D3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2" xfId="751" xr:uid="{00000000-0005-0000-0000-0000B13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9" xfId="753" xr:uid="{00000000-0005-0000-0000-0000CA3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3" xfId="771" xr:uid="{00000000-0005-0000-0000-00009634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2" xfId="788" xr:uid="{00000000-0005-0000-0000-00007736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2" xfId="792" xr:uid="{00000000-0005-0000-0000-0000A536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2" xfId="795" xr:uid="{00000000-0005-0000-0000-0000D236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2" xfId="797" xr:uid="{00000000-0005-0000-0000-0000E636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2" xfId="799" xr:uid="{00000000-0005-0000-0000-0000FA36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2" xfId="801" xr:uid="{00000000-0005-0000-0000-00000E37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2" xfId="805" xr:uid="{00000000-0005-0000-0000-00003B37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2" xfId="809" xr:uid="{00000000-0005-0000-0000-00006937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2" xfId="812" xr:uid="{00000000-0005-0000-0000-00009637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2" xfId="814" xr:uid="{00000000-0005-0000-0000-0000AA37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2" xfId="816" xr:uid="{00000000-0005-0000-0000-0000BE37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2" xfId="818" xr:uid="{00000000-0005-0000-0000-0000D237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2" xfId="937" xr:uid="{00000000-0005-0000-0000-00008582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3" xfId="938" xr:uid="{00000000-0005-0000-0000-0000C0820000}"/>
    <cellStyle name="SAPBEXresData 3 10" xfId="5114" xr:uid="{00000000-0005-0000-0000-0000C182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3" xfId="943" xr:uid="{00000000-0005-0000-0000-00008984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2" xfId="946" xr:uid="{00000000-0005-0000-0000-00000D86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3" xfId="947" xr:uid="{00000000-0005-0000-0000-000048860000}"/>
    <cellStyle name="SAPBEXresItem 3 10" xfId="5123" xr:uid="{00000000-0005-0000-0000-00004986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2" xfId="952" xr:uid="{00000000-0005-0000-0000-0000CF87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3" xfId="953" xr:uid="{00000000-0005-0000-0000-000008880000}"/>
    <cellStyle name="SAPBEXresItemX 3 10" xfId="5129" xr:uid="{00000000-0005-0000-0000-00000988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2" xfId="963" xr:uid="{00000000-0005-0000-0000-0000078A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3" xfId="976" xr:uid="{00000000-0005-0000-0000-00003E8C0000}"/>
    <cellStyle name="SAPBEXstdDataEmph 3 10" xfId="22504" xr:uid="{00000000-0005-0000-0000-00003F8C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2" xfId="985" xr:uid="{00000000-0005-0000-0000-00003E8E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2" xfId="991" xr:uid="{00000000-0005-0000-0000-0000E38E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3" xfId="1001" xr:uid="{00000000-0005-0000-0000-00008C900000}"/>
    <cellStyle name="SAPBEXstdItemX 3 10" xfId="5153" xr:uid="{00000000-0005-0000-0000-00008D90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2" xfId="1004" xr:uid="{00000000-0005-0000-0000-0000BC90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3" xfId="1023" xr:uid="{00000000-0005-0000-0000-0000FD920000}"/>
    <cellStyle name="SAPBEXundefined 3 10" xfId="22517" xr:uid="{00000000-0005-0000-0000-0000FE92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0"/>
  <tableStyles count="1" defaultTableStyle="TableStyleMedium2" defaultPivotStyle="PivotStyleLight16">
    <tableStyle name="Invisible" pivot="0" table="0" count="0" xr9:uid="{50914D95-2CA5-48AB-A8C2-3EE24558988F}"/>
  </tableStyles>
  <colors>
    <mruColors>
      <color rgb="FF0000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13</xdr:row>
      <xdr:rowOff>11907</xdr:rowOff>
    </xdr:from>
    <xdr:to>
      <xdr:col>8</xdr:col>
      <xdr:colOff>35721</xdr:colOff>
      <xdr:row>14</xdr:row>
      <xdr:rowOff>219076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0CFAF64-9D8A-47F2-A281-DA4D37F887B2}"/>
            </a:ext>
          </a:extLst>
        </xdr:cNvPr>
        <xdr:cNvSpPr/>
      </xdr:nvSpPr>
      <xdr:spPr>
        <a:xfrm>
          <a:off x="9575800" y="2691607"/>
          <a:ext cx="67471" cy="4357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14</xdr:row>
      <xdr:rowOff>17859</xdr:rowOff>
    </xdr:from>
    <xdr:to>
      <xdr:col>8</xdr:col>
      <xdr:colOff>35720</xdr:colOff>
      <xdr:row>15</xdr:row>
      <xdr:rowOff>219076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E304810-3F26-44F2-BE6C-A3E0A349D5BA}"/>
            </a:ext>
          </a:extLst>
        </xdr:cNvPr>
        <xdr:cNvSpPr/>
      </xdr:nvSpPr>
      <xdr:spPr>
        <a:xfrm>
          <a:off x="10534650" y="2722959"/>
          <a:ext cx="64295" cy="4266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1139825</xdr:colOff>
      <xdr:row>14</xdr:row>
      <xdr:rowOff>17859</xdr:rowOff>
    </xdr:from>
    <xdr:to>
      <xdr:col>8</xdr:col>
      <xdr:colOff>32545</xdr:colOff>
      <xdr:row>15</xdr:row>
      <xdr:rowOff>219076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5F3270A-D65D-4798-819C-DD528021AFE3}"/>
            </a:ext>
          </a:extLst>
        </xdr:cNvPr>
        <xdr:cNvSpPr/>
      </xdr:nvSpPr>
      <xdr:spPr>
        <a:xfrm>
          <a:off x="10531475" y="2722959"/>
          <a:ext cx="61120" cy="4266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7467C2-F028-466E-AA72-08F2B8901983}"/>
            </a:ext>
          </a:extLst>
        </xdr:cNvPr>
        <xdr:cNvSpPr>
          <a:spLocks noChangeShapeType="1"/>
        </xdr:cNvSpPr>
      </xdr:nvSpPr>
      <xdr:spPr bwMode="auto">
        <a:xfrm>
          <a:off x="1887539" y="18500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6778E5B-079A-4BC9-818E-B122541142AE}"/>
            </a:ext>
          </a:extLst>
        </xdr:cNvPr>
        <xdr:cNvSpPr>
          <a:spLocks noChangeShapeType="1"/>
        </xdr:cNvSpPr>
      </xdr:nvSpPr>
      <xdr:spPr bwMode="auto">
        <a:xfrm>
          <a:off x="1744667" y="20853399"/>
          <a:ext cx="279050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B6766E7-D732-4DA7-9AFA-3BA30EC8F3A9}"/>
            </a:ext>
          </a:extLst>
        </xdr:cNvPr>
        <xdr:cNvSpPr>
          <a:spLocks noChangeShapeType="1"/>
        </xdr:cNvSpPr>
      </xdr:nvSpPr>
      <xdr:spPr bwMode="auto">
        <a:xfrm>
          <a:off x="1887539" y="274986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A3D8BB99-A64B-40B5-97DB-94046C64D14A}"/>
            </a:ext>
          </a:extLst>
        </xdr:cNvPr>
        <xdr:cNvSpPr>
          <a:spLocks noChangeShapeType="1"/>
        </xdr:cNvSpPr>
      </xdr:nvSpPr>
      <xdr:spPr bwMode="auto">
        <a:xfrm>
          <a:off x="1887539" y="274986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C8C7A18-E9DF-40B3-9CA0-EB9993726AD6}"/>
            </a:ext>
          </a:extLst>
        </xdr:cNvPr>
        <xdr:cNvSpPr>
          <a:spLocks noChangeShapeType="1"/>
        </xdr:cNvSpPr>
      </xdr:nvSpPr>
      <xdr:spPr bwMode="auto">
        <a:xfrm>
          <a:off x="1744667" y="29851349"/>
          <a:ext cx="279050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2CADB62-C384-4431-BEA3-F8DF7B298F81}"/>
            </a:ext>
          </a:extLst>
        </xdr:cNvPr>
        <xdr:cNvSpPr>
          <a:spLocks noChangeShapeType="1"/>
        </xdr:cNvSpPr>
      </xdr:nvSpPr>
      <xdr:spPr bwMode="auto">
        <a:xfrm>
          <a:off x="1887539" y="184562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BF686A6-324C-4554-8F6C-053735260848}"/>
            </a:ext>
          </a:extLst>
        </xdr:cNvPr>
        <xdr:cNvSpPr>
          <a:spLocks noChangeShapeType="1"/>
        </xdr:cNvSpPr>
      </xdr:nvSpPr>
      <xdr:spPr bwMode="auto">
        <a:xfrm>
          <a:off x="1741492" y="20850224"/>
          <a:ext cx="2793682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B449446-ABAE-47E5-B295-BFBF110104F2}"/>
            </a:ext>
          </a:extLst>
        </xdr:cNvPr>
        <xdr:cNvSpPr>
          <a:spLocks noChangeShapeType="1"/>
        </xdr:cNvSpPr>
      </xdr:nvSpPr>
      <xdr:spPr bwMode="auto">
        <a:xfrm>
          <a:off x="1887539" y="275812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3698BE3-A8B3-46CD-9892-FDD2179C8DCE}"/>
            </a:ext>
          </a:extLst>
        </xdr:cNvPr>
        <xdr:cNvSpPr>
          <a:spLocks noChangeShapeType="1"/>
        </xdr:cNvSpPr>
      </xdr:nvSpPr>
      <xdr:spPr bwMode="auto">
        <a:xfrm>
          <a:off x="1887539" y="275812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15303F4-A40A-4A0D-9D91-BCE2D28EAD5E}"/>
            </a:ext>
          </a:extLst>
        </xdr:cNvPr>
        <xdr:cNvSpPr>
          <a:spLocks noChangeShapeType="1"/>
        </xdr:cNvSpPr>
      </xdr:nvSpPr>
      <xdr:spPr bwMode="auto">
        <a:xfrm>
          <a:off x="1741492" y="29975174"/>
          <a:ext cx="2793682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B6E8-28D1-4F14-995E-4FED1D5365E0}">
  <sheetPr>
    <pageSetUpPr fitToPage="1"/>
  </sheetPr>
  <dimension ref="A2:H41"/>
  <sheetViews>
    <sheetView zoomScale="80" zoomScaleNormal="80" workbookViewId="0"/>
  </sheetViews>
  <sheetFormatPr defaultColWidth="9.140625" defaultRowHeight="15"/>
  <cols>
    <col min="1" max="1" width="4.85546875" style="491" bestFit="1" customWidth="1"/>
    <col min="2" max="2" width="76.5703125" style="491" customWidth="1"/>
    <col min="3" max="3" width="1.5703125" style="491" customWidth="1"/>
    <col min="4" max="4" width="20.85546875" style="491" customWidth="1"/>
    <col min="5" max="5" width="1.5703125" style="491" customWidth="1"/>
    <col min="6" max="6" width="40.5703125" style="491" customWidth="1"/>
    <col min="7" max="7" width="4.85546875" style="491" customWidth="1"/>
    <col min="8" max="16384" width="9.140625" style="491"/>
  </cols>
  <sheetData>
    <row r="2" spans="1:8" ht="18.75">
      <c r="B2" s="774" t="s">
        <v>401</v>
      </c>
      <c r="C2" s="774"/>
      <c r="D2" s="774"/>
      <c r="E2" s="774"/>
      <c r="F2" s="774"/>
    </row>
    <row r="3" spans="1:8" ht="18.75">
      <c r="B3" s="492" t="s">
        <v>402</v>
      </c>
      <c r="C3" s="493"/>
      <c r="D3" s="494"/>
      <c r="E3" s="494"/>
      <c r="F3" s="494"/>
    </row>
    <row r="4" spans="1:8" ht="17.45" customHeight="1">
      <c r="B4" s="775" t="s">
        <v>601</v>
      </c>
      <c r="C4" s="775"/>
      <c r="D4" s="775"/>
      <c r="E4" s="775"/>
      <c r="F4" s="775"/>
    </row>
    <row r="5" spans="1:8" ht="18.75">
      <c r="B5" s="495" t="s">
        <v>410</v>
      </c>
      <c r="C5" s="493"/>
      <c r="D5" s="493"/>
      <c r="E5" s="493"/>
      <c r="F5" s="493"/>
    </row>
    <row r="6" spans="1:8" ht="15.75">
      <c r="B6" s="776" t="s">
        <v>1</v>
      </c>
      <c r="C6" s="776"/>
      <c r="D6" s="776"/>
      <c r="E6" s="776"/>
      <c r="F6" s="776"/>
      <c r="G6" s="497"/>
      <c r="H6" s="497"/>
    </row>
    <row r="7" spans="1:8" ht="15.75">
      <c r="B7" s="498"/>
      <c r="C7" s="498"/>
      <c r="D7" s="499"/>
      <c r="E7" s="500"/>
      <c r="F7" s="498"/>
      <c r="G7" s="498"/>
    </row>
    <row r="8" spans="1:8" ht="15.75">
      <c r="A8" s="2" t="s">
        <v>2</v>
      </c>
      <c r="G8" s="2" t="s">
        <v>2</v>
      </c>
    </row>
    <row r="9" spans="1:8" ht="15.75">
      <c r="A9" s="501" t="s">
        <v>14</v>
      </c>
      <c r="B9" s="502" t="s">
        <v>16</v>
      </c>
      <c r="C9" s="502"/>
      <c r="D9" s="502" t="s">
        <v>21</v>
      </c>
      <c r="E9" s="503"/>
      <c r="F9" s="502" t="s">
        <v>6</v>
      </c>
      <c r="G9" s="501" t="s">
        <v>14</v>
      </c>
    </row>
    <row r="10" spans="1:8" ht="15.75">
      <c r="A10" s="2"/>
      <c r="B10" s="498"/>
      <c r="C10" s="498"/>
      <c r="D10" s="504"/>
      <c r="E10" s="504"/>
      <c r="F10" s="504"/>
      <c r="G10" s="2"/>
    </row>
    <row r="11" spans="1:8" ht="15.75">
      <c r="A11" s="2">
        <v>1</v>
      </c>
      <c r="B11" s="500" t="s">
        <v>596</v>
      </c>
      <c r="C11" s="500"/>
      <c r="D11" s="504"/>
      <c r="E11" s="504"/>
      <c r="F11" s="504"/>
      <c r="G11" s="2">
        <v>1</v>
      </c>
    </row>
    <row r="12" spans="1:8" ht="15.75">
      <c r="A12" s="2">
        <f>A11+1</f>
        <v>2</v>
      </c>
      <c r="B12" s="500"/>
      <c r="C12" s="500"/>
      <c r="D12" s="504"/>
      <c r="E12" s="504"/>
      <c r="F12" s="504"/>
      <c r="G12" s="2">
        <f>G11+1</f>
        <v>2</v>
      </c>
    </row>
    <row r="13" spans="1:8" ht="31.5">
      <c r="A13" s="2">
        <f t="shared" ref="A13:A21" si="0">A12+1</f>
        <v>3</v>
      </c>
      <c r="B13" s="505" t="s">
        <v>403</v>
      </c>
      <c r="C13" s="506"/>
      <c r="D13" s="507">
        <f>'Pg2 App XII C3 Comparison'!G28</f>
        <v>1.6983961908938454</v>
      </c>
      <c r="E13" s="507"/>
      <c r="F13" s="504" t="s">
        <v>404</v>
      </c>
      <c r="G13" s="2">
        <f t="shared" ref="G13:G21" si="1">G12+1</f>
        <v>3</v>
      </c>
    </row>
    <row r="14" spans="1:8" ht="15.75">
      <c r="A14" s="2">
        <f t="shared" si="0"/>
        <v>4</v>
      </c>
      <c r="B14" s="498"/>
      <c r="C14" s="504"/>
      <c r="D14" s="507"/>
      <c r="E14" s="507"/>
      <c r="F14" s="504"/>
      <c r="G14" s="2">
        <f t="shared" si="1"/>
        <v>4</v>
      </c>
    </row>
    <row r="15" spans="1:8" ht="15.75">
      <c r="A15" s="2">
        <f t="shared" si="0"/>
        <v>5</v>
      </c>
      <c r="B15" s="498" t="s">
        <v>405</v>
      </c>
      <c r="C15" s="504"/>
      <c r="D15" s="508">
        <f>'Pg14 App XII C3 Int Calc'!G77</f>
        <v>0.40632951212987239</v>
      </c>
      <c r="E15" s="509"/>
      <c r="F15" s="504" t="s">
        <v>642</v>
      </c>
      <c r="G15" s="2">
        <f t="shared" si="1"/>
        <v>5</v>
      </c>
    </row>
    <row r="16" spans="1:8" ht="15.75">
      <c r="A16" s="2">
        <f t="shared" si="0"/>
        <v>6</v>
      </c>
      <c r="B16" s="498"/>
      <c r="C16" s="504"/>
      <c r="D16" s="510"/>
      <c r="E16" s="510"/>
      <c r="F16" s="504"/>
      <c r="G16" s="2">
        <f t="shared" si="1"/>
        <v>6</v>
      </c>
    </row>
    <row r="17" spans="1:7" ht="15.75">
      <c r="A17" s="2">
        <f t="shared" si="0"/>
        <v>7</v>
      </c>
      <c r="B17" s="511" t="s">
        <v>406</v>
      </c>
      <c r="C17" s="503"/>
      <c r="D17" s="512">
        <f>D13+D15</f>
        <v>2.1047257030237176</v>
      </c>
      <c r="E17" s="507"/>
      <c r="F17" s="504" t="s">
        <v>407</v>
      </c>
      <c r="G17" s="2">
        <f t="shared" si="1"/>
        <v>7</v>
      </c>
    </row>
    <row r="18" spans="1:7" ht="15.75">
      <c r="A18" s="2">
        <f t="shared" si="0"/>
        <v>8</v>
      </c>
      <c r="B18" s="498"/>
      <c r="C18" s="504"/>
      <c r="D18" s="513"/>
      <c r="E18" s="498"/>
      <c r="F18" s="498"/>
      <c r="G18" s="2">
        <f t="shared" si="1"/>
        <v>8</v>
      </c>
    </row>
    <row r="19" spans="1:7" ht="15.75">
      <c r="A19" s="2">
        <f t="shared" si="0"/>
        <v>9</v>
      </c>
      <c r="B19" s="10" t="s">
        <v>245</v>
      </c>
      <c r="C19" s="504"/>
      <c r="D19" s="514">
        <v>12</v>
      </c>
      <c r="E19" s="498"/>
      <c r="F19" s="498"/>
      <c r="G19" s="2">
        <f t="shared" si="1"/>
        <v>9</v>
      </c>
    </row>
    <row r="20" spans="1:7" ht="15.75">
      <c r="A20" s="2">
        <f t="shared" si="0"/>
        <v>10</v>
      </c>
      <c r="B20" s="498"/>
      <c r="C20" s="504"/>
      <c r="D20" s="513"/>
      <c r="E20" s="498"/>
      <c r="F20" s="498"/>
      <c r="G20" s="2">
        <f t="shared" si="1"/>
        <v>10</v>
      </c>
    </row>
    <row r="21" spans="1:7" ht="16.5" thickBot="1">
      <c r="A21" s="2">
        <f t="shared" si="0"/>
        <v>11</v>
      </c>
      <c r="B21" s="511" t="s">
        <v>408</v>
      </c>
      <c r="C21" s="498"/>
      <c r="D21" s="515">
        <f>D17/12</f>
        <v>0.17539380858530981</v>
      </c>
      <c r="E21" s="498"/>
      <c r="F21" s="504" t="s">
        <v>409</v>
      </c>
      <c r="G21" s="2">
        <f t="shared" si="1"/>
        <v>11</v>
      </c>
    </row>
    <row r="22" spans="1:7" ht="16.5" thickTop="1">
      <c r="A22" s="2"/>
      <c r="B22" s="516"/>
      <c r="C22" s="498"/>
      <c r="D22" s="517"/>
      <c r="E22" s="498"/>
      <c r="F22" s="498"/>
      <c r="G22" s="498"/>
    </row>
    <row r="23" spans="1:7" ht="15.75">
      <c r="B23" s="498"/>
      <c r="C23" s="498"/>
      <c r="D23" s="498"/>
      <c r="E23" s="498"/>
      <c r="F23" s="498"/>
      <c r="G23" s="498"/>
    </row>
    <row r="24" spans="1:7" ht="17.25">
      <c r="A24" s="518">
        <v>1</v>
      </c>
      <c r="B24" s="519" t="s">
        <v>605</v>
      </c>
      <c r="C24" s="498"/>
      <c r="D24" s="498"/>
      <c r="E24" s="498"/>
      <c r="F24" s="498"/>
      <c r="G24" s="498"/>
    </row>
    <row r="25" spans="1:7" ht="15.75">
      <c r="B25" s="519" t="s">
        <v>641</v>
      </c>
      <c r="C25" s="498"/>
      <c r="D25" s="498"/>
      <c r="E25" s="498"/>
      <c r="F25" s="498"/>
      <c r="G25" s="498"/>
    </row>
    <row r="26" spans="1:7" ht="15.75">
      <c r="B26" s="498"/>
      <c r="C26" s="498"/>
      <c r="D26" s="498"/>
      <c r="E26" s="498"/>
      <c r="F26" s="498"/>
      <c r="G26" s="498"/>
    </row>
    <row r="27" spans="1:7" ht="15.75">
      <c r="B27" s="519"/>
      <c r="C27" s="498"/>
      <c r="D27" s="498"/>
      <c r="E27" s="498"/>
      <c r="F27" s="498"/>
      <c r="G27" s="498"/>
    </row>
    <row r="28" spans="1:7" ht="15.75">
      <c r="B28" s="519"/>
      <c r="C28" s="498"/>
      <c r="D28" s="498"/>
      <c r="E28" s="498"/>
      <c r="F28" s="498"/>
      <c r="G28" s="498"/>
    </row>
    <row r="29" spans="1:7" ht="17.25">
      <c r="A29" s="518"/>
      <c r="B29" s="498"/>
      <c r="C29" s="498"/>
      <c r="D29" s="498"/>
      <c r="E29" s="498"/>
      <c r="F29" s="498"/>
      <c r="G29" s="498"/>
    </row>
    <row r="30" spans="1:7" ht="15.75">
      <c r="B30" s="498"/>
      <c r="C30" s="498"/>
      <c r="D30" s="498"/>
      <c r="E30" s="498"/>
      <c r="F30" s="498"/>
      <c r="G30" s="498"/>
    </row>
    <row r="31" spans="1:7" ht="15.75">
      <c r="B31" s="498"/>
      <c r="C31" s="498"/>
      <c r="D31" s="498"/>
      <c r="E31" s="498"/>
      <c r="F31" s="498"/>
      <c r="G31" s="498"/>
    </row>
    <row r="32" spans="1:7" ht="15.75">
      <c r="B32" s="498"/>
      <c r="C32" s="498"/>
      <c r="D32" s="498"/>
      <c r="E32" s="498"/>
      <c r="F32" s="498"/>
      <c r="G32" s="498"/>
    </row>
    <row r="33" spans="2:7" ht="15.75">
      <c r="B33" s="498"/>
      <c r="C33" s="498"/>
      <c r="D33" s="498"/>
      <c r="E33" s="498"/>
      <c r="F33" s="498"/>
      <c r="G33" s="498"/>
    </row>
    <row r="34" spans="2:7" ht="15.75">
      <c r="B34" s="498"/>
      <c r="C34" s="498"/>
      <c r="D34" s="498"/>
      <c r="E34" s="498"/>
      <c r="F34" s="498"/>
      <c r="G34" s="498"/>
    </row>
    <row r="35" spans="2:7" ht="15.75">
      <c r="B35" s="498"/>
      <c r="C35" s="498"/>
      <c r="D35" s="498"/>
      <c r="E35" s="498"/>
      <c r="F35" s="498"/>
      <c r="G35" s="498"/>
    </row>
    <row r="36" spans="2:7" ht="15.75">
      <c r="B36" s="498"/>
      <c r="C36" s="498"/>
      <c r="D36" s="498"/>
      <c r="E36" s="498"/>
      <c r="F36" s="498"/>
      <c r="G36" s="498"/>
    </row>
    <row r="37" spans="2:7" ht="15.75">
      <c r="B37" s="498"/>
      <c r="C37" s="498"/>
      <c r="D37" s="498"/>
      <c r="E37" s="498"/>
      <c r="F37" s="498"/>
      <c r="G37" s="498"/>
    </row>
    <row r="38" spans="2:7" ht="15.75">
      <c r="B38" s="498"/>
      <c r="C38" s="498"/>
      <c r="D38" s="498"/>
      <c r="E38" s="498"/>
      <c r="F38" s="498"/>
      <c r="G38" s="498"/>
    </row>
    <row r="39" spans="2:7" ht="15.75">
      <c r="B39" s="498"/>
      <c r="C39" s="498"/>
      <c r="D39" s="498"/>
      <c r="E39" s="498"/>
      <c r="F39" s="498"/>
      <c r="G39" s="498"/>
    </row>
    <row r="40" spans="2:7" ht="15.75">
      <c r="B40" s="498"/>
      <c r="C40" s="498"/>
      <c r="D40" s="498"/>
      <c r="E40" s="498"/>
      <c r="F40" s="498"/>
      <c r="G40" s="498"/>
    </row>
    <row r="41" spans="2:7" ht="15.75">
      <c r="B41" s="498"/>
      <c r="C41" s="498"/>
      <c r="D41" s="498"/>
      <c r="E41" s="498"/>
      <c r="F41" s="498"/>
      <c r="G41" s="498"/>
    </row>
  </sheetData>
  <mergeCells count="3">
    <mergeCell ref="B2:F2"/>
    <mergeCell ref="B4:F4"/>
    <mergeCell ref="B6:F6"/>
  </mergeCells>
  <printOptions horizontalCentered="1"/>
  <pageMargins left="0.5" right="0.5" top="0.5" bottom="0.5" header="0.25" footer="0.25"/>
  <pageSetup scale="63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98DF-60BA-4665-ACEA-1DCE00A8ABB2}">
  <sheetPr>
    <pageSetUpPr fitToPage="1"/>
  </sheetPr>
  <dimension ref="A1:J77"/>
  <sheetViews>
    <sheetView zoomScale="80" zoomScaleNormal="80" workbookViewId="0"/>
  </sheetViews>
  <sheetFormatPr defaultColWidth="8.85546875" defaultRowHeight="15.75"/>
  <cols>
    <col min="1" max="1" width="5.140625" style="101" bestFit="1" customWidth="1"/>
    <col min="2" max="2" width="80.5703125" style="98" customWidth="1"/>
    <col min="3" max="3" width="21.140625" style="98" customWidth="1"/>
    <col min="4" max="4" width="1.5703125" style="98" customWidth="1"/>
    <col min="5" max="5" width="16.85546875" style="98" customWidth="1"/>
    <col min="6" max="6" width="1.5703125" style="98" customWidth="1"/>
    <col min="7" max="7" width="45.7109375" style="98" customWidth="1"/>
    <col min="8" max="8" width="5.140625" style="98" customWidth="1"/>
    <col min="9" max="9" width="8.85546875" style="98"/>
    <col min="10" max="10" width="20.42578125" style="98" bestFit="1" customWidth="1"/>
    <col min="11" max="16384" width="8.85546875" style="98"/>
  </cols>
  <sheetData>
    <row r="1" spans="1:8">
      <c r="G1" s="255"/>
      <c r="H1" s="101"/>
    </row>
    <row r="2" spans="1:8">
      <c r="B2" s="784" t="s">
        <v>12</v>
      </c>
      <c r="C2" s="784"/>
      <c r="D2" s="784"/>
      <c r="E2" s="784"/>
      <c r="F2" s="784"/>
      <c r="G2" s="784"/>
      <c r="H2" s="101"/>
    </row>
    <row r="3" spans="1:8">
      <c r="B3" s="784" t="s">
        <v>398</v>
      </c>
      <c r="C3" s="784"/>
      <c r="D3" s="784"/>
      <c r="E3" s="784"/>
      <c r="F3" s="784"/>
      <c r="G3" s="784"/>
      <c r="H3" s="101"/>
    </row>
    <row r="4" spans="1:8">
      <c r="B4" s="784" t="s">
        <v>20</v>
      </c>
      <c r="C4" s="784"/>
      <c r="D4" s="784"/>
      <c r="E4" s="784"/>
      <c r="F4" s="784"/>
      <c r="G4" s="784"/>
      <c r="H4" s="101"/>
    </row>
    <row r="5" spans="1:8">
      <c r="B5" s="787" t="s">
        <v>445</v>
      </c>
      <c r="C5" s="787"/>
      <c r="D5" s="787"/>
      <c r="E5" s="787"/>
      <c r="F5" s="787"/>
      <c r="G5" s="787"/>
      <c r="H5" s="101"/>
    </row>
    <row r="6" spans="1:8">
      <c r="B6" s="786" t="s">
        <v>1</v>
      </c>
      <c r="C6" s="788"/>
      <c r="D6" s="788"/>
      <c r="E6" s="788"/>
      <c r="F6" s="788"/>
      <c r="G6" s="788"/>
      <c r="H6" s="101"/>
    </row>
    <row r="7" spans="1:8">
      <c r="B7" s="101"/>
      <c r="C7" s="101"/>
      <c r="D7" s="101"/>
      <c r="E7" s="197"/>
      <c r="F7" s="197"/>
      <c r="G7" s="101"/>
      <c r="H7" s="101"/>
    </row>
    <row r="8" spans="1:8">
      <c r="A8" s="101" t="s">
        <v>2</v>
      </c>
      <c r="B8" s="183"/>
      <c r="C8" s="101" t="s">
        <v>159</v>
      </c>
      <c r="D8" s="183"/>
      <c r="E8" s="198"/>
      <c r="F8" s="198"/>
      <c r="G8" s="101"/>
      <c r="H8" s="101" t="s">
        <v>2</v>
      </c>
    </row>
    <row r="9" spans="1:8">
      <c r="A9" s="101" t="s">
        <v>14</v>
      </c>
      <c r="C9" s="418" t="s">
        <v>160</v>
      </c>
      <c r="D9" s="183"/>
      <c r="E9" s="633" t="s">
        <v>21</v>
      </c>
      <c r="F9" s="198"/>
      <c r="G9" s="418" t="s">
        <v>6</v>
      </c>
      <c r="H9" s="101" t="s">
        <v>14</v>
      </c>
    </row>
    <row r="10" spans="1:8">
      <c r="C10" s="183"/>
      <c r="D10" s="183"/>
      <c r="E10" s="198"/>
      <c r="F10" s="198"/>
      <c r="G10" s="101"/>
      <c r="H10" s="101"/>
    </row>
    <row r="11" spans="1:8">
      <c r="A11" s="101">
        <v>1</v>
      </c>
      <c r="B11" s="13" t="s">
        <v>176</v>
      </c>
      <c r="C11" s="183"/>
      <c r="D11" s="183"/>
      <c r="E11" s="198"/>
      <c r="F11" s="198"/>
      <c r="G11" s="101"/>
      <c r="H11" s="101">
        <f>A11</f>
        <v>1</v>
      </c>
    </row>
    <row r="12" spans="1:8">
      <c r="A12" s="101">
        <f>+A11+1</f>
        <v>2</v>
      </c>
      <c r="B12" s="10" t="s">
        <v>102</v>
      </c>
      <c r="C12" s="183"/>
      <c r="D12" s="183"/>
      <c r="E12" s="195">
        <v>0</v>
      </c>
      <c r="F12" s="198"/>
      <c r="G12" s="101" t="s">
        <v>488</v>
      </c>
      <c r="H12" s="101">
        <f>H11+1</f>
        <v>2</v>
      </c>
    </row>
    <row r="13" spans="1:8">
      <c r="A13" s="101">
        <f t="shared" ref="A13:A71" si="0">+A12+1</f>
        <v>3</v>
      </c>
      <c r="C13" s="183"/>
      <c r="D13" s="183"/>
      <c r="E13" s="198"/>
      <c r="F13" s="198"/>
      <c r="G13" s="101"/>
      <c r="H13" s="101">
        <f t="shared" ref="H13:H71" si="1">H12+1</f>
        <v>3</v>
      </c>
    </row>
    <row r="14" spans="1:8">
      <c r="A14" s="101">
        <f t="shared" si="0"/>
        <v>4</v>
      </c>
      <c r="B14" s="13" t="s">
        <v>177</v>
      </c>
      <c r="G14" s="101"/>
      <c r="H14" s="101">
        <f t="shared" si="1"/>
        <v>4</v>
      </c>
    </row>
    <row r="15" spans="1:8">
      <c r="A15" s="101">
        <f t="shared" si="0"/>
        <v>5</v>
      </c>
      <c r="B15" s="1" t="s">
        <v>223</v>
      </c>
      <c r="C15" s="101"/>
      <c r="E15" s="195">
        <v>96482.821710000004</v>
      </c>
      <c r="G15" s="101" t="s">
        <v>489</v>
      </c>
      <c r="H15" s="101">
        <f t="shared" si="1"/>
        <v>5</v>
      </c>
    </row>
    <row r="16" spans="1:8">
      <c r="A16" s="101">
        <f t="shared" si="0"/>
        <v>6</v>
      </c>
      <c r="B16" s="3" t="s">
        <v>224</v>
      </c>
      <c r="E16" s="177"/>
      <c r="G16" s="101"/>
      <c r="H16" s="101">
        <f t="shared" si="1"/>
        <v>6</v>
      </c>
    </row>
    <row r="17" spans="1:8">
      <c r="A17" s="101">
        <f t="shared" si="0"/>
        <v>7</v>
      </c>
      <c r="B17" s="1" t="s">
        <v>327</v>
      </c>
      <c r="C17" s="101"/>
      <c r="E17" s="156">
        <v>-5093.2442599999995</v>
      </c>
      <c r="G17" s="101" t="s">
        <v>490</v>
      </c>
      <c r="H17" s="101">
        <f t="shared" si="1"/>
        <v>7</v>
      </c>
    </row>
    <row r="18" spans="1:8">
      <c r="A18" s="101">
        <f t="shared" si="0"/>
        <v>8</v>
      </c>
      <c r="B18" s="1" t="s">
        <v>328</v>
      </c>
      <c r="E18" s="156">
        <v>-2418.7412800000002</v>
      </c>
      <c r="G18" s="101" t="s">
        <v>491</v>
      </c>
      <c r="H18" s="101">
        <f t="shared" si="1"/>
        <v>8</v>
      </c>
    </row>
    <row r="19" spans="1:8">
      <c r="A19" s="101">
        <f t="shared" si="0"/>
        <v>9</v>
      </c>
      <c r="B19" s="10" t="s">
        <v>329</v>
      </c>
      <c r="E19" s="156">
        <v>-6283.7089999999998</v>
      </c>
      <c r="G19" s="101" t="s">
        <v>492</v>
      </c>
      <c r="H19" s="101">
        <f t="shared" si="1"/>
        <v>9</v>
      </c>
    </row>
    <row r="20" spans="1:8">
      <c r="A20" s="101">
        <f t="shared" si="0"/>
        <v>10</v>
      </c>
      <c r="B20" s="10" t="s">
        <v>330</v>
      </c>
      <c r="E20" s="156">
        <v>-8316.0300000000007</v>
      </c>
      <c r="G20" s="101" t="s">
        <v>493</v>
      </c>
      <c r="H20" s="101">
        <f t="shared" si="1"/>
        <v>10</v>
      </c>
    </row>
    <row r="21" spans="1:8">
      <c r="A21" s="101">
        <f t="shared" si="0"/>
        <v>11</v>
      </c>
      <c r="B21" s="1" t="s">
        <v>332</v>
      </c>
      <c r="E21" s="156">
        <v>0</v>
      </c>
      <c r="G21" s="101" t="s">
        <v>494</v>
      </c>
      <c r="H21" s="101">
        <f t="shared" si="1"/>
        <v>11</v>
      </c>
    </row>
    <row r="22" spans="1:8">
      <c r="A22" s="101">
        <f t="shared" si="0"/>
        <v>12</v>
      </c>
      <c r="B22" s="1" t="s">
        <v>331</v>
      </c>
      <c r="E22" s="156">
        <v>-3186.0456599999998</v>
      </c>
      <c r="G22" s="101" t="s">
        <v>495</v>
      </c>
      <c r="H22" s="101">
        <f t="shared" si="1"/>
        <v>12</v>
      </c>
    </row>
    <row r="23" spans="1:8">
      <c r="A23" s="101">
        <f t="shared" si="0"/>
        <v>13</v>
      </c>
      <c r="B23" s="10" t="s">
        <v>333</v>
      </c>
      <c r="E23" s="156">
        <v>-16048.173000000001</v>
      </c>
      <c r="G23" s="101" t="s">
        <v>496</v>
      </c>
      <c r="H23" s="101">
        <f t="shared" si="1"/>
        <v>13</v>
      </c>
    </row>
    <row r="24" spans="1:8">
      <c r="A24" s="101">
        <f t="shared" si="0"/>
        <v>14</v>
      </c>
      <c r="B24" s="10" t="s">
        <v>334</v>
      </c>
      <c r="E24" s="156">
        <v>-18139.88</v>
      </c>
      <c r="G24" s="101" t="s">
        <v>497</v>
      </c>
      <c r="H24" s="101">
        <f t="shared" si="1"/>
        <v>14</v>
      </c>
    </row>
    <row r="25" spans="1:8">
      <c r="A25" s="101">
        <f t="shared" si="0"/>
        <v>15</v>
      </c>
      <c r="B25" s="10" t="s">
        <v>335</v>
      </c>
      <c r="E25" s="156">
        <v>-720.00900000000001</v>
      </c>
      <c r="G25" s="101" t="s">
        <v>498</v>
      </c>
      <c r="H25" s="101">
        <f t="shared" si="1"/>
        <v>15</v>
      </c>
    </row>
    <row r="26" spans="1:8">
      <c r="A26" s="101">
        <f t="shared" si="0"/>
        <v>16</v>
      </c>
      <c r="B26" s="1" t="s">
        <v>225</v>
      </c>
      <c r="E26" s="634">
        <v>-132.11562000000001</v>
      </c>
      <c r="G26" s="101" t="s">
        <v>400</v>
      </c>
      <c r="H26" s="101">
        <f t="shared" si="1"/>
        <v>16</v>
      </c>
    </row>
    <row r="27" spans="1:8">
      <c r="A27" s="101">
        <f t="shared" si="0"/>
        <v>17</v>
      </c>
      <c r="B27" s="98" t="s">
        <v>618</v>
      </c>
      <c r="E27" s="634">
        <v>-2294.73</v>
      </c>
      <c r="G27" s="101" t="s">
        <v>500</v>
      </c>
      <c r="H27" s="101">
        <f t="shared" si="1"/>
        <v>17</v>
      </c>
    </row>
    <row r="28" spans="1:8">
      <c r="A28" s="101">
        <f t="shared" si="0"/>
        <v>18</v>
      </c>
      <c r="B28" s="1" t="s">
        <v>226</v>
      </c>
      <c r="E28" s="683">
        <f>SUM(E15:E27)</f>
        <v>33850.143890000007</v>
      </c>
      <c r="F28" s="538"/>
      <c r="G28" s="200" t="s">
        <v>538</v>
      </c>
      <c r="H28" s="101">
        <f t="shared" si="1"/>
        <v>18</v>
      </c>
    </row>
    <row r="29" spans="1:8">
      <c r="A29" s="101">
        <f t="shared" si="0"/>
        <v>19</v>
      </c>
      <c r="E29" s="92"/>
      <c r="H29" s="101">
        <f t="shared" si="1"/>
        <v>19</v>
      </c>
    </row>
    <row r="30" spans="1:8">
      <c r="A30" s="101">
        <f t="shared" si="0"/>
        <v>20</v>
      </c>
      <c r="B30" s="14" t="s">
        <v>178</v>
      </c>
      <c r="E30" s="201"/>
      <c r="G30" s="101"/>
      <c r="H30" s="101">
        <f t="shared" si="1"/>
        <v>20</v>
      </c>
    </row>
    <row r="31" spans="1:8">
      <c r="A31" s="101">
        <f t="shared" si="0"/>
        <v>21</v>
      </c>
      <c r="B31" s="3" t="s">
        <v>227</v>
      </c>
      <c r="C31" s="101"/>
      <c r="E31" s="195">
        <v>498407.32565000001</v>
      </c>
      <c r="G31" s="101" t="s">
        <v>502</v>
      </c>
      <c r="H31" s="101">
        <f t="shared" si="1"/>
        <v>21</v>
      </c>
    </row>
    <row r="32" spans="1:8">
      <c r="A32" s="101">
        <f t="shared" si="0"/>
        <v>22</v>
      </c>
      <c r="B32" s="3" t="s">
        <v>228</v>
      </c>
      <c r="E32" s="201" t="s">
        <v>7</v>
      </c>
      <c r="G32" s="101"/>
      <c r="H32" s="101">
        <f t="shared" si="1"/>
        <v>22</v>
      </c>
    </row>
    <row r="33" spans="1:10">
      <c r="A33" s="101">
        <f t="shared" si="0"/>
        <v>23</v>
      </c>
      <c r="B33" s="194" t="s">
        <v>388</v>
      </c>
      <c r="E33" s="156">
        <v>-576.97162999999989</v>
      </c>
      <c r="G33" s="101" t="s">
        <v>391</v>
      </c>
      <c r="H33" s="101">
        <f t="shared" si="1"/>
        <v>23</v>
      </c>
      <c r="I33" s="380"/>
      <c r="J33" s="202"/>
    </row>
    <row r="34" spans="1:10" ht="31.5">
      <c r="A34" s="101">
        <f t="shared" si="0"/>
        <v>24</v>
      </c>
      <c r="B34" s="194" t="s">
        <v>340</v>
      </c>
      <c r="E34" s="156">
        <v>-2631.6195512479999</v>
      </c>
      <c r="G34" s="217" t="s">
        <v>503</v>
      </c>
      <c r="H34" s="101">
        <f t="shared" si="1"/>
        <v>24</v>
      </c>
      <c r="I34" s="380"/>
      <c r="J34" s="202"/>
    </row>
    <row r="35" spans="1:10">
      <c r="A35" s="101">
        <f t="shared" si="0"/>
        <v>25</v>
      </c>
      <c r="B35" s="194" t="s">
        <v>173</v>
      </c>
      <c r="E35" s="156">
        <v>0</v>
      </c>
      <c r="G35" s="101" t="s">
        <v>393</v>
      </c>
      <c r="H35" s="101">
        <f t="shared" si="1"/>
        <v>25</v>
      </c>
    </row>
    <row r="36" spans="1:10">
      <c r="A36" s="101">
        <f t="shared" si="0"/>
        <v>26</v>
      </c>
      <c r="B36" s="194" t="s">
        <v>336</v>
      </c>
      <c r="E36" s="156">
        <v>-1212.49029</v>
      </c>
      <c r="G36" s="101" t="s">
        <v>392</v>
      </c>
      <c r="H36" s="101">
        <f t="shared" si="1"/>
        <v>26</v>
      </c>
      <c r="J36" s="202"/>
    </row>
    <row r="37" spans="1:10">
      <c r="A37" s="101">
        <f t="shared" si="0"/>
        <v>27</v>
      </c>
      <c r="B37" s="194" t="s">
        <v>337</v>
      </c>
      <c r="E37" s="156">
        <v>-9790.5481500000005</v>
      </c>
      <c r="G37" s="101" t="s">
        <v>504</v>
      </c>
      <c r="H37" s="101">
        <f t="shared" si="1"/>
        <v>27</v>
      </c>
      <c r="J37" s="202"/>
    </row>
    <row r="38" spans="1:10">
      <c r="A38" s="101">
        <f t="shared" si="0"/>
        <v>28</v>
      </c>
      <c r="B38" s="194" t="s">
        <v>389</v>
      </c>
      <c r="E38" s="156">
        <v>0</v>
      </c>
      <c r="G38" s="217" t="s">
        <v>505</v>
      </c>
      <c r="H38" s="101">
        <f t="shared" si="1"/>
        <v>28</v>
      </c>
      <c r="J38" s="202"/>
    </row>
    <row r="39" spans="1:10">
      <c r="A39" s="101">
        <f t="shared" si="0"/>
        <v>29</v>
      </c>
      <c r="B39" s="194" t="s">
        <v>339</v>
      </c>
      <c r="E39" s="156">
        <v>-112.52861999999999</v>
      </c>
      <c r="G39" s="217" t="s">
        <v>506</v>
      </c>
      <c r="H39" s="101">
        <f t="shared" si="1"/>
        <v>29</v>
      </c>
      <c r="I39" s="380"/>
    </row>
    <row r="40" spans="1:10">
      <c r="A40" s="101">
        <f t="shared" si="0"/>
        <v>30</v>
      </c>
      <c r="B40" s="194" t="s">
        <v>390</v>
      </c>
      <c r="E40" s="156">
        <v>-127615.79129000001</v>
      </c>
      <c r="G40" s="101" t="s">
        <v>507</v>
      </c>
      <c r="H40" s="101">
        <f t="shared" si="1"/>
        <v>30</v>
      </c>
      <c r="I40" s="380"/>
      <c r="J40" s="202"/>
    </row>
    <row r="41" spans="1:10">
      <c r="A41" s="101">
        <f t="shared" si="0"/>
        <v>31</v>
      </c>
      <c r="B41" s="194" t="s">
        <v>341</v>
      </c>
      <c r="E41" s="156">
        <v>-39.414587415</v>
      </c>
      <c r="G41" s="217" t="s">
        <v>508</v>
      </c>
      <c r="H41" s="101">
        <f t="shared" si="1"/>
        <v>31</v>
      </c>
    </row>
    <row r="42" spans="1:10">
      <c r="A42" s="101">
        <f t="shared" si="0"/>
        <v>32</v>
      </c>
      <c r="B42" s="194" t="s">
        <v>338</v>
      </c>
      <c r="E42" s="156">
        <v>-205.81998999999999</v>
      </c>
      <c r="G42" s="217" t="s">
        <v>509</v>
      </c>
      <c r="H42" s="101">
        <f t="shared" si="1"/>
        <v>32</v>
      </c>
    </row>
    <row r="43" spans="1:10">
      <c r="A43" s="101">
        <f t="shared" si="0"/>
        <v>33</v>
      </c>
      <c r="B43" s="194" t="s">
        <v>342</v>
      </c>
      <c r="E43" s="156">
        <v>-250.33335</v>
      </c>
      <c r="G43" s="217" t="s">
        <v>510</v>
      </c>
      <c r="H43" s="101">
        <f t="shared" si="1"/>
        <v>33</v>
      </c>
    </row>
    <row r="44" spans="1:10">
      <c r="A44" s="101">
        <f t="shared" si="0"/>
        <v>34</v>
      </c>
      <c r="B44" s="98" t="s">
        <v>618</v>
      </c>
      <c r="E44" s="156">
        <v>-1040.0990000000002</v>
      </c>
      <c r="G44" s="101" t="s">
        <v>511</v>
      </c>
      <c r="H44" s="101">
        <f t="shared" si="1"/>
        <v>34</v>
      </c>
    </row>
    <row r="45" spans="1:10">
      <c r="A45" s="101">
        <f t="shared" si="0"/>
        <v>35</v>
      </c>
      <c r="B45" s="5" t="s">
        <v>499</v>
      </c>
      <c r="E45" s="637">
        <f>'Pg8.2 Rev AH-3'!L31</f>
        <v>1915.9580000000001</v>
      </c>
      <c r="F45" s="538" t="s">
        <v>417</v>
      </c>
      <c r="G45" s="101" t="s">
        <v>630</v>
      </c>
      <c r="H45" s="101">
        <f t="shared" si="1"/>
        <v>35</v>
      </c>
    </row>
    <row r="46" spans="1:10">
      <c r="A46" s="101">
        <f t="shared" si="0"/>
        <v>36</v>
      </c>
      <c r="B46" s="3" t="s">
        <v>230</v>
      </c>
      <c r="E46" s="638">
        <f>SUM(E31:E45)</f>
        <v>356847.6671913371</v>
      </c>
      <c r="F46" s="538" t="s">
        <v>417</v>
      </c>
      <c r="G46" s="101" t="s">
        <v>619</v>
      </c>
      <c r="H46" s="101">
        <f t="shared" si="1"/>
        <v>36</v>
      </c>
      <c r="J46" s="468"/>
    </row>
    <row r="47" spans="1:10">
      <c r="A47" s="101">
        <f t="shared" si="0"/>
        <v>37</v>
      </c>
      <c r="B47" s="3" t="s">
        <v>233</v>
      </c>
      <c r="E47" s="284">
        <v>-8305.6217899999992</v>
      </c>
      <c r="G47" s="101" t="s">
        <v>513</v>
      </c>
      <c r="H47" s="101">
        <f t="shared" si="1"/>
        <v>37</v>
      </c>
    </row>
    <row r="48" spans="1:10">
      <c r="A48" s="101">
        <f t="shared" si="0"/>
        <v>38</v>
      </c>
      <c r="B48" s="3" t="s">
        <v>229</v>
      </c>
      <c r="E48" s="638">
        <f>SUM(E46:E47)</f>
        <v>348542.04540133709</v>
      </c>
      <c r="F48" s="538" t="s">
        <v>417</v>
      </c>
      <c r="G48" s="101" t="s">
        <v>620</v>
      </c>
      <c r="H48" s="101">
        <f t="shared" si="1"/>
        <v>38</v>
      </c>
    </row>
    <row r="49" spans="1:9">
      <c r="A49" s="101">
        <f t="shared" si="0"/>
        <v>39</v>
      </c>
      <c r="B49" s="1" t="s">
        <v>8</v>
      </c>
      <c r="E49" s="639">
        <v>0.10143191236945187</v>
      </c>
      <c r="G49" s="200" t="s">
        <v>487</v>
      </c>
      <c r="H49" s="101">
        <f t="shared" si="1"/>
        <v>39</v>
      </c>
    </row>
    <row r="50" spans="1:9">
      <c r="A50" s="101">
        <f t="shared" si="0"/>
        <v>40</v>
      </c>
      <c r="B50" s="3" t="s">
        <v>231</v>
      </c>
      <c r="E50" s="640">
        <f>E48*E49</f>
        <v>35353.286206217941</v>
      </c>
      <c r="F50" s="538" t="s">
        <v>417</v>
      </c>
      <c r="G50" s="101" t="s">
        <v>621</v>
      </c>
      <c r="H50" s="101">
        <f t="shared" si="1"/>
        <v>40</v>
      </c>
    </row>
    <row r="51" spans="1:9">
      <c r="A51" s="101">
        <f t="shared" si="0"/>
        <v>41</v>
      </c>
      <c r="B51" s="98" t="s">
        <v>32</v>
      </c>
      <c r="E51" s="641">
        <f>E71*(-E47)</f>
        <v>3307.281683578949</v>
      </c>
      <c r="G51" s="101" t="s">
        <v>622</v>
      </c>
      <c r="H51" s="101">
        <f t="shared" si="1"/>
        <v>41</v>
      </c>
    </row>
    <row r="52" spans="1:9" ht="16.5" thickBot="1">
      <c r="A52" s="101">
        <f t="shared" si="0"/>
        <v>42</v>
      </c>
      <c r="B52" s="194" t="s">
        <v>232</v>
      </c>
      <c r="E52" s="642">
        <f>E51+E50</f>
        <v>38660.56788979689</v>
      </c>
      <c r="F52" s="538" t="s">
        <v>417</v>
      </c>
      <c r="G52" s="101" t="s">
        <v>623</v>
      </c>
      <c r="H52" s="101">
        <f t="shared" si="1"/>
        <v>42</v>
      </c>
      <c r="I52" s="194"/>
    </row>
    <row r="53" spans="1:9" ht="16.5" thickTop="1">
      <c r="A53" s="101">
        <f t="shared" si="0"/>
        <v>43</v>
      </c>
      <c r="B53" s="203"/>
      <c r="E53" s="204"/>
      <c r="G53" s="101"/>
      <c r="H53" s="101">
        <f t="shared" si="1"/>
        <v>43</v>
      </c>
    </row>
    <row r="54" spans="1:9">
      <c r="A54" s="101">
        <f t="shared" si="0"/>
        <v>44</v>
      </c>
      <c r="B54" s="4" t="s">
        <v>22</v>
      </c>
      <c r="E54" s="205"/>
      <c r="G54" s="101"/>
      <c r="H54" s="101">
        <f t="shared" si="1"/>
        <v>44</v>
      </c>
    </row>
    <row r="55" spans="1:9">
      <c r="A55" s="101">
        <f t="shared" si="0"/>
        <v>45</v>
      </c>
      <c r="B55" s="3" t="s">
        <v>353</v>
      </c>
      <c r="E55" s="206">
        <v>6197907.0110930772</v>
      </c>
      <c r="F55" s="538"/>
      <c r="G55" s="101" t="s">
        <v>518</v>
      </c>
      <c r="H55" s="101">
        <f t="shared" si="1"/>
        <v>45</v>
      </c>
    </row>
    <row r="56" spans="1:9">
      <c r="A56" s="101">
        <f t="shared" si="0"/>
        <v>46</v>
      </c>
      <c r="B56" s="3" t="s">
        <v>9</v>
      </c>
      <c r="E56" s="207">
        <v>0</v>
      </c>
      <c r="G56" s="101" t="s">
        <v>23</v>
      </c>
      <c r="H56" s="101">
        <f t="shared" si="1"/>
        <v>46</v>
      </c>
    </row>
    <row r="57" spans="1:9">
      <c r="A57" s="101">
        <f t="shared" si="0"/>
        <v>47</v>
      </c>
      <c r="B57" s="3" t="s">
        <v>10</v>
      </c>
      <c r="E57" s="208">
        <v>46899.099622544018</v>
      </c>
      <c r="F57" s="538"/>
      <c r="G57" s="209" t="s">
        <v>519</v>
      </c>
      <c r="H57" s="101">
        <f t="shared" si="1"/>
        <v>47</v>
      </c>
    </row>
    <row r="58" spans="1:9">
      <c r="A58" s="101">
        <f t="shared" si="0"/>
        <v>48</v>
      </c>
      <c r="B58" s="3" t="s">
        <v>11</v>
      </c>
      <c r="E58" s="643">
        <v>105080.18864726061</v>
      </c>
      <c r="F58" s="538"/>
      <c r="G58" s="209" t="s">
        <v>520</v>
      </c>
      <c r="H58" s="101">
        <f t="shared" si="1"/>
        <v>48</v>
      </c>
    </row>
    <row r="59" spans="1:9" ht="16.5" thickBot="1">
      <c r="A59" s="101">
        <f t="shared" si="0"/>
        <v>49</v>
      </c>
      <c r="B59" s="3" t="s">
        <v>24</v>
      </c>
      <c r="E59" s="644">
        <f>SUM(E55:E58)</f>
        <v>6349886.299362882</v>
      </c>
      <c r="F59" s="538"/>
      <c r="G59" s="101" t="s">
        <v>624</v>
      </c>
      <c r="H59" s="101">
        <f t="shared" si="1"/>
        <v>49</v>
      </c>
      <c r="I59" s="194"/>
    </row>
    <row r="60" spans="1:9" ht="16.5" thickTop="1">
      <c r="A60" s="101">
        <f t="shared" si="0"/>
        <v>50</v>
      </c>
      <c r="B60" s="203"/>
      <c r="E60" s="193"/>
      <c r="G60" s="101"/>
      <c r="H60" s="101">
        <f t="shared" si="1"/>
        <v>50</v>
      </c>
    </row>
    <row r="61" spans="1:9">
      <c r="A61" s="101">
        <f t="shared" si="0"/>
        <v>51</v>
      </c>
      <c r="B61" s="3" t="s">
        <v>352</v>
      </c>
      <c r="E61" s="210">
        <f>E55</f>
        <v>6197907.0110930772</v>
      </c>
      <c r="F61" s="538"/>
      <c r="G61" s="163" t="s">
        <v>625</v>
      </c>
      <c r="H61" s="101">
        <f t="shared" si="1"/>
        <v>51</v>
      </c>
    </row>
    <row r="62" spans="1:9">
      <c r="A62" s="101">
        <f t="shared" si="0"/>
        <v>52</v>
      </c>
      <c r="B62" s="3" t="s">
        <v>25</v>
      </c>
      <c r="E62" s="211">
        <v>549685.71425000008</v>
      </c>
      <c r="F62" s="538"/>
      <c r="G62" s="209" t="s">
        <v>523</v>
      </c>
      <c r="H62" s="101">
        <f t="shared" si="1"/>
        <v>52</v>
      </c>
    </row>
    <row r="63" spans="1:9">
      <c r="A63" s="101">
        <f t="shared" si="0"/>
        <v>53</v>
      </c>
      <c r="B63" s="3" t="s">
        <v>26</v>
      </c>
      <c r="E63" s="207">
        <v>0</v>
      </c>
      <c r="G63" s="101" t="s">
        <v>23</v>
      </c>
      <c r="H63" s="101">
        <f t="shared" si="1"/>
        <v>53</v>
      </c>
    </row>
    <row r="64" spans="1:9">
      <c r="A64" s="101">
        <f t="shared" si="0"/>
        <v>54</v>
      </c>
      <c r="B64" s="3" t="s">
        <v>27</v>
      </c>
      <c r="E64" s="211">
        <v>523339.62325846136</v>
      </c>
      <c r="F64" s="538"/>
      <c r="G64" s="209" t="s">
        <v>524</v>
      </c>
      <c r="H64" s="101">
        <f t="shared" si="1"/>
        <v>54</v>
      </c>
    </row>
    <row r="65" spans="1:9">
      <c r="A65" s="101">
        <f t="shared" si="0"/>
        <v>55</v>
      </c>
      <c r="B65" s="3" t="s">
        <v>28</v>
      </c>
      <c r="E65" s="211">
        <v>7177286.0903050005</v>
      </c>
      <c r="F65" s="538"/>
      <c r="G65" s="209" t="s">
        <v>525</v>
      </c>
      <c r="H65" s="101">
        <f t="shared" si="1"/>
        <v>55</v>
      </c>
    </row>
    <row r="66" spans="1:9">
      <c r="A66" s="101">
        <f t="shared" si="0"/>
        <v>56</v>
      </c>
      <c r="B66" s="194" t="s">
        <v>9</v>
      </c>
      <c r="E66" s="207">
        <v>0</v>
      </c>
      <c r="G66" s="101" t="s">
        <v>23</v>
      </c>
      <c r="H66" s="101">
        <f t="shared" si="1"/>
        <v>56</v>
      </c>
    </row>
    <row r="67" spans="1:9">
      <c r="A67" s="101">
        <f t="shared" si="0"/>
        <v>57</v>
      </c>
      <c r="B67" s="3" t="s">
        <v>29</v>
      </c>
      <c r="E67" s="211">
        <v>462370.25928999996</v>
      </c>
      <c r="F67" s="538"/>
      <c r="G67" s="209" t="s">
        <v>526</v>
      </c>
      <c r="H67" s="101">
        <f t="shared" si="1"/>
        <v>57</v>
      </c>
    </row>
    <row r="68" spans="1:9">
      <c r="A68" s="101">
        <f t="shared" si="0"/>
        <v>58</v>
      </c>
      <c r="B68" s="3" t="s">
        <v>30</v>
      </c>
      <c r="E68" s="645">
        <v>1035967.7363128124</v>
      </c>
      <c r="F68" s="538"/>
      <c r="G68" s="209" t="s">
        <v>527</v>
      </c>
      <c r="H68" s="101">
        <f t="shared" si="1"/>
        <v>58</v>
      </c>
    </row>
    <row r="69" spans="1:9" ht="16.5" thickBot="1">
      <c r="A69" s="101">
        <f t="shared" si="0"/>
        <v>59</v>
      </c>
      <c r="B69" s="3" t="s">
        <v>31</v>
      </c>
      <c r="E69" s="646">
        <f>SUM(E61:E68)</f>
        <v>15946556.434509352</v>
      </c>
      <c r="F69" s="538"/>
      <c r="G69" s="101" t="s">
        <v>626</v>
      </c>
      <c r="H69" s="101">
        <f t="shared" si="1"/>
        <v>59</v>
      </c>
      <c r="I69" s="194"/>
    </row>
    <row r="70" spans="1:9" ht="16.5" thickTop="1">
      <c r="A70" s="101">
        <f t="shared" si="0"/>
        <v>60</v>
      </c>
      <c r="E70" s="673"/>
      <c r="G70" s="101"/>
      <c r="H70" s="101">
        <f t="shared" si="1"/>
        <v>60</v>
      </c>
    </row>
    <row r="71" spans="1:9" ht="19.5" thickBot="1">
      <c r="A71" s="101">
        <f t="shared" si="0"/>
        <v>61</v>
      </c>
      <c r="B71" s="3" t="s">
        <v>351</v>
      </c>
      <c r="E71" s="212">
        <f>E59/E69</f>
        <v>0.39819796364444732</v>
      </c>
      <c r="F71" s="538"/>
      <c r="G71" s="101" t="s">
        <v>627</v>
      </c>
      <c r="H71" s="101">
        <f t="shared" si="1"/>
        <v>61</v>
      </c>
      <c r="I71" s="194"/>
    </row>
    <row r="72" spans="1:9" ht="16.5" thickTop="1">
      <c r="B72" s="194" t="s">
        <v>7</v>
      </c>
      <c r="E72" s="213"/>
      <c r="G72" s="101"/>
      <c r="H72" s="101"/>
    </row>
    <row r="73" spans="1:9">
      <c r="B73" s="194"/>
      <c r="E73" s="213"/>
      <c r="G73" s="101"/>
      <c r="H73" s="101"/>
    </row>
    <row r="74" spans="1:9">
      <c r="A74" s="538" t="s">
        <v>417</v>
      </c>
      <c r="B74" s="5" t="str">
        <f>'Pg2 App XII C3 Comparison'!B57</f>
        <v xml:space="preserve">Items in bold have changed due to A&amp;G adj. on WMPMA exclusion reversal compared to the original SX-PQ Appendix XII Cycle 3 filing per ER21-320 and cost adjustments </v>
      </c>
      <c r="E74" s="213"/>
      <c r="F74" s="213"/>
      <c r="G74" s="101"/>
      <c r="H74" s="101"/>
    </row>
    <row r="75" spans="1:9">
      <c r="A75" s="538"/>
      <c r="B75" s="5" t="str">
        <f>'Pg2 App XII C3 Comparison'!B58</f>
        <v xml:space="preserve">included in Appendix XII Cycle 4 per ER22-133.  </v>
      </c>
      <c r="E75" s="213"/>
      <c r="F75" s="213"/>
      <c r="G75" s="101"/>
      <c r="H75" s="101"/>
    </row>
    <row r="76" spans="1:9" ht="18.75">
      <c r="A76" s="214">
        <v>1</v>
      </c>
      <c r="B76" s="3" t="s">
        <v>530</v>
      </c>
      <c r="H76" s="101"/>
    </row>
    <row r="77" spans="1:9">
      <c r="B77" s="194"/>
      <c r="E77" s="186"/>
      <c r="F77" s="186"/>
      <c r="G77" s="101"/>
      <c r="H77" s="101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CF64-7B25-4C9C-8636-67FD7F50FE80}">
  <sheetPr>
    <pageSetUpPr fitToPage="1"/>
  </sheetPr>
  <dimension ref="A1:J75"/>
  <sheetViews>
    <sheetView zoomScale="80" zoomScaleNormal="80" workbookViewId="0"/>
  </sheetViews>
  <sheetFormatPr defaultColWidth="8.85546875" defaultRowHeight="15.75"/>
  <cols>
    <col min="1" max="1" width="5.140625" style="101" bestFit="1" customWidth="1"/>
    <col min="2" max="2" width="80.5703125" style="98" customWidth="1"/>
    <col min="3" max="3" width="21.140625" style="98" customWidth="1"/>
    <col min="4" max="4" width="1.5703125" style="98" customWidth="1"/>
    <col min="5" max="5" width="16.85546875" style="98" customWidth="1"/>
    <col min="6" max="6" width="1.5703125" style="98" customWidth="1"/>
    <col min="7" max="7" width="53.85546875" style="98" customWidth="1"/>
    <col min="8" max="8" width="5.140625" style="98" customWidth="1"/>
    <col min="9" max="9" width="8.85546875" style="98"/>
    <col min="10" max="10" width="20.42578125" style="98" bestFit="1" customWidth="1"/>
    <col min="11" max="16384" width="8.85546875" style="98"/>
  </cols>
  <sheetData>
    <row r="1" spans="1:8">
      <c r="A1" s="605" t="s">
        <v>531</v>
      </c>
    </row>
    <row r="2" spans="1:8">
      <c r="G2" s="255"/>
      <c r="H2" s="101"/>
    </row>
    <row r="3" spans="1:8">
      <c r="B3" s="784" t="s">
        <v>12</v>
      </c>
      <c r="C3" s="784"/>
      <c r="D3" s="784"/>
      <c r="E3" s="784"/>
      <c r="F3" s="784"/>
      <c r="G3" s="784"/>
      <c r="H3" s="101"/>
    </row>
    <row r="4" spans="1:8">
      <c r="B4" s="784" t="s">
        <v>398</v>
      </c>
      <c r="C4" s="784"/>
      <c r="D4" s="784"/>
      <c r="E4" s="784"/>
      <c r="F4" s="784"/>
      <c r="G4" s="784"/>
      <c r="H4" s="101"/>
    </row>
    <row r="5" spans="1:8">
      <c r="B5" s="784" t="s">
        <v>20</v>
      </c>
      <c r="C5" s="784"/>
      <c r="D5" s="784"/>
      <c r="E5" s="784"/>
      <c r="F5" s="784"/>
      <c r="G5" s="784"/>
      <c r="H5" s="101"/>
    </row>
    <row r="6" spans="1:8">
      <c r="B6" s="787" t="s">
        <v>445</v>
      </c>
      <c r="C6" s="787"/>
      <c r="D6" s="787"/>
      <c r="E6" s="787"/>
      <c r="F6" s="787"/>
      <c r="G6" s="787"/>
      <c r="H6" s="101"/>
    </row>
    <row r="7" spans="1:8">
      <c r="B7" s="786" t="s">
        <v>1</v>
      </c>
      <c r="C7" s="788"/>
      <c r="D7" s="788"/>
      <c r="E7" s="788"/>
      <c r="F7" s="788"/>
      <c r="G7" s="788"/>
      <c r="H7" s="101"/>
    </row>
    <row r="8" spans="1:8">
      <c r="B8" s="101"/>
      <c r="C8" s="101"/>
      <c r="D8" s="101"/>
      <c r="E8" s="197"/>
      <c r="F8" s="197"/>
      <c r="G8" s="101"/>
      <c r="H8" s="101"/>
    </row>
    <row r="9" spans="1:8">
      <c r="A9" s="101" t="s">
        <v>2</v>
      </c>
      <c r="B9" s="183"/>
      <c r="C9" s="101" t="s">
        <v>159</v>
      </c>
      <c r="D9" s="183"/>
      <c r="E9" s="198"/>
      <c r="F9" s="198"/>
      <c r="G9" s="101"/>
      <c r="H9" s="101" t="s">
        <v>2</v>
      </c>
    </row>
    <row r="10" spans="1:8">
      <c r="A10" s="101" t="s">
        <v>14</v>
      </c>
      <c r="C10" s="418" t="s">
        <v>160</v>
      </c>
      <c r="D10" s="183"/>
      <c r="E10" s="633" t="s">
        <v>21</v>
      </c>
      <c r="F10" s="198"/>
      <c r="G10" s="418" t="s">
        <v>6</v>
      </c>
      <c r="H10" s="101" t="s">
        <v>14</v>
      </c>
    </row>
    <row r="11" spans="1:8">
      <c r="C11" s="183"/>
      <c r="D11" s="183"/>
      <c r="E11" s="198"/>
      <c r="F11" s="198"/>
      <c r="G11" s="101"/>
      <c r="H11" s="101"/>
    </row>
    <row r="12" spans="1:8">
      <c r="A12" s="101">
        <v>1</v>
      </c>
      <c r="B12" s="13" t="s">
        <v>176</v>
      </c>
      <c r="C12" s="183"/>
      <c r="D12" s="183"/>
      <c r="E12" s="198"/>
      <c r="F12" s="198"/>
      <c r="G12" s="101"/>
      <c r="H12" s="101">
        <f>A12</f>
        <v>1</v>
      </c>
    </row>
    <row r="13" spans="1:8">
      <c r="A13" s="101">
        <f>+A12+1</f>
        <v>2</v>
      </c>
      <c r="B13" s="10" t="s">
        <v>102</v>
      </c>
      <c r="C13" s="183"/>
      <c r="D13" s="183"/>
      <c r="E13" s="195">
        <v>0</v>
      </c>
      <c r="F13" s="198"/>
      <c r="G13" s="101" t="s">
        <v>488</v>
      </c>
      <c r="H13" s="101">
        <f>H12+1</f>
        <v>2</v>
      </c>
    </row>
    <row r="14" spans="1:8">
      <c r="A14" s="101">
        <f t="shared" ref="A14:A71" si="0">+A13+1</f>
        <v>3</v>
      </c>
      <c r="C14" s="183"/>
      <c r="D14" s="183"/>
      <c r="E14" s="198"/>
      <c r="F14" s="198"/>
      <c r="G14" s="101"/>
      <c r="H14" s="101">
        <f t="shared" ref="H14:H71" si="1">H13+1</f>
        <v>3</v>
      </c>
    </row>
    <row r="15" spans="1:8">
      <c r="A15" s="101">
        <f t="shared" si="0"/>
        <v>4</v>
      </c>
      <c r="B15" s="13" t="s">
        <v>177</v>
      </c>
      <c r="G15" s="101"/>
      <c r="H15" s="101">
        <f t="shared" si="1"/>
        <v>4</v>
      </c>
    </row>
    <row r="16" spans="1:8">
      <c r="A16" s="101">
        <f t="shared" si="0"/>
        <v>5</v>
      </c>
      <c r="B16" s="1" t="s">
        <v>223</v>
      </c>
      <c r="C16" s="101"/>
      <c r="E16" s="195">
        <v>96482.821710000004</v>
      </c>
      <c r="G16" s="101" t="s">
        <v>489</v>
      </c>
      <c r="H16" s="101">
        <f t="shared" si="1"/>
        <v>5</v>
      </c>
    </row>
    <row r="17" spans="1:8">
      <c r="A17" s="101">
        <f t="shared" si="0"/>
        <v>6</v>
      </c>
      <c r="B17" s="3" t="s">
        <v>224</v>
      </c>
      <c r="E17" s="177"/>
      <c r="G17" s="101"/>
      <c r="H17" s="101">
        <f t="shared" si="1"/>
        <v>6</v>
      </c>
    </row>
    <row r="18" spans="1:8">
      <c r="A18" s="101">
        <f t="shared" si="0"/>
        <v>7</v>
      </c>
      <c r="B18" s="1" t="s">
        <v>327</v>
      </c>
      <c r="C18" s="101"/>
      <c r="E18" s="156">
        <v>-5093.2442599999995</v>
      </c>
      <c r="G18" s="101" t="s">
        <v>490</v>
      </c>
      <c r="H18" s="101">
        <f t="shared" si="1"/>
        <v>7</v>
      </c>
    </row>
    <row r="19" spans="1:8">
      <c r="A19" s="101">
        <f t="shared" si="0"/>
        <v>8</v>
      </c>
      <c r="B19" s="1" t="s">
        <v>328</v>
      </c>
      <c r="E19" s="156">
        <v>-2418.7412800000002</v>
      </c>
      <c r="G19" s="101" t="s">
        <v>491</v>
      </c>
      <c r="H19" s="101">
        <f t="shared" si="1"/>
        <v>8</v>
      </c>
    </row>
    <row r="20" spans="1:8">
      <c r="A20" s="101">
        <f t="shared" si="0"/>
        <v>9</v>
      </c>
      <c r="B20" s="10" t="s">
        <v>329</v>
      </c>
      <c r="E20" s="156">
        <v>-6283.7089999999998</v>
      </c>
      <c r="G20" s="101" t="s">
        <v>492</v>
      </c>
      <c r="H20" s="101">
        <f t="shared" si="1"/>
        <v>9</v>
      </c>
    </row>
    <row r="21" spans="1:8">
      <c r="A21" s="101">
        <f t="shared" si="0"/>
        <v>10</v>
      </c>
      <c r="B21" s="10" t="s">
        <v>330</v>
      </c>
      <c r="E21" s="156">
        <v>-8316.0300000000007</v>
      </c>
      <c r="G21" s="101" t="s">
        <v>493</v>
      </c>
      <c r="H21" s="101">
        <f t="shared" si="1"/>
        <v>10</v>
      </c>
    </row>
    <row r="22" spans="1:8">
      <c r="A22" s="101">
        <f t="shared" si="0"/>
        <v>11</v>
      </c>
      <c r="B22" s="1" t="s">
        <v>332</v>
      </c>
      <c r="E22" s="156">
        <v>0</v>
      </c>
      <c r="G22" s="101" t="s">
        <v>494</v>
      </c>
      <c r="H22" s="101">
        <f t="shared" si="1"/>
        <v>11</v>
      </c>
    </row>
    <row r="23" spans="1:8">
      <c r="A23" s="101">
        <f t="shared" si="0"/>
        <v>12</v>
      </c>
      <c r="B23" s="1" t="s">
        <v>331</v>
      </c>
      <c r="E23" s="156">
        <v>-3186.0456599999998</v>
      </c>
      <c r="G23" s="101" t="s">
        <v>495</v>
      </c>
      <c r="H23" s="101">
        <f t="shared" si="1"/>
        <v>12</v>
      </c>
    </row>
    <row r="24" spans="1:8">
      <c r="A24" s="101">
        <f t="shared" si="0"/>
        <v>13</v>
      </c>
      <c r="B24" s="10" t="s">
        <v>333</v>
      </c>
      <c r="E24" s="156">
        <v>-16048.173000000001</v>
      </c>
      <c r="G24" s="101" t="s">
        <v>496</v>
      </c>
      <c r="H24" s="101">
        <f t="shared" si="1"/>
        <v>13</v>
      </c>
    </row>
    <row r="25" spans="1:8">
      <c r="A25" s="101">
        <f t="shared" si="0"/>
        <v>14</v>
      </c>
      <c r="B25" s="10" t="s">
        <v>334</v>
      </c>
      <c r="E25" s="156">
        <v>-18139.88</v>
      </c>
      <c r="G25" s="101" t="s">
        <v>497</v>
      </c>
      <c r="H25" s="101">
        <f t="shared" si="1"/>
        <v>14</v>
      </c>
    </row>
    <row r="26" spans="1:8">
      <c r="A26" s="101">
        <f t="shared" si="0"/>
        <v>15</v>
      </c>
      <c r="B26" s="10" t="s">
        <v>335</v>
      </c>
      <c r="E26" s="156">
        <v>-720.00900000000001</v>
      </c>
      <c r="G26" s="101" t="s">
        <v>498</v>
      </c>
      <c r="H26" s="101">
        <f t="shared" si="1"/>
        <v>15</v>
      </c>
    </row>
    <row r="27" spans="1:8">
      <c r="A27" s="101">
        <f t="shared" si="0"/>
        <v>16</v>
      </c>
      <c r="B27" s="1" t="s">
        <v>225</v>
      </c>
      <c r="E27" s="634">
        <v>-132.11562000000001</v>
      </c>
      <c r="G27" s="101" t="s">
        <v>400</v>
      </c>
      <c r="H27" s="101">
        <f t="shared" si="1"/>
        <v>16</v>
      </c>
    </row>
    <row r="28" spans="1:8">
      <c r="A28" s="101">
        <f t="shared" si="0"/>
        <v>17</v>
      </c>
      <c r="B28" s="98" t="s">
        <v>618</v>
      </c>
      <c r="E28" s="635">
        <v>-2294.73</v>
      </c>
      <c r="F28" s="538" t="s">
        <v>417</v>
      </c>
      <c r="G28" s="101" t="s">
        <v>500</v>
      </c>
      <c r="H28" s="101">
        <f t="shared" si="1"/>
        <v>17</v>
      </c>
    </row>
    <row r="29" spans="1:8">
      <c r="A29" s="101">
        <f t="shared" si="0"/>
        <v>18</v>
      </c>
      <c r="B29" s="1" t="s">
        <v>226</v>
      </c>
      <c r="E29" s="636">
        <f>SUM(E16:E28)</f>
        <v>33850.143890000007</v>
      </c>
      <c r="F29" s="538" t="s">
        <v>417</v>
      </c>
      <c r="G29" s="200" t="s">
        <v>501</v>
      </c>
      <c r="H29" s="101">
        <f t="shared" si="1"/>
        <v>18</v>
      </c>
    </row>
    <row r="30" spans="1:8">
      <c r="A30" s="101">
        <f t="shared" si="0"/>
        <v>19</v>
      </c>
      <c r="E30" s="92"/>
      <c r="H30" s="101">
        <f t="shared" si="1"/>
        <v>19</v>
      </c>
    </row>
    <row r="31" spans="1:8">
      <c r="A31" s="101">
        <f t="shared" si="0"/>
        <v>20</v>
      </c>
      <c r="B31" s="14" t="s">
        <v>178</v>
      </c>
      <c r="E31" s="201"/>
      <c r="G31" s="101"/>
      <c r="H31" s="101">
        <f t="shared" si="1"/>
        <v>20</v>
      </c>
    </row>
    <row r="32" spans="1:8">
      <c r="A32" s="101">
        <f t="shared" si="0"/>
        <v>21</v>
      </c>
      <c r="B32" s="3" t="s">
        <v>227</v>
      </c>
      <c r="C32" s="101"/>
      <c r="E32" s="195">
        <v>498407.32565000001</v>
      </c>
      <c r="G32" s="101" t="s">
        <v>502</v>
      </c>
      <c r="H32" s="101">
        <f t="shared" si="1"/>
        <v>21</v>
      </c>
    </row>
    <row r="33" spans="1:10">
      <c r="A33" s="101">
        <f t="shared" si="0"/>
        <v>22</v>
      </c>
      <c r="B33" s="3" t="s">
        <v>228</v>
      </c>
      <c r="E33" s="201" t="s">
        <v>7</v>
      </c>
      <c r="G33" s="101"/>
      <c r="H33" s="101">
        <f t="shared" si="1"/>
        <v>22</v>
      </c>
    </row>
    <row r="34" spans="1:10">
      <c r="A34" s="101">
        <f t="shared" si="0"/>
        <v>23</v>
      </c>
      <c r="B34" s="194" t="s">
        <v>388</v>
      </c>
      <c r="E34" s="156">
        <v>-576.97162999999989</v>
      </c>
      <c r="G34" s="101" t="s">
        <v>391</v>
      </c>
      <c r="H34" s="101">
        <f t="shared" si="1"/>
        <v>23</v>
      </c>
      <c r="I34" s="380"/>
      <c r="J34" s="202"/>
    </row>
    <row r="35" spans="1:10" ht="31.5">
      <c r="A35" s="101">
        <f t="shared" si="0"/>
        <v>24</v>
      </c>
      <c r="B35" s="194" t="s">
        <v>340</v>
      </c>
      <c r="E35" s="156">
        <v>-2631.6195512479999</v>
      </c>
      <c r="G35" s="217" t="s">
        <v>503</v>
      </c>
      <c r="H35" s="101">
        <f t="shared" si="1"/>
        <v>24</v>
      </c>
      <c r="I35" s="380"/>
      <c r="J35" s="202"/>
    </row>
    <row r="36" spans="1:10">
      <c r="A36" s="101">
        <f t="shared" si="0"/>
        <v>25</v>
      </c>
      <c r="B36" s="194" t="s">
        <v>173</v>
      </c>
      <c r="E36" s="156">
        <v>0</v>
      </c>
      <c r="G36" s="101" t="s">
        <v>393</v>
      </c>
      <c r="H36" s="101">
        <f t="shared" si="1"/>
        <v>25</v>
      </c>
    </row>
    <row r="37" spans="1:10">
      <c r="A37" s="101">
        <f t="shared" si="0"/>
        <v>26</v>
      </c>
      <c r="B37" s="194" t="s">
        <v>336</v>
      </c>
      <c r="E37" s="156">
        <v>-1212.49029</v>
      </c>
      <c r="G37" s="101" t="s">
        <v>392</v>
      </c>
      <c r="H37" s="101">
        <f t="shared" si="1"/>
        <v>26</v>
      </c>
      <c r="J37" s="202"/>
    </row>
    <row r="38" spans="1:10">
      <c r="A38" s="101">
        <f t="shared" si="0"/>
        <v>27</v>
      </c>
      <c r="B38" s="194" t="s">
        <v>337</v>
      </c>
      <c r="E38" s="156">
        <v>-9790.5481500000005</v>
      </c>
      <c r="G38" s="101" t="s">
        <v>504</v>
      </c>
      <c r="H38" s="101">
        <f t="shared" si="1"/>
        <v>27</v>
      </c>
      <c r="J38" s="202"/>
    </row>
    <row r="39" spans="1:10">
      <c r="A39" s="101">
        <f t="shared" si="0"/>
        <v>28</v>
      </c>
      <c r="B39" s="194" t="s">
        <v>389</v>
      </c>
      <c r="E39" s="156">
        <v>0</v>
      </c>
      <c r="G39" s="217" t="s">
        <v>505</v>
      </c>
      <c r="H39" s="101">
        <f t="shared" si="1"/>
        <v>28</v>
      </c>
      <c r="J39" s="202"/>
    </row>
    <row r="40" spans="1:10">
      <c r="A40" s="101">
        <f t="shared" si="0"/>
        <v>29</v>
      </c>
      <c r="B40" s="194" t="s">
        <v>339</v>
      </c>
      <c r="E40" s="156">
        <v>-112.52861999999999</v>
      </c>
      <c r="G40" s="217" t="s">
        <v>506</v>
      </c>
      <c r="H40" s="101">
        <f t="shared" si="1"/>
        <v>29</v>
      </c>
      <c r="I40" s="380"/>
    </row>
    <row r="41" spans="1:10">
      <c r="A41" s="101">
        <f t="shared" si="0"/>
        <v>30</v>
      </c>
      <c r="B41" s="194" t="s">
        <v>390</v>
      </c>
      <c r="E41" s="156">
        <v>-127615.79129000001</v>
      </c>
      <c r="G41" s="101" t="s">
        <v>507</v>
      </c>
      <c r="H41" s="101">
        <f t="shared" si="1"/>
        <v>30</v>
      </c>
      <c r="I41" s="380"/>
      <c r="J41" s="202"/>
    </row>
    <row r="42" spans="1:10">
      <c r="A42" s="101">
        <f t="shared" si="0"/>
        <v>31</v>
      </c>
      <c r="B42" s="194" t="s">
        <v>341</v>
      </c>
      <c r="E42" s="156">
        <v>-39.414587415</v>
      </c>
      <c r="G42" s="217" t="s">
        <v>508</v>
      </c>
      <c r="H42" s="101">
        <f t="shared" si="1"/>
        <v>31</v>
      </c>
    </row>
    <row r="43" spans="1:10">
      <c r="A43" s="101">
        <f t="shared" si="0"/>
        <v>32</v>
      </c>
      <c r="B43" s="194" t="s">
        <v>338</v>
      </c>
      <c r="E43" s="156">
        <v>-205.81998999999999</v>
      </c>
      <c r="G43" s="217" t="s">
        <v>509</v>
      </c>
      <c r="H43" s="101">
        <f t="shared" si="1"/>
        <v>32</v>
      </c>
    </row>
    <row r="44" spans="1:10">
      <c r="A44" s="101">
        <f t="shared" si="0"/>
        <v>33</v>
      </c>
      <c r="B44" s="194" t="s">
        <v>342</v>
      </c>
      <c r="E44" s="156">
        <v>-250.33335</v>
      </c>
      <c r="G44" s="217" t="s">
        <v>510</v>
      </c>
      <c r="H44" s="101">
        <f t="shared" si="1"/>
        <v>33</v>
      </c>
    </row>
    <row r="45" spans="1:10">
      <c r="A45" s="101">
        <f t="shared" si="0"/>
        <v>34</v>
      </c>
      <c r="B45" s="98" t="s">
        <v>499</v>
      </c>
      <c r="E45" s="637">
        <v>-1040.0990000000002</v>
      </c>
      <c r="F45" s="538" t="s">
        <v>417</v>
      </c>
      <c r="G45" s="101" t="s">
        <v>511</v>
      </c>
      <c r="H45" s="101">
        <f t="shared" si="1"/>
        <v>34</v>
      </c>
    </row>
    <row r="46" spans="1:10">
      <c r="A46" s="101">
        <f t="shared" si="0"/>
        <v>35</v>
      </c>
      <c r="B46" s="3" t="s">
        <v>230</v>
      </c>
      <c r="E46" s="638">
        <f>SUM(E32:E45)</f>
        <v>354931.70919133711</v>
      </c>
      <c r="F46" s="538" t="s">
        <v>417</v>
      </c>
      <c r="G46" s="101" t="s">
        <v>512</v>
      </c>
      <c r="H46" s="101">
        <f t="shared" si="1"/>
        <v>35</v>
      </c>
    </row>
    <row r="47" spans="1:10">
      <c r="A47" s="101">
        <f t="shared" si="0"/>
        <v>36</v>
      </c>
      <c r="B47" s="3" t="s">
        <v>233</v>
      </c>
      <c r="E47" s="284">
        <v>-8305.6217899999992</v>
      </c>
      <c r="G47" s="101" t="s">
        <v>513</v>
      </c>
      <c r="H47" s="101">
        <f t="shared" si="1"/>
        <v>36</v>
      </c>
    </row>
    <row r="48" spans="1:10">
      <c r="A48" s="101">
        <f t="shared" si="0"/>
        <v>37</v>
      </c>
      <c r="B48" s="3" t="s">
        <v>229</v>
      </c>
      <c r="E48" s="638">
        <f>SUM(E46:E47)</f>
        <v>346626.08740133711</v>
      </c>
      <c r="F48" s="538" t="s">
        <v>417</v>
      </c>
      <c r="G48" s="101" t="s">
        <v>514</v>
      </c>
      <c r="H48" s="101">
        <f t="shared" si="1"/>
        <v>37</v>
      </c>
    </row>
    <row r="49" spans="1:9">
      <c r="A49" s="101">
        <f t="shared" si="0"/>
        <v>38</v>
      </c>
      <c r="B49" s="1" t="s">
        <v>8</v>
      </c>
      <c r="E49" s="639">
        <v>0.10143191236945187</v>
      </c>
      <c r="G49" s="200" t="s">
        <v>487</v>
      </c>
      <c r="H49" s="101">
        <f t="shared" si="1"/>
        <v>38</v>
      </c>
    </row>
    <row r="50" spans="1:9">
      <c r="A50" s="101">
        <f t="shared" si="0"/>
        <v>39</v>
      </c>
      <c r="B50" s="3" t="s">
        <v>231</v>
      </c>
      <c r="E50" s="640">
        <f>E48*E49</f>
        <v>35158.946922258394</v>
      </c>
      <c r="F50" s="538" t="s">
        <v>417</v>
      </c>
      <c r="G50" s="101" t="s">
        <v>515</v>
      </c>
      <c r="H50" s="101">
        <f t="shared" si="1"/>
        <v>39</v>
      </c>
    </row>
    <row r="51" spans="1:9">
      <c r="A51" s="101">
        <f t="shared" si="0"/>
        <v>40</v>
      </c>
      <c r="B51" s="98" t="s">
        <v>32</v>
      </c>
      <c r="E51" s="641">
        <f>E71*(-E47)</f>
        <v>3307.281683578949</v>
      </c>
      <c r="G51" s="101" t="s">
        <v>516</v>
      </c>
      <c r="H51" s="101">
        <f t="shared" si="1"/>
        <v>40</v>
      </c>
    </row>
    <row r="52" spans="1:9" ht="16.5" thickBot="1">
      <c r="A52" s="101">
        <f t="shared" si="0"/>
        <v>41</v>
      </c>
      <c r="B52" s="194" t="s">
        <v>232</v>
      </c>
      <c r="E52" s="642">
        <f>E51+E50</f>
        <v>38466.228605837343</v>
      </c>
      <c r="F52" s="538" t="s">
        <v>417</v>
      </c>
      <c r="G52" s="101" t="s">
        <v>517</v>
      </c>
      <c r="H52" s="101">
        <f t="shared" si="1"/>
        <v>41</v>
      </c>
      <c r="I52" s="194"/>
    </row>
    <row r="53" spans="1:9" ht="16.5" thickTop="1">
      <c r="A53" s="101">
        <f t="shared" si="0"/>
        <v>42</v>
      </c>
      <c r="B53" s="203"/>
      <c r="E53" s="204"/>
      <c r="G53" s="101"/>
      <c r="H53" s="101">
        <f t="shared" si="1"/>
        <v>42</v>
      </c>
    </row>
    <row r="54" spans="1:9">
      <c r="A54" s="101">
        <f t="shared" si="0"/>
        <v>43</v>
      </c>
      <c r="B54" s="4" t="s">
        <v>22</v>
      </c>
      <c r="E54" s="205"/>
      <c r="G54" s="101"/>
      <c r="H54" s="101">
        <f t="shared" si="1"/>
        <v>43</v>
      </c>
    </row>
    <row r="55" spans="1:9">
      <c r="A55" s="101">
        <f t="shared" si="0"/>
        <v>44</v>
      </c>
      <c r="B55" s="3" t="s">
        <v>353</v>
      </c>
      <c r="E55" s="206">
        <v>6197907.0110930772</v>
      </c>
      <c r="G55" s="101" t="s">
        <v>518</v>
      </c>
      <c r="H55" s="101">
        <f t="shared" si="1"/>
        <v>44</v>
      </c>
    </row>
    <row r="56" spans="1:9">
      <c r="A56" s="101">
        <f t="shared" si="0"/>
        <v>45</v>
      </c>
      <c r="B56" s="3" t="s">
        <v>9</v>
      </c>
      <c r="E56" s="207">
        <v>0</v>
      </c>
      <c r="G56" s="101" t="s">
        <v>23</v>
      </c>
      <c r="H56" s="101">
        <f t="shared" si="1"/>
        <v>45</v>
      </c>
    </row>
    <row r="57" spans="1:9">
      <c r="A57" s="101">
        <f t="shared" si="0"/>
        <v>46</v>
      </c>
      <c r="B57" s="3" t="s">
        <v>10</v>
      </c>
      <c r="E57" s="208">
        <v>46899.099622544018</v>
      </c>
      <c r="G57" s="209" t="s">
        <v>519</v>
      </c>
      <c r="H57" s="101">
        <f t="shared" si="1"/>
        <v>46</v>
      </c>
    </row>
    <row r="58" spans="1:9">
      <c r="A58" s="101">
        <f t="shared" si="0"/>
        <v>47</v>
      </c>
      <c r="B58" s="3" t="s">
        <v>11</v>
      </c>
      <c r="E58" s="643">
        <v>105080.18864726061</v>
      </c>
      <c r="G58" s="209" t="s">
        <v>520</v>
      </c>
      <c r="H58" s="101">
        <f t="shared" si="1"/>
        <v>47</v>
      </c>
    </row>
    <row r="59" spans="1:9" ht="16.5" thickBot="1">
      <c r="A59" s="101">
        <f t="shared" si="0"/>
        <v>48</v>
      </c>
      <c r="B59" s="3" t="s">
        <v>24</v>
      </c>
      <c r="E59" s="644">
        <f>SUM(E55:E58)</f>
        <v>6349886.299362882</v>
      </c>
      <c r="G59" s="101" t="s">
        <v>521</v>
      </c>
      <c r="H59" s="101">
        <f t="shared" si="1"/>
        <v>48</v>
      </c>
      <c r="I59" s="194"/>
    </row>
    <row r="60" spans="1:9" ht="16.5" thickTop="1">
      <c r="A60" s="101">
        <f t="shared" si="0"/>
        <v>49</v>
      </c>
      <c r="B60" s="203"/>
      <c r="E60" s="92"/>
      <c r="G60" s="101"/>
      <c r="H60" s="101">
        <f t="shared" si="1"/>
        <v>49</v>
      </c>
    </row>
    <row r="61" spans="1:9">
      <c r="A61" s="101">
        <f t="shared" si="0"/>
        <v>50</v>
      </c>
      <c r="B61" s="3" t="s">
        <v>352</v>
      </c>
      <c r="E61" s="210">
        <f>E55</f>
        <v>6197907.0110930772</v>
      </c>
      <c r="G61" s="163" t="s">
        <v>522</v>
      </c>
      <c r="H61" s="101">
        <f t="shared" si="1"/>
        <v>50</v>
      </c>
    </row>
    <row r="62" spans="1:9">
      <c r="A62" s="101">
        <f t="shared" si="0"/>
        <v>51</v>
      </c>
      <c r="B62" s="3" t="s">
        <v>25</v>
      </c>
      <c r="E62" s="211">
        <v>549685.71425000008</v>
      </c>
      <c r="G62" s="209" t="s">
        <v>523</v>
      </c>
      <c r="H62" s="101">
        <f t="shared" si="1"/>
        <v>51</v>
      </c>
    </row>
    <row r="63" spans="1:9">
      <c r="A63" s="101">
        <f t="shared" si="0"/>
        <v>52</v>
      </c>
      <c r="B63" s="3" t="s">
        <v>26</v>
      </c>
      <c r="E63" s="207">
        <v>0</v>
      </c>
      <c r="G63" s="101" t="s">
        <v>23</v>
      </c>
      <c r="H63" s="101">
        <f t="shared" si="1"/>
        <v>52</v>
      </c>
    </row>
    <row r="64" spans="1:9">
      <c r="A64" s="101">
        <f t="shared" si="0"/>
        <v>53</v>
      </c>
      <c r="B64" s="3" t="s">
        <v>27</v>
      </c>
      <c r="E64" s="211">
        <v>523339.62325846136</v>
      </c>
      <c r="G64" s="209" t="s">
        <v>524</v>
      </c>
      <c r="H64" s="101">
        <f t="shared" si="1"/>
        <v>53</v>
      </c>
    </row>
    <row r="65" spans="1:9">
      <c r="A65" s="101">
        <f t="shared" si="0"/>
        <v>54</v>
      </c>
      <c r="B65" s="3" t="s">
        <v>28</v>
      </c>
      <c r="E65" s="211">
        <v>7177286.0903050005</v>
      </c>
      <c r="G65" s="209" t="s">
        <v>525</v>
      </c>
      <c r="H65" s="101">
        <f t="shared" si="1"/>
        <v>54</v>
      </c>
    </row>
    <row r="66" spans="1:9">
      <c r="A66" s="101">
        <f t="shared" si="0"/>
        <v>55</v>
      </c>
      <c r="B66" s="194" t="s">
        <v>9</v>
      </c>
      <c r="E66" s="207">
        <v>0</v>
      </c>
      <c r="G66" s="101" t="s">
        <v>23</v>
      </c>
      <c r="H66" s="101">
        <f t="shared" si="1"/>
        <v>55</v>
      </c>
    </row>
    <row r="67" spans="1:9">
      <c r="A67" s="101">
        <f t="shared" si="0"/>
        <v>56</v>
      </c>
      <c r="B67" s="3" t="s">
        <v>29</v>
      </c>
      <c r="E67" s="211">
        <v>462370.25928999996</v>
      </c>
      <c r="G67" s="209" t="s">
        <v>526</v>
      </c>
      <c r="H67" s="101">
        <f t="shared" si="1"/>
        <v>56</v>
      </c>
    </row>
    <row r="68" spans="1:9">
      <c r="A68" s="101">
        <f t="shared" si="0"/>
        <v>57</v>
      </c>
      <c r="B68" s="3" t="s">
        <v>30</v>
      </c>
      <c r="E68" s="645">
        <v>1035967.7363128124</v>
      </c>
      <c r="G68" s="209" t="s">
        <v>527</v>
      </c>
      <c r="H68" s="101">
        <f t="shared" si="1"/>
        <v>57</v>
      </c>
    </row>
    <row r="69" spans="1:9" ht="16.5" thickBot="1">
      <c r="A69" s="101">
        <f t="shared" si="0"/>
        <v>58</v>
      </c>
      <c r="B69" s="3" t="s">
        <v>31</v>
      </c>
      <c r="E69" s="646">
        <f>SUM(E61:E68)</f>
        <v>15946556.434509352</v>
      </c>
      <c r="G69" s="101" t="s">
        <v>528</v>
      </c>
      <c r="H69" s="101">
        <f t="shared" si="1"/>
        <v>58</v>
      </c>
      <c r="I69" s="194"/>
    </row>
    <row r="70" spans="1:9" ht="16.5" thickTop="1">
      <c r="A70" s="101">
        <f t="shared" si="0"/>
        <v>59</v>
      </c>
      <c r="E70" s="186"/>
      <c r="G70" s="101"/>
      <c r="H70" s="101">
        <f t="shared" si="1"/>
        <v>59</v>
      </c>
    </row>
    <row r="71" spans="1:9" ht="19.5" thickBot="1">
      <c r="A71" s="101">
        <f t="shared" si="0"/>
        <v>60</v>
      </c>
      <c r="B71" s="3" t="s">
        <v>351</v>
      </c>
      <c r="E71" s="212">
        <f>E59/E69</f>
        <v>0.39819796364444732</v>
      </c>
      <c r="G71" s="101" t="s">
        <v>529</v>
      </c>
      <c r="H71" s="101">
        <f t="shared" si="1"/>
        <v>60</v>
      </c>
      <c r="I71" s="194"/>
    </row>
    <row r="72" spans="1:9" ht="16.5" thickTop="1">
      <c r="B72" s="194" t="s">
        <v>7</v>
      </c>
      <c r="E72" s="213"/>
      <c r="G72" s="101"/>
      <c r="H72" s="101"/>
    </row>
    <row r="73" spans="1:9">
      <c r="A73" s="538" t="s">
        <v>417</v>
      </c>
      <c r="B73" s="5" t="s">
        <v>442</v>
      </c>
      <c r="E73" s="213"/>
      <c r="F73" s="213"/>
      <c r="G73" s="101"/>
      <c r="H73" s="101"/>
    </row>
    <row r="74" spans="1:9" ht="18.75">
      <c r="A74" s="214">
        <v>1</v>
      </c>
      <c r="B74" s="3" t="s">
        <v>530</v>
      </c>
      <c r="H74" s="101"/>
    </row>
    <row r="75" spans="1:9">
      <c r="B75" s="194"/>
      <c r="E75" s="186"/>
      <c r="F75" s="186"/>
      <c r="G75" s="101"/>
      <c r="H75" s="101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5" right="0.5" top="0.5" bottom="0.5" header="0.35" footer="0.25"/>
  <pageSetup scale="51" orientation="portrait" r:id="rId1"/>
  <headerFooter scaleWithDoc="0" alignWithMargins="0">
    <oddHeader>&amp;C&amp;"Times New Roman,Bold"&amp;7AS FILED STMT AH WITH COST ADJ INCL. IN APPENDIX XII CYCLE C4 (ER22-133)</oddHeader>
    <oddFooter>&amp;L&amp;F&amp;CPage 8.1&amp;R&amp;A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CBC2-F61C-4DEC-867D-44B20CE48F5D}">
  <sheetPr>
    <pageSetUpPr fitToPage="1"/>
  </sheetPr>
  <dimension ref="A1:R85"/>
  <sheetViews>
    <sheetView zoomScale="80" zoomScaleNormal="80" workbookViewId="0"/>
  </sheetViews>
  <sheetFormatPr defaultColWidth="9.140625" defaultRowHeight="15.75"/>
  <cols>
    <col min="1" max="1" width="5.140625" style="116" customWidth="1"/>
    <col min="2" max="2" width="8.5703125" style="108" customWidth="1"/>
    <col min="3" max="3" width="69.140625" style="108" customWidth="1"/>
    <col min="4" max="6" width="12.5703125" style="108" customWidth="1"/>
    <col min="7" max="7" width="1.5703125" style="108" customWidth="1"/>
    <col min="8" max="8" width="15.42578125" style="108" bestFit="1" customWidth="1"/>
    <col min="9" max="9" width="2.85546875" style="108" customWidth="1"/>
    <col min="10" max="10" width="13.140625" style="108" bestFit="1" customWidth="1"/>
    <col min="11" max="11" width="2.140625" style="108" bestFit="1" customWidth="1"/>
    <col min="12" max="12" width="14.85546875" style="108" bestFit="1" customWidth="1"/>
    <col min="13" max="13" width="13.28515625" style="108" bestFit="1" customWidth="1"/>
    <col min="14" max="14" width="36.140625" style="108" customWidth="1"/>
    <col min="15" max="15" width="5.140625" style="116" customWidth="1"/>
    <col min="16" max="16" width="4" style="108" customWidth="1"/>
    <col min="17" max="17" width="13.140625" style="108" bestFit="1" customWidth="1"/>
    <col min="18" max="18" width="9.140625" style="108"/>
    <col min="19" max="19" width="9.85546875" style="108" customWidth="1"/>
    <col min="20" max="20" width="10" style="108" customWidth="1"/>
    <col min="21" max="16384" width="9.140625" style="108"/>
  </cols>
  <sheetData>
    <row r="1" spans="1:18">
      <c r="N1" s="255"/>
    </row>
    <row r="2" spans="1:18">
      <c r="B2" s="789" t="s">
        <v>12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110"/>
    </row>
    <row r="3" spans="1:18">
      <c r="B3" s="789" t="s">
        <v>42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110"/>
    </row>
    <row r="4" spans="1:18">
      <c r="B4" s="789" t="s">
        <v>532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110"/>
    </row>
    <row r="5" spans="1:18">
      <c r="B5" s="790" t="s">
        <v>1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110"/>
    </row>
    <row r="6" spans="1:18" ht="16.5" thickBot="1"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Q6" s="98"/>
    </row>
    <row r="7" spans="1:18" ht="18.75">
      <c r="A7" s="110"/>
      <c r="B7" s="111"/>
      <c r="C7" s="112"/>
      <c r="D7" s="113" t="s">
        <v>3</v>
      </c>
      <c r="E7" s="114" t="s">
        <v>4</v>
      </c>
      <c r="F7" s="113" t="s">
        <v>33</v>
      </c>
      <c r="G7" s="114"/>
      <c r="H7" s="496" t="s">
        <v>540</v>
      </c>
      <c r="I7" s="647"/>
      <c r="J7" s="647" t="s">
        <v>533</v>
      </c>
      <c r="K7" s="496"/>
      <c r="L7" s="496" t="s">
        <v>606</v>
      </c>
      <c r="M7" s="742" t="s">
        <v>537</v>
      </c>
      <c r="N7" s="115"/>
      <c r="O7" s="110"/>
    </row>
    <row r="8" spans="1:18">
      <c r="A8" s="116" t="s">
        <v>2</v>
      </c>
      <c r="B8" s="117" t="s">
        <v>34</v>
      </c>
      <c r="C8" s="118"/>
      <c r="D8" s="119" t="s">
        <v>15</v>
      </c>
      <c r="E8" s="110" t="s">
        <v>35</v>
      </c>
      <c r="F8" s="119" t="s">
        <v>15</v>
      </c>
      <c r="G8" s="659"/>
      <c r="H8" s="183" t="s">
        <v>534</v>
      </c>
      <c r="I8" s="660"/>
      <c r="J8" s="648" t="s">
        <v>535</v>
      </c>
      <c r="K8" s="539"/>
      <c r="L8" s="183" t="s">
        <v>607</v>
      </c>
      <c r="M8" s="743" t="s">
        <v>39</v>
      </c>
      <c r="N8" s="120"/>
      <c r="O8" s="116" t="s">
        <v>2</v>
      </c>
    </row>
    <row r="9" spans="1:18" ht="16.5" thickBot="1">
      <c r="A9" s="116" t="s">
        <v>14</v>
      </c>
      <c r="B9" s="121" t="s">
        <v>36</v>
      </c>
      <c r="C9" s="122" t="s">
        <v>16</v>
      </c>
      <c r="D9" s="123" t="s">
        <v>37</v>
      </c>
      <c r="E9" s="122" t="s">
        <v>38</v>
      </c>
      <c r="F9" s="123" t="s">
        <v>39</v>
      </c>
      <c r="G9" s="661"/>
      <c r="H9" s="662" t="s">
        <v>541</v>
      </c>
      <c r="I9" s="663"/>
      <c r="J9" s="664" t="s">
        <v>542</v>
      </c>
      <c r="K9" s="671"/>
      <c r="L9" s="662" t="s">
        <v>541</v>
      </c>
      <c r="M9" s="744" t="s">
        <v>608</v>
      </c>
      <c r="N9" s="124" t="s">
        <v>6</v>
      </c>
      <c r="O9" s="116" t="s">
        <v>14</v>
      </c>
      <c r="P9" s="116"/>
    </row>
    <row r="10" spans="1:18">
      <c r="B10" s="125"/>
      <c r="C10" s="126" t="s">
        <v>43</v>
      </c>
      <c r="D10" s="745"/>
      <c r="E10" s="745"/>
      <c r="F10" s="127"/>
      <c r="G10" s="665"/>
      <c r="H10" s="665"/>
      <c r="I10" s="746"/>
      <c r="J10" s="746"/>
      <c r="K10" s="747"/>
      <c r="L10" s="747"/>
      <c r="M10" s="127"/>
      <c r="N10" s="128"/>
    </row>
    <row r="11" spans="1:18" ht="19.5">
      <c r="A11" s="116">
        <v>1</v>
      </c>
      <c r="B11" s="117">
        <v>920</v>
      </c>
      <c r="C11" s="129" t="s">
        <v>44</v>
      </c>
      <c r="D11" s="93">
        <v>31012.001380000002</v>
      </c>
      <c r="E11" s="93">
        <f>+E35</f>
        <v>91.867089999999976</v>
      </c>
      <c r="F11" s="93">
        <f t="shared" ref="F11:F25" si="0">D11-E11</f>
        <v>30920.134290000002</v>
      </c>
      <c r="G11" s="538"/>
      <c r="H11" s="285">
        <v>-84.78</v>
      </c>
      <c r="I11" s="667">
        <v>2</v>
      </c>
      <c r="J11" s="96">
        <f>F11+H11</f>
        <v>30835.354290000003</v>
      </c>
      <c r="K11" s="538" t="s">
        <v>417</v>
      </c>
      <c r="L11" s="436">
        <f>-H11</f>
        <v>84.78</v>
      </c>
      <c r="M11" s="106">
        <f>J11+L11</f>
        <v>30920.134290000002</v>
      </c>
      <c r="N11" s="102" t="s">
        <v>144</v>
      </c>
      <c r="O11" s="116">
        <f t="shared" ref="O11:O66" si="1">A11</f>
        <v>1</v>
      </c>
      <c r="P11" s="108" t="s">
        <v>7</v>
      </c>
      <c r="Q11" s="91"/>
    </row>
    <row r="12" spans="1:18" ht="19.5">
      <c r="A12" s="116">
        <f t="shared" ref="A12:A32" si="2">A11+1</f>
        <v>2</v>
      </c>
      <c r="B12" s="117">
        <v>921</v>
      </c>
      <c r="C12" s="129" t="s">
        <v>241</v>
      </c>
      <c r="D12" s="94">
        <v>16773.40425</v>
      </c>
      <c r="E12" s="103">
        <f>+E36</f>
        <v>-1.33857</v>
      </c>
      <c r="F12" s="94">
        <f t="shared" si="0"/>
        <v>16774.742819999999</v>
      </c>
      <c r="G12" s="538"/>
      <c r="H12" s="103">
        <v>-128.12899999999999</v>
      </c>
      <c r="I12" s="667">
        <v>2</v>
      </c>
      <c r="J12" s="649">
        <f>F12+H12</f>
        <v>16646.613819999999</v>
      </c>
      <c r="K12" s="538" t="s">
        <v>417</v>
      </c>
      <c r="L12" s="436">
        <f>-H12</f>
        <v>128.12899999999999</v>
      </c>
      <c r="M12" s="651">
        <f>J12+L12</f>
        <v>16774.742819999999</v>
      </c>
      <c r="N12" s="102" t="s">
        <v>145</v>
      </c>
      <c r="O12" s="116">
        <f t="shared" si="1"/>
        <v>2</v>
      </c>
      <c r="Q12" s="91"/>
      <c r="R12" s="130"/>
    </row>
    <row r="13" spans="1:18">
      <c r="A13" s="116">
        <f t="shared" si="2"/>
        <v>3</v>
      </c>
      <c r="B13" s="125">
        <v>922</v>
      </c>
      <c r="C13" s="129" t="s">
        <v>45</v>
      </c>
      <c r="D13" s="94">
        <v>-13569.700310000002</v>
      </c>
      <c r="E13" s="103">
        <v>0</v>
      </c>
      <c r="F13" s="94">
        <f t="shared" si="0"/>
        <v>-13569.700310000002</v>
      </c>
      <c r="G13" s="103"/>
      <c r="H13" s="103"/>
      <c r="I13" s="649"/>
      <c r="J13" s="649">
        <f t="shared" ref="J13:J24" si="3">F13+H13</f>
        <v>-13569.700310000002</v>
      </c>
      <c r="K13" s="103"/>
      <c r="L13" s="103"/>
      <c r="M13" s="94">
        <f>J13+L13</f>
        <v>-13569.700310000002</v>
      </c>
      <c r="N13" s="102" t="s">
        <v>146</v>
      </c>
      <c r="O13" s="116">
        <f t="shared" si="1"/>
        <v>3</v>
      </c>
      <c r="Q13" s="91"/>
    </row>
    <row r="14" spans="1:18" ht="18.75">
      <c r="A14" s="116">
        <f t="shared" si="2"/>
        <v>4</v>
      </c>
      <c r="B14" s="117">
        <v>923</v>
      </c>
      <c r="C14" s="129" t="s">
        <v>240</v>
      </c>
      <c r="D14" s="94">
        <v>90245.647219999999</v>
      </c>
      <c r="E14" s="103">
        <f>+E38</f>
        <v>153.10804999999999</v>
      </c>
      <c r="F14" s="94">
        <f t="shared" si="0"/>
        <v>90092.539170000004</v>
      </c>
      <c r="G14" s="538"/>
      <c r="H14" s="103">
        <f>2294.73+64.516</f>
        <v>2359.2460000000001</v>
      </c>
      <c r="I14" s="668">
        <v>3</v>
      </c>
      <c r="J14" s="649">
        <f>F14+H14+H15</f>
        <v>91885.613169999997</v>
      </c>
      <c r="K14" s="436"/>
      <c r="L14" s="748"/>
      <c r="M14" s="651">
        <f>J14+L14+L15</f>
        <v>92451.785170000003</v>
      </c>
      <c r="N14" s="102" t="s">
        <v>147</v>
      </c>
      <c r="O14" s="116">
        <f t="shared" si="1"/>
        <v>4</v>
      </c>
      <c r="Q14" s="91"/>
    </row>
    <row r="15" spans="1:18" ht="19.5">
      <c r="A15" s="116">
        <f t="shared" si="2"/>
        <v>5</v>
      </c>
      <c r="B15" s="117">
        <v>923</v>
      </c>
      <c r="C15" s="129" t="s">
        <v>240</v>
      </c>
      <c r="D15" s="94"/>
      <c r="E15" s="103"/>
      <c r="F15" s="94"/>
      <c r="G15" s="538"/>
      <c r="H15" s="103">
        <v>-566.17200000000003</v>
      </c>
      <c r="I15" s="667">
        <v>2</v>
      </c>
      <c r="J15" s="649"/>
      <c r="K15" s="538" t="s">
        <v>417</v>
      </c>
      <c r="L15" s="436">
        <f>-H15</f>
        <v>566.17200000000003</v>
      </c>
      <c r="M15" s="651"/>
      <c r="N15" s="102"/>
      <c r="O15" s="116">
        <f t="shared" si="1"/>
        <v>5</v>
      </c>
      <c r="Q15" s="229"/>
    </row>
    <row r="16" spans="1:18">
      <c r="A16" s="116">
        <f t="shared" si="2"/>
        <v>6</v>
      </c>
      <c r="B16" s="125">
        <v>924</v>
      </c>
      <c r="C16" s="129" t="s">
        <v>238</v>
      </c>
      <c r="D16" s="94">
        <v>8305.6217899999992</v>
      </c>
      <c r="E16" s="103">
        <v>0</v>
      </c>
      <c r="F16" s="94">
        <f t="shared" si="0"/>
        <v>8305.6217899999992</v>
      </c>
      <c r="G16" s="103"/>
      <c r="H16" s="103"/>
      <c r="I16" s="649"/>
      <c r="J16" s="649">
        <f t="shared" si="3"/>
        <v>8305.6217899999992</v>
      </c>
      <c r="K16" s="103"/>
      <c r="L16" s="103"/>
      <c r="M16" s="94">
        <f>J16+L16</f>
        <v>8305.6217899999992</v>
      </c>
      <c r="N16" s="102" t="s">
        <v>148</v>
      </c>
      <c r="O16" s="116">
        <f t="shared" si="1"/>
        <v>6</v>
      </c>
      <c r="Q16" s="91"/>
    </row>
    <row r="17" spans="1:17" ht="19.5">
      <c r="A17" s="116">
        <f t="shared" si="2"/>
        <v>7</v>
      </c>
      <c r="B17" s="117">
        <v>925</v>
      </c>
      <c r="C17" s="129" t="s">
        <v>117</v>
      </c>
      <c r="D17" s="94">
        <v>140446.40546000001</v>
      </c>
      <c r="E17" s="103">
        <f>+E41</f>
        <v>335.97845833499991</v>
      </c>
      <c r="F17" s="94">
        <f t="shared" si="0"/>
        <v>140110.427001665</v>
      </c>
      <c r="G17" s="538"/>
      <c r="H17" s="103">
        <v>-304.83300000000003</v>
      </c>
      <c r="I17" s="667">
        <v>2</v>
      </c>
      <c r="J17" s="649">
        <f t="shared" si="3"/>
        <v>139805.59400166498</v>
      </c>
      <c r="K17" s="538" t="s">
        <v>417</v>
      </c>
      <c r="L17" s="436">
        <f>-H17</f>
        <v>304.83300000000003</v>
      </c>
      <c r="M17" s="651">
        <f>J17+L17</f>
        <v>140110.427001665</v>
      </c>
      <c r="N17" s="102" t="s">
        <v>149</v>
      </c>
      <c r="O17" s="116">
        <f t="shared" si="1"/>
        <v>7</v>
      </c>
      <c r="Q17" s="91"/>
    </row>
    <row r="18" spans="1:17" ht="19.5">
      <c r="A18" s="116">
        <f>A17+1</f>
        <v>8</v>
      </c>
      <c r="B18" s="117">
        <v>926</v>
      </c>
      <c r="C18" s="129" t="s">
        <v>609</v>
      </c>
      <c r="D18" s="94">
        <v>54077.224009999998</v>
      </c>
      <c r="E18" s="103">
        <f>+E43</f>
        <v>913.38426291299993</v>
      </c>
      <c r="F18" s="94">
        <f t="shared" si="0"/>
        <v>53163.839747086997</v>
      </c>
      <c r="G18" s="538"/>
      <c r="H18" s="103">
        <v>-832.04399999999998</v>
      </c>
      <c r="I18" s="667">
        <v>2</v>
      </c>
      <c r="J18" s="649">
        <f t="shared" si="3"/>
        <v>52331.795747086995</v>
      </c>
      <c r="K18" s="538" t="s">
        <v>417</v>
      </c>
      <c r="L18" s="436">
        <f>-H18</f>
        <v>832.04399999999998</v>
      </c>
      <c r="M18" s="651">
        <f>J18+L18</f>
        <v>53163.839747086997</v>
      </c>
      <c r="N18" s="102" t="s">
        <v>150</v>
      </c>
      <c r="O18" s="116">
        <f t="shared" si="1"/>
        <v>8</v>
      </c>
      <c r="Q18" s="131"/>
    </row>
    <row r="19" spans="1:17">
      <c r="A19" s="116">
        <f>A18+1</f>
        <v>9</v>
      </c>
      <c r="B19" s="125">
        <v>927</v>
      </c>
      <c r="C19" s="129" t="s">
        <v>47</v>
      </c>
      <c r="D19" s="415">
        <v>127615.79129000001</v>
      </c>
      <c r="E19" s="94">
        <f>+E44</f>
        <v>127615.79129000001</v>
      </c>
      <c r="F19" s="94">
        <f t="shared" si="0"/>
        <v>0</v>
      </c>
      <c r="G19" s="103"/>
      <c r="H19" s="103"/>
      <c r="I19" s="649"/>
      <c r="J19" s="649">
        <f t="shared" si="3"/>
        <v>0</v>
      </c>
      <c r="K19" s="103"/>
      <c r="L19" s="103"/>
      <c r="M19" s="651">
        <f t="shared" ref="M19:M25" si="4">J19+L19</f>
        <v>0</v>
      </c>
      <c r="N19" s="102" t="s">
        <v>151</v>
      </c>
      <c r="O19" s="116">
        <f t="shared" si="1"/>
        <v>9</v>
      </c>
      <c r="Q19" s="131"/>
    </row>
    <row r="20" spans="1:17" ht="18.75">
      <c r="A20" s="116">
        <f t="shared" si="2"/>
        <v>10</v>
      </c>
      <c r="B20" s="125">
        <v>928</v>
      </c>
      <c r="C20" s="129" t="s">
        <v>610</v>
      </c>
      <c r="D20" s="94">
        <v>22402.324690000001</v>
      </c>
      <c r="E20" s="103">
        <f>+E49</f>
        <v>11134.69994</v>
      </c>
      <c r="F20" s="94">
        <f t="shared" si="0"/>
        <v>11267.624750000001</v>
      </c>
      <c r="G20" s="538"/>
      <c r="H20" s="6"/>
      <c r="I20" s="650"/>
      <c r="J20" s="649">
        <f t="shared" si="3"/>
        <v>11267.624750000001</v>
      </c>
      <c r="K20" s="103"/>
      <c r="L20" s="657"/>
      <c r="M20" s="94">
        <f t="shared" si="4"/>
        <v>11267.624750000001</v>
      </c>
      <c r="N20" s="102" t="s">
        <v>152</v>
      </c>
      <c r="O20" s="116">
        <f t="shared" si="1"/>
        <v>10</v>
      </c>
      <c r="Q20" s="131"/>
    </row>
    <row r="21" spans="1:17">
      <c r="A21" s="116">
        <f t="shared" si="2"/>
        <v>11</v>
      </c>
      <c r="B21" s="125">
        <v>929</v>
      </c>
      <c r="C21" s="129" t="s">
        <v>48</v>
      </c>
      <c r="D21" s="94">
        <v>-2181.0840200000002</v>
      </c>
      <c r="E21" s="103">
        <v>0</v>
      </c>
      <c r="F21" s="94">
        <f t="shared" si="0"/>
        <v>-2181.0840200000002</v>
      </c>
      <c r="G21" s="103"/>
      <c r="H21" s="103"/>
      <c r="I21" s="649"/>
      <c r="J21" s="649">
        <f t="shared" si="3"/>
        <v>-2181.0840200000002</v>
      </c>
      <c r="K21" s="103"/>
      <c r="L21" s="103"/>
      <c r="M21" s="94">
        <f t="shared" si="4"/>
        <v>-2181.0840200000002</v>
      </c>
      <c r="N21" s="102" t="s">
        <v>153</v>
      </c>
      <c r="O21" s="116">
        <f t="shared" si="1"/>
        <v>11</v>
      </c>
      <c r="Q21" s="91"/>
    </row>
    <row r="22" spans="1:17">
      <c r="A22" s="116">
        <f>A21+1</f>
        <v>12</v>
      </c>
      <c r="B22" s="132">
        <v>930.1</v>
      </c>
      <c r="C22" s="129" t="s">
        <v>49</v>
      </c>
      <c r="D22" s="94">
        <v>112.52861999999999</v>
      </c>
      <c r="E22" s="103">
        <f>+E50</f>
        <v>112.52861999999999</v>
      </c>
      <c r="F22" s="94">
        <f t="shared" si="0"/>
        <v>0</v>
      </c>
      <c r="G22" s="103"/>
      <c r="H22" s="103"/>
      <c r="I22" s="649"/>
      <c r="J22" s="649">
        <f t="shared" si="3"/>
        <v>0</v>
      </c>
      <c r="K22" s="103"/>
      <c r="L22" s="103"/>
      <c r="M22" s="651">
        <f t="shared" si="4"/>
        <v>0</v>
      </c>
      <c r="N22" s="102" t="s">
        <v>154</v>
      </c>
      <c r="O22" s="116">
        <f t="shared" si="1"/>
        <v>12</v>
      </c>
      <c r="Q22" s="91"/>
    </row>
    <row r="23" spans="1:17" ht="19.5">
      <c r="A23" s="116">
        <f>A22+1</f>
        <v>13</v>
      </c>
      <c r="B23" s="669">
        <v>930.2</v>
      </c>
      <c r="C23" s="129" t="s">
        <v>239</v>
      </c>
      <c r="D23" s="94">
        <v>2206.68253</v>
      </c>
      <c r="E23" s="103">
        <f>+E52</f>
        <v>576.97162999999989</v>
      </c>
      <c r="F23" s="94">
        <f t="shared" si="0"/>
        <v>1629.7109</v>
      </c>
      <c r="G23" s="538"/>
      <c r="H23" s="103">
        <v>-1483.3869999999999</v>
      </c>
      <c r="I23" s="667">
        <v>4</v>
      </c>
      <c r="J23" s="649">
        <f t="shared" si="3"/>
        <v>146.32390000000009</v>
      </c>
      <c r="K23" s="436"/>
      <c r="L23" s="436"/>
      <c r="M23" s="651">
        <f t="shared" si="4"/>
        <v>146.32390000000009</v>
      </c>
      <c r="N23" s="102" t="s">
        <v>155</v>
      </c>
      <c r="O23" s="116">
        <f t="shared" si="1"/>
        <v>13</v>
      </c>
      <c r="Q23" s="133"/>
    </row>
    <row r="24" spans="1:17">
      <c r="A24" s="116">
        <f t="shared" si="2"/>
        <v>14</v>
      </c>
      <c r="B24" s="125">
        <v>931</v>
      </c>
      <c r="C24" s="129" t="s">
        <v>40</v>
      </c>
      <c r="D24" s="94">
        <v>8564.2415499999988</v>
      </c>
      <c r="E24" s="103">
        <v>0</v>
      </c>
      <c r="F24" s="94">
        <f t="shared" si="0"/>
        <v>8564.2415499999988</v>
      </c>
      <c r="G24" s="103"/>
      <c r="H24" s="103"/>
      <c r="I24" s="649"/>
      <c r="J24" s="649">
        <f t="shared" si="3"/>
        <v>8564.2415499999988</v>
      </c>
      <c r="K24" s="103"/>
      <c r="L24" s="103"/>
      <c r="M24" s="94">
        <f t="shared" si="4"/>
        <v>8564.2415499999988</v>
      </c>
      <c r="N24" s="102" t="s">
        <v>156</v>
      </c>
      <c r="O24" s="116">
        <f t="shared" si="1"/>
        <v>14</v>
      </c>
      <c r="Q24" s="91"/>
    </row>
    <row r="25" spans="1:17">
      <c r="A25" s="116">
        <f t="shared" si="2"/>
        <v>15</v>
      </c>
      <c r="B25" s="125">
        <v>935</v>
      </c>
      <c r="C25" s="129" t="s">
        <v>50</v>
      </c>
      <c r="D25" s="652">
        <v>12341.892099999999</v>
      </c>
      <c r="E25" s="749">
        <f>+E54</f>
        <v>1502.526687415</v>
      </c>
      <c r="F25" s="652">
        <f t="shared" si="0"/>
        <v>10839.365412584999</v>
      </c>
      <c r="G25" s="750"/>
      <c r="H25" s="286"/>
      <c r="I25" s="263"/>
      <c r="J25" s="263">
        <f>F25+H25</f>
        <v>10839.365412584999</v>
      </c>
      <c r="K25" s="286"/>
      <c r="L25" s="286"/>
      <c r="M25" s="652">
        <f t="shared" si="4"/>
        <v>10839.365412584999</v>
      </c>
      <c r="N25" s="102" t="s">
        <v>157</v>
      </c>
      <c r="O25" s="116">
        <f t="shared" si="1"/>
        <v>15</v>
      </c>
      <c r="P25" s="108" t="s">
        <v>7</v>
      </c>
      <c r="Q25" s="91"/>
    </row>
    <row r="26" spans="1:17">
      <c r="A26" s="116">
        <f>A25+1</f>
        <v>16</v>
      </c>
      <c r="B26" s="125"/>
      <c r="D26" s="134"/>
      <c r="F26" s="134"/>
      <c r="I26" s="751"/>
      <c r="J26" s="751"/>
      <c r="M26" s="134"/>
      <c r="N26" s="135"/>
      <c r="O26" s="116">
        <f t="shared" si="1"/>
        <v>16</v>
      </c>
    </row>
    <row r="27" spans="1:17" ht="16.5" thickBot="1">
      <c r="A27" s="116">
        <f t="shared" si="2"/>
        <v>17</v>
      </c>
      <c r="B27" s="125"/>
      <c r="C27" s="118" t="s">
        <v>51</v>
      </c>
      <c r="D27" s="136">
        <f>SUM(D11:D25)</f>
        <v>498352.98056</v>
      </c>
      <c r="E27" s="655">
        <f>SUM(E11:E25)</f>
        <v>142435.51745866297</v>
      </c>
      <c r="F27" s="104">
        <f>SUM(F11:F25)</f>
        <v>355917.46310133697</v>
      </c>
      <c r="G27" s="654"/>
      <c r="H27" s="658">
        <f>SUM(H11:H25)</f>
        <v>-1040.0990000000002</v>
      </c>
      <c r="I27" s="655"/>
      <c r="J27" s="655">
        <f>SUM(J11:J25)</f>
        <v>354877.36410133692</v>
      </c>
      <c r="K27" s="654" t="s">
        <v>417</v>
      </c>
      <c r="L27" s="655">
        <f>SUM(L11:L25)</f>
        <v>1915.9580000000001</v>
      </c>
      <c r="M27" s="655">
        <f>SUM(M11:M25)</f>
        <v>356793.32210133696</v>
      </c>
      <c r="N27" s="137" t="str">
        <f>"Sum Lines "&amp;A11&amp;" thru "&amp;A25</f>
        <v>Sum Lines 1 thru 15</v>
      </c>
      <c r="O27" s="116">
        <f t="shared" si="1"/>
        <v>17</v>
      </c>
    </row>
    <row r="28" spans="1:17" ht="16.5" thickTop="1">
      <c r="A28" s="116">
        <f t="shared" si="2"/>
        <v>18</v>
      </c>
      <c r="B28" s="125"/>
      <c r="C28" s="118"/>
      <c r="D28" s="99"/>
      <c r="E28" s="89"/>
      <c r="F28" s="106"/>
      <c r="G28" s="538"/>
      <c r="H28" s="545"/>
      <c r="I28" s="89"/>
      <c r="J28" s="89"/>
      <c r="K28" s="538"/>
      <c r="L28" s="752"/>
      <c r="M28" s="89"/>
      <c r="N28" s="137"/>
      <c r="O28" s="116">
        <f t="shared" si="1"/>
        <v>18</v>
      </c>
    </row>
    <row r="29" spans="1:17" ht="18.75">
      <c r="A29" s="116">
        <f t="shared" si="2"/>
        <v>19</v>
      </c>
      <c r="B29" s="125">
        <v>413</v>
      </c>
      <c r="C29" s="108" t="s">
        <v>326</v>
      </c>
      <c r="D29" s="652">
        <v>54.345089999999999</v>
      </c>
      <c r="E29" s="263">
        <v>0</v>
      </c>
      <c r="F29" s="652">
        <f>D29-E29</f>
        <v>54.345089999999999</v>
      </c>
      <c r="G29" s="750"/>
      <c r="H29" s="749"/>
      <c r="I29" s="263"/>
      <c r="J29" s="263">
        <f>F29+H29</f>
        <v>54.345089999999999</v>
      </c>
      <c r="K29" s="753"/>
      <c r="L29" s="754"/>
      <c r="M29" s="263">
        <f t="shared" ref="M29" si="5">J29+L29</f>
        <v>54.345089999999999</v>
      </c>
      <c r="N29" s="137"/>
      <c r="O29" s="116">
        <f t="shared" si="1"/>
        <v>19</v>
      </c>
    </row>
    <row r="30" spans="1:17">
      <c r="A30" s="116">
        <f t="shared" si="2"/>
        <v>20</v>
      </c>
      <c r="B30" s="125"/>
      <c r="C30" s="118"/>
      <c r="D30" s="99"/>
      <c r="E30" s="89"/>
      <c r="F30" s="106"/>
      <c r="G30" s="538"/>
      <c r="H30" s="545"/>
      <c r="I30" s="89"/>
      <c r="J30" s="89"/>
      <c r="K30" s="538"/>
      <c r="L30" s="89"/>
      <c r="M30" s="89"/>
      <c r="N30" s="137"/>
      <c r="O30" s="116">
        <f t="shared" si="1"/>
        <v>20</v>
      </c>
    </row>
    <row r="31" spans="1:17" ht="16.5" thickBot="1">
      <c r="A31" s="116">
        <f t="shared" si="2"/>
        <v>21</v>
      </c>
      <c r="B31" s="125"/>
      <c r="C31" s="118" t="s">
        <v>116</v>
      </c>
      <c r="D31" s="136">
        <f>D27+D29</f>
        <v>498407.32565000001</v>
      </c>
      <c r="E31" s="89">
        <f>E27+E29</f>
        <v>142435.51745866297</v>
      </c>
      <c r="F31" s="106">
        <f>F27+F29</f>
        <v>355971.80819133698</v>
      </c>
      <c r="G31" s="654"/>
      <c r="H31" s="545">
        <f>H27+H29</f>
        <v>-1040.0990000000002</v>
      </c>
      <c r="I31" s="655"/>
      <c r="J31" s="655">
        <f>J27+J29</f>
        <v>354931.70919133694</v>
      </c>
      <c r="K31" s="654" t="s">
        <v>417</v>
      </c>
      <c r="L31" s="655">
        <f>L27+L29</f>
        <v>1915.9580000000001</v>
      </c>
      <c r="M31" s="655">
        <f>M27+M29</f>
        <v>356847.66719133698</v>
      </c>
      <c r="N31" s="137"/>
      <c r="O31" s="116">
        <f t="shared" si="1"/>
        <v>21</v>
      </c>
    </row>
    <row r="32" spans="1:17" ht="17.25" thickTop="1" thickBot="1">
      <c r="A32" s="116">
        <f t="shared" si="2"/>
        <v>22</v>
      </c>
      <c r="B32" s="138"/>
      <c r="C32" s="109"/>
      <c r="D32" s="139"/>
      <c r="E32" s="140"/>
      <c r="F32" s="140"/>
      <c r="G32" s="662"/>
      <c r="H32" s="755"/>
      <c r="I32" s="663"/>
      <c r="J32" s="663"/>
      <c r="K32" s="662"/>
      <c r="L32" s="662"/>
      <c r="M32" s="384"/>
      <c r="N32" s="141"/>
      <c r="O32" s="116">
        <f t="shared" si="1"/>
        <v>22</v>
      </c>
    </row>
    <row r="33" spans="1:15">
      <c r="A33" s="116">
        <f>A32+1</f>
        <v>23</v>
      </c>
      <c r="B33" s="756"/>
      <c r="C33" s="757"/>
      <c r="D33" s="758"/>
      <c r="E33" s="759"/>
      <c r="F33" s="758"/>
      <c r="G33" s="758"/>
      <c r="H33" s="143"/>
      <c r="I33" s="758"/>
      <c r="J33" s="758"/>
      <c r="K33" s="758"/>
      <c r="L33" s="758"/>
      <c r="M33" s="758"/>
      <c r="N33" s="760"/>
      <c r="O33" s="116">
        <f t="shared" si="1"/>
        <v>23</v>
      </c>
    </row>
    <row r="34" spans="1:15">
      <c r="A34" s="116">
        <f>A33+1</f>
        <v>24</v>
      </c>
      <c r="B34" s="145" t="s">
        <v>52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35"/>
      <c r="O34" s="116">
        <f t="shared" si="1"/>
        <v>24</v>
      </c>
    </row>
    <row r="35" spans="1:15">
      <c r="A35" s="116">
        <f t="shared" ref="A35:A66" si="6">A34+1</f>
        <v>25</v>
      </c>
      <c r="B35" s="469">
        <v>920</v>
      </c>
      <c r="C35" s="470" t="s">
        <v>53</v>
      </c>
      <c r="D35" s="471"/>
      <c r="E35" s="7">
        <v>91.867089999999976</v>
      </c>
      <c r="F35" s="116"/>
      <c r="G35" s="116"/>
      <c r="H35" s="116"/>
      <c r="I35" s="116"/>
      <c r="J35" s="116"/>
      <c r="K35" s="116"/>
      <c r="L35" s="116"/>
      <c r="M35" s="116"/>
      <c r="N35" s="135"/>
      <c r="O35" s="116">
        <f t="shared" si="1"/>
        <v>25</v>
      </c>
    </row>
    <row r="36" spans="1:15">
      <c r="A36" s="116">
        <f t="shared" si="6"/>
        <v>26</v>
      </c>
      <c r="B36" s="469">
        <v>921</v>
      </c>
      <c r="C36" s="470" t="s">
        <v>53</v>
      </c>
      <c r="D36" s="471"/>
      <c r="E36" s="108">
        <v>-1.33857</v>
      </c>
      <c r="N36" s="135"/>
      <c r="O36" s="116">
        <f t="shared" si="1"/>
        <v>26</v>
      </c>
    </row>
    <row r="37" spans="1:15">
      <c r="A37" s="116">
        <f t="shared" si="6"/>
        <v>27</v>
      </c>
      <c r="B37" s="469">
        <v>923</v>
      </c>
      <c r="C37" s="470" t="s">
        <v>386</v>
      </c>
      <c r="D37" s="7">
        <v>74.15849</v>
      </c>
      <c r="E37" s="6"/>
      <c r="N37" s="135"/>
      <c r="O37" s="116">
        <f t="shared" si="1"/>
        <v>27</v>
      </c>
    </row>
    <row r="38" spans="1:15">
      <c r="A38" s="116">
        <f t="shared" si="6"/>
        <v>28</v>
      </c>
      <c r="B38" s="469"/>
      <c r="C38" s="470" t="s">
        <v>53</v>
      </c>
      <c r="D38" s="761">
        <v>78.949559999999991</v>
      </c>
      <c r="E38" s="108">
        <f>SUM(D37:D38)</f>
        <v>153.10804999999999</v>
      </c>
      <c r="N38" s="135"/>
      <c r="O38" s="116">
        <f t="shared" si="1"/>
        <v>28</v>
      </c>
    </row>
    <row r="39" spans="1:15">
      <c r="A39" s="116">
        <f t="shared" si="6"/>
        <v>29</v>
      </c>
      <c r="B39" s="469">
        <v>925</v>
      </c>
      <c r="C39" s="475" t="s">
        <v>53</v>
      </c>
      <c r="D39" s="6">
        <v>268.99521833499995</v>
      </c>
      <c r="N39" s="135"/>
      <c r="O39" s="116">
        <f t="shared" si="1"/>
        <v>29</v>
      </c>
    </row>
    <row r="40" spans="1:15">
      <c r="A40" s="116">
        <f t="shared" si="6"/>
        <v>30</v>
      </c>
      <c r="B40" s="469"/>
      <c r="C40" s="475" t="s">
        <v>117</v>
      </c>
      <c r="D40" s="6">
        <v>0</v>
      </c>
      <c r="N40" s="135"/>
      <c r="O40" s="116">
        <f t="shared" si="1"/>
        <v>30</v>
      </c>
    </row>
    <row r="41" spans="1:15">
      <c r="A41" s="116">
        <f t="shared" si="6"/>
        <v>31</v>
      </c>
      <c r="B41" s="469"/>
      <c r="C41" s="476" t="s">
        <v>387</v>
      </c>
      <c r="D41" s="761">
        <v>66.983239999999995</v>
      </c>
      <c r="E41" s="108">
        <f>SUM(D39:D41)</f>
        <v>335.97845833499991</v>
      </c>
      <c r="N41" s="135"/>
      <c r="O41" s="116">
        <f t="shared" si="1"/>
        <v>31</v>
      </c>
    </row>
    <row r="42" spans="1:15">
      <c r="A42" s="116">
        <f t="shared" si="6"/>
        <v>32</v>
      </c>
      <c r="B42" s="469">
        <v>926</v>
      </c>
      <c r="C42" s="475" t="s">
        <v>53</v>
      </c>
      <c r="D42" s="6">
        <v>730.03415291299996</v>
      </c>
      <c r="E42" s="6"/>
      <c r="N42" s="135"/>
      <c r="O42" s="116">
        <f t="shared" si="1"/>
        <v>32</v>
      </c>
    </row>
    <row r="43" spans="1:15">
      <c r="A43" s="116">
        <f t="shared" si="6"/>
        <v>33</v>
      </c>
      <c r="B43" s="469"/>
      <c r="C43" s="475" t="s">
        <v>387</v>
      </c>
      <c r="D43" s="761">
        <v>183.35011</v>
      </c>
      <c r="E43" s="108">
        <f>SUM(D42:D43)</f>
        <v>913.38426291299993</v>
      </c>
      <c r="N43" s="135"/>
      <c r="O43" s="116">
        <f t="shared" si="1"/>
        <v>33</v>
      </c>
    </row>
    <row r="44" spans="1:15">
      <c r="A44" s="116">
        <f t="shared" si="6"/>
        <v>34</v>
      </c>
      <c r="B44" s="469">
        <v>927</v>
      </c>
      <c r="C44" s="475" t="s">
        <v>47</v>
      </c>
      <c r="D44" s="477"/>
      <c r="E44" s="6">
        <v>127615.79129000001</v>
      </c>
      <c r="N44" s="135"/>
      <c r="O44" s="116">
        <f t="shared" si="1"/>
        <v>34</v>
      </c>
    </row>
    <row r="45" spans="1:15">
      <c r="A45" s="116">
        <f t="shared" si="6"/>
        <v>35</v>
      </c>
      <c r="B45" s="469">
        <v>928</v>
      </c>
      <c r="C45" s="475" t="s">
        <v>53</v>
      </c>
      <c r="D45" s="6">
        <v>0</v>
      </c>
      <c r="E45" s="6"/>
      <c r="F45" s="489"/>
      <c r="G45" s="489"/>
      <c r="H45" s="489"/>
      <c r="I45" s="489"/>
      <c r="J45" s="489"/>
      <c r="K45" s="489"/>
      <c r="L45" s="489"/>
      <c r="M45" s="489"/>
      <c r="N45" s="762"/>
      <c r="O45" s="116">
        <f t="shared" si="1"/>
        <v>35</v>
      </c>
    </row>
    <row r="46" spans="1:15">
      <c r="A46" s="116">
        <f t="shared" si="6"/>
        <v>36</v>
      </c>
      <c r="B46" s="469"/>
      <c r="C46" s="470" t="s">
        <v>54</v>
      </c>
      <c r="D46" s="6">
        <v>0</v>
      </c>
      <c r="E46" s="6"/>
      <c r="N46" s="135"/>
      <c r="O46" s="116">
        <f t="shared" si="1"/>
        <v>36</v>
      </c>
    </row>
    <row r="47" spans="1:15">
      <c r="A47" s="116">
        <f t="shared" si="6"/>
        <v>37</v>
      </c>
      <c r="B47" s="469"/>
      <c r="C47" s="470" t="s">
        <v>55</v>
      </c>
      <c r="D47" s="6">
        <v>1212.49029</v>
      </c>
      <c r="E47" s="763"/>
      <c r="N47" s="135"/>
      <c r="O47" s="116">
        <f t="shared" si="1"/>
        <v>37</v>
      </c>
    </row>
    <row r="48" spans="1:15">
      <c r="A48" s="116">
        <f t="shared" si="6"/>
        <v>38</v>
      </c>
      <c r="B48" s="469"/>
      <c r="C48" s="470" t="s">
        <v>56</v>
      </c>
      <c r="D48" s="6">
        <v>9790.5481500000005</v>
      </c>
      <c r="E48" s="764"/>
      <c r="F48" s="489"/>
      <c r="G48" s="489"/>
      <c r="H48" s="489"/>
      <c r="I48" s="489"/>
      <c r="J48" s="489"/>
      <c r="K48" s="489"/>
      <c r="L48" s="489"/>
      <c r="M48" s="489"/>
      <c r="N48" s="762"/>
      <c r="O48" s="116">
        <f t="shared" si="1"/>
        <v>38</v>
      </c>
    </row>
    <row r="49" spans="1:15">
      <c r="A49" s="116">
        <f t="shared" si="6"/>
        <v>39</v>
      </c>
      <c r="B49" s="480"/>
      <c r="C49" s="475" t="s">
        <v>57</v>
      </c>
      <c r="D49" s="765">
        <v>131.66149999999999</v>
      </c>
      <c r="E49" s="766">
        <f>SUM(D45:D49)</f>
        <v>11134.69994</v>
      </c>
      <c r="N49" s="135"/>
      <c r="O49" s="116">
        <f t="shared" si="1"/>
        <v>39</v>
      </c>
    </row>
    <row r="50" spans="1:15">
      <c r="A50" s="116">
        <f t="shared" si="6"/>
        <v>40</v>
      </c>
      <c r="B50" s="482">
        <v>930.1</v>
      </c>
      <c r="C50" s="470" t="s">
        <v>49</v>
      </c>
      <c r="D50" s="477"/>
      <c r="E50" s="6">
        <v>112.52861999999999</v>
      </c>
      <c r="N50" s="135"/>
      <c r="O50" s="116">
        <f t="shared" si="1"/>
        <v>40</v>
      </c>
    </row>
    <row r="51" spans="1:15">
      <c r="A51" s="116">
        <f t="shared" si="6"/>
        <v>41</v>
      </c>
      <c r="B51" s="482">
        <v>930.2</v>
      </c>
      <c r="C51" s="475" t="s">
        <v>58</v>
      </c>
      <c r="D51" s="766">
        <v>0</v>
      </c>
      <c r="E51" s="767"/>
      <c r="N51" s="135"/>
      <c r="O51" s="116">
        <f t="shared" si="1"/>
        <v>41</v>
      </c>
    </row>
    <row r="52" spans="1:15">
      <c r="A52" s="116">
        <f t="shared" si="6"/>
        <v>42</v>
      </c>
      <c r="B52" s="482"/>
      <c r="C52" s="475" t="s">
        <v>59</v>
      </c>
      <c r="D52" s="768">
        <v>576.97162999999989</v>
      </c>
      <c r="E52" s="766">
        <f>SUM(D51:D52)</f>
        <v>576.97162999999989</v>
      </c>
      <c r="N52" s="135"/>
      <c r="O52" s="116">
        <f t="shared" si="1"/>
        <v>42</v>
      </c>
    </row>
    <row r="53" spans="1:15">
      <c r="A53" s="116">
        <f t="shared" si="6"/>
        <v>43</v>
      </c>
      <c r="B53" s="469">
        <v>935</v>
      </c>
      <c r="C53" s="485" t="s">
        <v>60</v>
      </c>
      <c r="D53" s="766">
        <v>39.414587415</v>
      </c>
      <c r="E53" s="767"/>
      <c r="N53" s="135"/>
      <c r="O53" s="116">
        <f t="shared" si="1"/>
        <v>43</v>
      </c>
    </row>
    <row r="54" spans="1:15">
      <c r="A54" s="116">
        <f t="shared" si="6"/>
        <v>44</v>
      </c>
      <c r="B54" s="469"/>
      <c r="C54" s="485" t="s">
        <v>53</v>
      </c>
      <c r="D54" s="768">
        <v>1463.1121000000001</v>
      </c>
      <c r="E54" s="768">
        <f>SUM(D53:D54)</f>
        <v>1502.526687415</v>
      </c>
      <c r="N54" s="135"/>
      <c r="O54" s="116">
        <f t="shared" si="1"/>
        <v>44</v>
      </c>
    </row>
    <row r="55" spans="1:15">
      <c r="A55" s="116">
        <f t="shared" si="6"/>
        <v>45</v>
      </c>
      <c r="B55" s="486"/>
      <c r="C55" s="487"/>
      <c r="D55" s="769"/>
      <c r="E55" s="103"/>
      <c r="N55" s="135"/>
      <c r="O55" s="116">
        <f t="shared" si="1"/>
        <v>45</v>
      </c>
    </row>
    <row r="56" spans="1:15" ht="16.5" thickBot="1">
      <c r="A56" s="116">
        <f t="shared" si="6"/>
        <v>46</v>
      </c>
      <c r="B56" s="142"/>
      <c r="C56" s="146" t="s">
        <v>41</v>
      </c>
      <c r="D56" s="489"/>
      <c r="E56" s="658">
        <f>SUM(E35:E54)</f>
        <v>142435.51745866297</v>
      </c>
      <c r="F56" s="606"/>
      <c r="G56" s="606"/>
      <c r="H56" s="606"/>
      <c r="I56" s="606"/>
      <c r="J56" s="606"/>
      <c r="K56" s="606"/>
      <c r="L56" s="606"/>
      <c r="M56" s="606"/>
      <c r="N56" s="135"/>
      <c r="O56" s="116">
        <f t="shared" si="1"/>
        <v>46</v>
      </c>
    </row>
    <row r="57" spans="1:15" ht="16.5" thickTop="1">
      <c r="A57" s="116">
        <f t="shared" si="6"/>
        <v>47</v>
      </c>
      <c r="B57" s="142"/>
      <c r="C57" s="146"/>
      <c r="E57" s="148"/>
      <c r="F57" s="100"/>
      <c r="G57" s="100"/>
      <c r="H57" s="100"/>
      <c r="I57" s="100"/>
      <c r="J57" s="100"/>
      <c r="K57" s="100"/>
      <c r="L57" s="100"/>
      <c r="M57" s="100"/>
      <c r="N57" s="135"/>
      <c r="O57" s="116">
        <f t="shared" si="1"/>
        <v>47</v>
      </c>
    </row>
    <row r="58" spans="1:15">
      <c r="A58" s="116">
        <f t="shared" si="6"/>
        <v>48</v>
      </c>
      <c r="B58" s="656" t="s">
        <v>417</v>
      </c>
      <c r="C58" s="5" t="s">
        <v>643</v>
      </c>
      <c r="E58" s="148"/>
      <c r="F58" s="100"/>
      <c r="G58" s="100"/>
      <c r="H58" s="100"/>
      <c r="I58" s="100"/>
      <c r="J58" s="100"/>
      <c r="K58" s="100"/>
      <c r="L58" s="100"/>
      <c r="M58" s="100"/>
      <c r="N58" s="135"/>
      <c r="O58" s="116">
        <f t="shared" si="1"/>
        <v>48</v>
      </c>
    </row>
    <row r="59" spans="1:15" ht="18.75">
      <c r="A59" s="116">
        <f t="shared" si="6"/>
        <v>49</v>
      </c>
      <c r="B59" s="670">
        <v>1</v>
      </c>
      <c r="C59" s="129" t="s">
        <v>611</v>
      </c>
      <c r="E59" s="192"/>
      <c r="F59" s="100"/>
      <c r="G59" s="100"/>
      <c r="H59" s="100"/>
      <c r="I59" s="100"/>
      <c r="J59" s="100"/>
      <c r="K59" s="100"/>
      <c r="L59" s="100"/>
      <c r="M59" s="100"/>
      <c r="N59" s="135"/>
      <c r="O59" s="116">
        <f t="shared" si="1"/>
        <v>49</v>
      </c>
    </row>
    <row r="60" spans="1:15" ht="18.75">
      <c r="A60" s="116">
        <f t="shared" si="6"/>
        <v>50</v>
      </c>
      <c r="B60" s="670">
        <v>2</v>
      </c>
      <c r="C60" s="129" t="s">
        <v>612</v>
      </c>
      <c r="E60" s="192"/>
      <c r="F60" s="100"/>
      <c r="G60" s="100"/>
      <c r="H60" s="100"/>
      <c r="I60" s="100"/>
      <c r="J60" s="100"/>
      <c r="K60" s="100"/>
      <c r="L60" s="100"/>
      <c r="M60" s="100"/>
      <c r="N60" s="135"/>
      <c r="O60" s="116">
        <f t="shared" si="1"/>
        <v>50</v>
      </c>
    </row>
    <row r="61" spans="1:15" ht="18.75">
      <c r="A61" s="116">
        <f t="shared" si="6"/>
        <v>51</v>
      </c>
      <c r="B61" s="670">
        <v>3</v>
      </c>
      <c r="C61" s="98" t="s">
        <v>613</v>
      </c>
      <c r="E61" s="192"/>
      <c r="F61" s="100"/>
      <c r="G61" s="100"/>
      <c r="H61" s="100"/>
      <c r="I61" s="100"/>
      <c r="J61" s="100"/>
      <c r="K61" s="100"/>
      <c r="L61" s="100"/>
      <c r="M61" s="100"/>
      <c r="N61" s="135"/>
      <c r="O61" s="116">
        <f t="shared" si="1"/>
        <v>51</v>
      </c>
    </row>
    <row r="62" spans="1:15" ht="18.75">
      <c r="A62" s="116">
        <f t="shared" si="6"/>
        <v>52</v>
      </c>
      <c r="B62" s="670"/>
      <c r="C62" s="98" t="s">
        <v>614</v>
      </c>
      <c r="E62" s="192"/>
      <c r="F62" s="100"/>
      <c r="G62" s="100"/>
      <c r="H62" s="100"/>
      <c r="I62" s="100"/>
      <c r="J62" s="100"/>
      <c r="K62" s="100"/>
      <c r="L62" s="100"/>
      <c r="M62" s="100"/>
      <c r="N62" s="135"/>
      <c r="O62" s="116">
        <f t="shared" si="1"/>
        <v>52</v>
      </c>
    </row>
    <row r="63" spans="1:15" ht="18.75">
      <c r="A63" s="116">
        <f t="shared" si="6"/>
        <v>53</v>
      </c>
      <c r="B63" s="670">
        <v>4</v>
      </c>
      <c r="C63" s="98" t="s">
        <v>615</v>
      </c>
      <c r="E63" s="192"/>
      <c r="F63" s="100"/>
      <c r="G63" s="100"/>
      <c r="H63" s="100"/>
      <c r="I63" s="100"/>
      <c r="J63" s="100"/>
      <c r="K63" s="100"/>
      <c r="L63" s="100"/>
      <c r="M63" s="100"/>
      <c r="N63" s="135"/>
      <c r="O63" s="116">
        <f t="shared" si="1"/>
        <v>53</v>
      </c>
    </row>
    <row r="64" spans="1:15" ht="18.75">
      <c r="A64" s="116">
        <f t="shared" si="6"/>
        <v>54</v>
      </c>
      <c r="B64" s="670"/>
      <c r="C64" s="98" t="s">
        <v>616</v>
      </c>
      <c r="E64" s="192"/>
      <c r="F64" s="100"/>
      <c r="G64" s="100"/>
      <c r="H64" s="100"/>
      <c r="I64" s="100"/>
      <c r="J64" s="100"/>
      <c r="K64" s="100"/>
      <c r="L64" s="100"/>
      <c r="M64" s="100"/>
      <c r="N64" s="135"/>
      <c r="O64" s="116">
        <f t="shared" si="1"/>
        <v>54</v>
      </c>
    </row>
    <row r="65" spans="1:15" ht="18.75">
      <c r="A65" s="116">
        <f t="shared" si="6"/>
        <v>55</v>
      </c>
      <c r="B65" s="670">
        <v>5</v>
      </c>
      <c r="C65" s="98" t="s">
        <v>617</v>
      </c>
      <c r="E65" s="192"/>
      <c r="F65" s="100"/>
      <c r="G65" s="100"/>
      <c r="H65" s="100"/>
      <c r="I65" s="100"/>
      <c r="J65" s="100"/>
      <c r="K65" s="100"/>
      <c r="L65" s="100"/>
      <c r="M65" s="100"/>
      <c r="N65" s="135"/>
      <c r="O65" s="116">
        <f t="shared" si="1"/>
        <v>55</v>
      </c>
    </row>
    <row r="66" spans="1:15" ht="16.5" thickBot="1">
      <c r="A66" s="116">
        <f t="shared" si="6"/>
        <v>56</v>
      </c>
      <c r="B66" s="149"/>
      <c r="C66" s="15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41"/>
      <c r="O66" s="116">
        <f t="shared" si="1"/>
        <v>56</v>
      </c>
    </row>
    <row r="67" spans="1:15">
      <c r="A67" s="110"/>
      <c r="C67" s="129"/>
      <c r="D67" s="151"/>
      <c r="E67" s="151"/>
    </row>
    <row r="68" spans="1:15" ht="18.75">
      <c r="A68" s="152"/>
      <c r="C68" s="129"/>
    </row>
    <row r="69" spans="1:15" ht="18.75">
      <c r="A69" s="152"/>
      <c r="C69" s="129"/>
    </row>
    <row r="70" spans="1:15" ht="18.75">
      <c r="A70" s="152"/>
      <c r="C70" s="129"/>
    </row>
    <row r="71" spans="1:15" ht="18.75">
      <c r="A71" s="152"/>
      <c r="C71" s="129"/>
    </row>
    <row r="72" spans="1:15" ht="18.75">
      <c r="A72" s="152"/>
      <c r="C72" s="129"/>
    </row>
    <row r="73" spans="1:15" ht="18.75">
      <c r="A73" s="152"/>
      <c r="C73" s="129"/>
    </row>
    <row r="74" spans="1:15">
      <c r="A74" s="110"/>
      <c r="C74" s="129"/>
    </row>
    <row r="75" spans="1:15" ht="18.75">
      <c r="A75" s="152"/>
      <c r="C75" s="129"/>
    </row>
    <row r="76" spans="1:15">
      <c r="A76" s="110"/>
      <c r="C76" s="129"/>
    </row>
    <row r="77" spans="1:15" ht="18.75">
      <c r="A77" s="152"/>
      <c r="C77" s="129"/>
    </row>
    <row r="78" spans="1:15">
      <c r="A78" s="110"/>
      <c r="C78" s="129"/>
    </row>
    <row r="79" spans="1:15" ht="18.75">
      <c r="A79" s="152"/>
      <c r="C79" s="129"/>
    </row>
    <row r="80" spans="1:15" ht="18.75">
      <c r="A80" s="152"/>
      <c r="B80" s="129"/>
    </row>
    <row r="81" spans="1:2" ht="18.75">
      <c r="A81" s="152"/>
      <c r="B81" s="129"/>
    </row>
    <row r="82" spans="1:2">
      <c r="B82" s="129"/>
    </row>
    <row r="83" spans="1:2" ht="18.75">
      <c r="A83" s="152"/>
      <c r="B83" s="129"/>
    </row>
    <row r="84" spans="1:2">
      <c r="A84" s="153"/>
      <c r="B84" s="154"/>
    </row>
    <row r="85" spans="1:2">
      <c r="B85" s="129"/>
    </row>
  </sheetData>
  <mergeCells count="4">
    <mergeCell ref="B2:N2"/>
    <mergeCell ref="B3:N3"/>
    <mergeCell ref="B4:N4"/>
    <mergeCell ref="B5:N5"/>
  </mergeCells>
  <printOptions horizontalCentered="1"/>
  <pageMargins left="0.25" right="0.25" top="0.5" bottom="0.5" header="0.35" footer="0.25"/>
  <pageSetup scale="44" orientation="portrait" r:id="rId1"/>
  <headerFooter scaleWithDoc="0" alignWithMargins="0">
    <oddHeader>&amp;C&amp;"Times New Roman,Bold"&amp;7REVISED</oddHeader>
    <oddFooter>&amp;L&amp;F&amp;CPage 8.2&amp;R&amp;A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4309-0D77-431C-9A31-4FD4605E9471}">
  <sheetPr>
    <pageSetUpPr fitToPage="1"/>
  </sheetPr>
  <dimension ref="A1:O87"/>
  <sheetViews>
    <sheetView zoomScale="80" zoomScaleNormal="80" workbookViewId="0"/>
  </sheetViews>
  <sheetFormatPr defaultColWidth="9.140625" defaultRowHeight="15.75"/>
  <cols>
    <col min="1" max="1" width="5.140625" style="116" customWidth="1"/>
    <col min="2" max="2" width="8.5703125" style="108" customWidth="1"/>
    <col min="3" max="3" width="68.85546875" style="108" customWidth="1"/>
    <col min="4" max="6" width="16.85546875" style="108" customWidth="1"/>
    <col min="7" max="7" width="1.5703125" style="108" customWidth="1"/>
    <col min="8" max="8" width="16.85546875" style="108" customWidth="1"/>
    <col min="9" max="9" width="2.85546875" style="108" bestFit="1" customWidth="1"/>
    <col min="10" max="10" width="16.85546875" style="108" customWidth="1"/>
    <col min="11" max="11" width="34.5703125" style="108" customWidth="1"/>
    <col min="12" max="12" width="5.140625" style="116" customWidth="1"/>
    <col min="13" max="13" width="4" style="108" customWidth="1"/>
    <col min="14" max="14" width="13.140625" style="108" bestFit="1" customWidth="1"/>
    <col min="15" max="15" width="9.140625" style="108"/>
    <col min="16" max="16" width="9.85546875" style="108" customWidth="1"/>
    <col min="17" max="17" width="10" style="108" customWidth="1"/>
    <col min="18" max="16384" width="9.140625" style="108"/>
  </cols>
  <sheetData>
    <row r="1" spans="1:15">
      <c r="A1" s="605" t="s">
        <v>558</v>
      </c>
    </row>
    <row r="2" spans="1:15">
      <c r="K2" s="255"/>
    </row>
    <row r="3" spans="1:15">
      <c r="B3" s="789" t="s">
        <v>12</v>
      </c>
      <c r="C3" s="789"/>
      <c r="D3" s="789"/>
      <c r="E3" s="789"/>
      <c r="F3" s="789"/>
      <c r="G3" s="789"/>
      <c r="H3" s="789"/>
      <c r="I3" s="789"/>
      <c r="J3" s="789"/>
      <c r="K3" s="789"/>
      <c r="L3" s="110"/>
    </row>
    <row r="4" spans="1:15">
      <c r="B4" s="789" t="s">
        <v>42</v>
      </c>
      <c r="C4" s="789"/>
      <c r="D4" s="789"/>
      <c r="E4" s="789"/>
      <c r="F4" s="789"/>
      <c r="G4" s="789"/>
      <c r="H4" s="789"/>
      <c r="I4" s="789"/>
      <c r="J4" s="789"/>
      <c r="K4" s="789"/>
      <c r="L4" s="110"/>
    </row>
    <row r="5" spans="1:15">
      <c r="B5" s="789" t="s">
        <v>532</v>
      </c>
      <c r="C5" s="789"/>
      <c r="D5" s="789"/>
      <c r="E5" s="789"/>
      <c r="F5" s="789"/>
      <c r="G5" s="789"/>
      <c r="H5" s="789"/>
      <c r="I5" s="789"/>
      <c r="J5" s="789"/>
      <c r="K5" s="789"/>
      <c r="L5" s="110"/>
    </row>
    <row r="6" spans="1:15">
      <c r="B6" s="790" t="s">
        <v>1</v>
      </c>
      <c r="C6" s="790"/>
      <c r="D6" s="790"/>
      <c r="E6" s="790"/>
      <c r="F6" s="790"/>
      <c r="G6" s="790"/>
      <c r="H6" s="790"/>
      <c r="I6" s="790"/>
      <c r="J6" s="790"/>
      <c r="K6" s="790"/>
      <c r="L6" s="110"/>
    </row>
    <row r="7" spans="1:15" ht="16.5" thickBot="1">
      <c r="D7" s="109"/>
      <c r="E7" s="109"/>
      <c r="F7" s="109"/>
      <c r="G7" s="109"/>
      <c r="H7" s="109"/>
      <c r="I7" s="109"/>
      <c r="J7" s="109"/>
      <c r="K7" s="109"/>
      <c r="N7" s="98"/>
    </row>
    <row r="8" spans="1:15" ht="18.75">
      <c r="A8" s="110"/>
      <c r="B8" s="111"/>
      <c r="C8" s="112"/>
      <c r="D8" s="113" t="s">
        <v>3</v>
      </c>
      <c r="E8" s="114" t="s">
        <v>4</v>
      </c>
      <c r="F8" s="113" t="s">
        <v>33</v>
      </c>
      <c r="G8" s="114"/>
      <c r="H8" s="496" t="s">
        <v>540</v>
      </c>
      <c r="I8" s="647"/>
      <c r="J8" s="647" t="s">
        <v>533</v>
      </c>
      <c r="K8" s="115"/>
      <c r="L8" s="110"/>
    </row>
    <row r="9" spans="1:15">
      <c r="A9" s="116" t="s">
        <v>2</v>
      </c>
      <c r="B9" s="117" t="s">
        <v>34</v>
      </c>
      <c r="C9" s="118"/>
      <c r="D9" s="119" t="s">
        <v>15</v>
      </c>
      <c r="E9" s="110" t="s">
        <v>35</v>
      </c>
      <c r="F9" s="119" t="s">
        <v>15</v>
      </c>
      <c r="G9" s="659"/>
      <c r="H9" s="183" t="s">
        <v>534</v>
      </c>
      <c r="I9" s="660"/>
      <c r="J9" s="648" t="s">
        <v>535</v>
      </c>
      <c r="K9" s="120"/>
      <c r="L9" s="116" t="s">
        <v>2</v>
      </c>
    </row>
    <row r="10" spans="1:15" ht="16.5" thickBot="1">
      <c r="A10" s="116" t="s">
        <v>14</v>
      </c>
      <c r="B10" s="121" t="s">
        <v>36</v>
      </c>
      <c r="C10" s="122" t="s">
        <v>16</v>
      </c>
      <c r="D10" s="123" t="s">
        <v>37</v>
      </c>
      <c r="E10" s="122" t="s">
        <v>38</v>
      </c>
      <c r="F10" s="123" t="s">
        <v>39</v>
      </c>
      <c r="G10" s="661"/>
      <c r="H10" s="662" t="s">
        <v>541</v>
      </c>
      <c r="I10" s="663"/>
      <c r="J10" s="664" t="s">
        <v>542</v>
      </c>
      <c r="K10" s="124" t="s">
        <v>6</v>
      </c>
      <c r="L10" s="116" t="s">
        <v>14</v>
      </c>
      <c r="M10" s="116"/>
    </row>
    <row r="11" spans="1:15">
      <c r="B11" s="125"/>
      <c r="C11" s="126" t="s">
        <v>43</v>
      </c>
      <c r="D11" s="381"/>
      <c r="E11" s="381"/>
      <c r="F11" s="127"/>
      <c r="G11" s="665"/>
      <c r="H11" s="665"/>
      <c r="I11" s="665"/>
      <c r="J11" s="666"/>
      <c r="K11" s="128"/>
    </row>
    <row r="12" spans="1:15" ht="19.5">
      <c r="A12" s="116">
        <v>1</v>
      </c>
      <c r="B12" s="117">
        <v>920</v>
      </c>
      <c r="C12" s="129" t="s">
        <v>44</v>
      </c>
      <c r="D12" s="93">
        <v>31012.001380000002</v>
      </c>
      <c r="E12" s="93">
        <v>91.867089999999976</v>
      </c>
      <c r="F12" s="93">
        <f>D12-E12</f>
        <v>30920.134290000002</v>
      </c>
      <c r="G12" s="538" t="s">
        <v>417</v>
      </c>
      <c r="H12" s="545">
        <v>-84.78</v>
      </c>
      <c r="I12" s="667">
        <v>2</v>
      </c>
      <c r="J12" s="106">
        <f>F12+H12</f>
        <v>30835.354290000003</v>
      </c>
      <c r="K12" s="102" t="s">
        <v>144</v>
      </c>
      <c r="L12" s="116">
        <f>A12</f>
        <v>1</v>
      </c>
      <c r="M12" s="108" t="s">
        <v>7</v>
      </c>
      <c r="N12" s="91"/>
    </row>
    <row r="13" spans="1:15" ht="19.5">
      <c r="A13" s="116">
        <f t="shared" ref="A13:A67" si="0">A12+1</f>
        <v>2</v>
      </c>
      <c r="B13" s="117">
        <v>921</v>
      </c>
      <c r="C13" s="129" t="s">
        <v>241</v>
      </c>
      <c r="D13" s="94">
        <v>16773.40425</v>
      </c>
      <c r="E13" s="103">
        <v>-1.33857</v>
      </c>
      <c r="F13" s="94">
        <f>D13-E13</f>
        <v>16774.742819999999</v>
      </c>
      <c r="G13" s="538" t="s">
        <v>417</v>
      </c>
      <c r="H13" s="436">
        <v>-128.12899999999999</v>
      </c>
      <c r="I13" s="667">
        <v>2</v>
      </c>
      <c r="J13" s="651">
        <f>F13+H13</f>
        <v>16646.613819999999</v>
      </c>
      <c r="K13" s="102" t="s">
        <v>145</v>
      </c>
      <c r="L13" s="116">
        <f t="shared" ref="L13:L67" si="1">L12+1</f>
        <v>2</v>
      </c>
      <c r="N13" s="91"/>
      <c r="O13" s="130"/>
    </row>
    <row r="14" spans="1:15">
      <c r="A14" s="116">
        <f t="shared" si="0"/>
        <v>3</v>
      </c>
      <c r="B14" s="125">
        <v>922</v>
      </c>
      <c r="C14" s="129" t="s">
        <v>45</v>
      </c>
      <c r="D14" s="94">
        <v>-13569.700310000002</v>
      </c>
      <c r="E14" s="103">
        <v>0</v>
      </c>
      <c r="F14" s="94">
        <f>D14-E14</f>
        <v>-13569.700310000002</v>
      </c>
      <c r="G14" s="103"/>
      <c r="H14" s="103"/>
      <c r="I14" s="649"/>
      <c r="J14" s="94">
        <f t="shared" ref="J14:J26" si="2">F14+H14</f>
        <v>-13569.700310000002</v>
      </c>
      <c r="K14" s="102" t="s">
        <v>146</v>
      </c>
      <c r="L14" s="116">
        <f t="shared" si="1"/>
        <v>3</v>
      </c>
      <c r="N14" s="91"/>
    </row>
    <row r="15" spans="1:15" ht="18.75">
      <c r="A15" s="116">
        <f t="shared" si="0"/>
        <v>4</v>
      </c>
      <c r="B15" s="117">
        <v>923</v>
      </c>
      <c r="C15" s="129" t="s">
        <v>240</v>
      </c>
      <c r="D15" s="94">
        <v>90245.647219999999</v>
      </c>
      <c r="E15" s="103">
        <v>153.10804999999999</v>
      </c>
      <c r="F15" s="94">
        <f>D15-E15</f>
        <v>90092.539170000004</v>
      </c>
      <c r="G15" s="538" t="s">
        <v>417</v>
      </c>
      <c r="H15" s="436">
        <f>2294.73+64.516</f>
        <v>2359.2460000000001</v>
      </c>
      <c r="I15" s="668">
        <v>3</v>
      </c>
      <c r="J15" s="651">
        <f>F15+H15+H16</f>
        <v>91885.613169999997</v>
      </c>
      <c r="K15" s="102" t="s">
        <v>147</v>
      </c>
      <c r="L15" s="116">
        <f t="shared" si="1"/>
        <v>4</v>
      </c>
      <c r="N15" s="91"/>
    </row>
    <row r="16" spans="1:15" ht="19.5">
      <c r="A16" s="116">
        <f t="shared" si="0"/>
        <v>5</v>
      </c>
      <c r="B16" s="117">
        <v>923</v>
      </c>
      <c r="C16" s="129" t="s">
        <v>240</v>
      </c>
      <c r="D16" s="94"/>
      <c r="E16" s="103"/>
      <c r="F16" s="94"/>
      <c r="G16" s="538"/>
      <c r="H16" s="436">
        <v>-566.17200000000003</v>
      </c>
      <c r="I16" s="667">
        <v>2</v>
      </c>
      <c r="J16" s="651"/>
      <c r="K16" s="102"/>
      <c r="L16" s="116">
        <f t="shared" si="1"/>
        <v>5</v>
      </c>
      <c r="N16" s="91"/>
    </row>
    <row r="17" spans="1:14">
      <c r="A17" s="116">
        <f t="shared" si="0"/>
        <v>6</v>
      </c>
      <c r="B17" s="125">
        <v>924</v>
      </c>
      <c r="C17" s="129" t="s">
        <v>238</v>
      </c>
      <c r="D17" s="94">
        <v>8305.6217899999992</v>
      </c>
      <c r="E17" s="103">
        <v>0</v>
      </c>
      <c r="F17" s="94">
        <f t="shared" ref="F17:F18" si="3">D17-E17</f>
        <v>8305.6217899999992</v>
      </c>
      <c r="G17" s="103"/>
      <c r="H17" s="103"/>
      <c r="I17" s="649"/>
      <c r="J17" s="94">
        <f t="shared" si="2"/>
        <v>8305.6217899999992</v>
      </c>
      <c r="K17" s="102" t="s">
        <v>148</v>
      </c>
      <c r="L17" s="116">
        <f t="shared" si="1"/>
        <v>6</v>
      </c>
      <c r="N17" s="91"/>
    </row>
    <row r="18" spans="1:14" ht="19.5">
      <c r="A18" s="116">
        <f t="shared" si="0"/>
        <v>7</v>
      </c>
      <c r="B18" s="117">
        <v>925</v>
      </c>
      <c r="C18" s="129" t="s">
        <v>117</v>
      </c>
      <c r="D18" s="94">
        <v>140446.40546000001</v>
      </c>
      <c r="E18" s="103">
        <v>335.97845833499991</v>
      </c>
      <c r="F18" s="94">
        <f t="shared" si="3"/>
        <v>140110.427001665</v>
      </c>
      <c r="G18" s="538" t="s">
        <v>417</v>
      </c>
      <c r="H18" s="436">
        <v>-304.83300000000003</v>
      </c>
      <c r="I18" s="667">
        <v>2</v>
      </c>
      <c r="J18" s="651">
        <f t="shared" si="2"/>
        <v>139805.59400166498</v>
      </c>
      <c r="K18" s="102" t="s">
        <v>149</v>
      </c>
      <c r="L18" s="116">
        <f t="shared" si="1"/>
        <v>7</v>
      </c>
      <c r="N18" s="91"/>
    </row>
    <row r="19" spans="1:14" ht="19.5">
      <c r="A19" s="116">
        <f t="shared" si="0"/>
        <v>8</v>
      </c>
      <c r="B19" s="117">
        <v>926</v>
      </c>
      <c r="C19" s="129" t="s">
        <v>46</v>
      </c>
      <c r="D19" s="94">
        <v>54077.224009999998</v>
      </c>
      <c r="E19" s="103">
        <v>913.38426291299993</v>
      </c>
      <c r="F19" s="94">
        <f>D19-E19</f>
        <v>53163.839747086997</v>
      </c>
      <c r="G19" s="538" t="s">
        <v>417</v>
      </c>
      <c r="H19" s="436">
        <v>-832.04399999999998</v>
      </c>
      <c r="I19" s="667">
        <v>2</v>
      </c>
      <c r="J19" s="651">
        <f t="shared" si="2"/>
        <v>52331.795747086995</v>
      </c>
      <c r="K19" s="102" t="s">
        <v>150</v>
      </c>
      <c r="L19" s="116">
        <f t="shared" si="1"/>
        <v>8</v>
      </c>
      <c r="N19" s="131"/>
    </row>
    <row r="20" spans="1:14">
      <c r="A20" s="116">
        <f t="shared" si="0"/>
        <v>9</v>
      </c>
      <c r="B20" s="125">
        <v>927</v>
      </c>
      <c r="C20" s="129" t="s">
        <v>47</v>
      </c>
      <c r="D20" s="94">
        <v>127615.79129000001</v>
      </c>
      <c r="E20" s="103">
        <v>127615.79129000001</v>
      </c>
      <c r="F20" s="94">
        <f t="shared" ref="F20:F22" si="4">D20-E20</f>
        <v>0</v>
      </c>
      <c r="G20" s="103"/>
      <c r="H20" s="103"/>
      <c r="I20" s="649"/>
      <c r="J20" s="94">
        <f t="shared" si="2"/>
        <v>0</v>
      </c>
      <c r="K20" s="102" t="s">
        <v>151</v>
      </c>
      <c r="L20" s="116">
        <f t="shared" si="1"/>
        <v>9</v>
      </c>
      <c r="N20" s="131"/>
    </row>
    <row r="21" spans="1:14">
      <c r="A21" s="116">
        <f t="shared" si="0"/>
        <v>10</v>
      </c>
      <c r="B21" s="125">
        <v>928</v>
      </c>
      <c r="C21" s="129" t="s">
        <v>158</v>
      </c>
      <c r="D21" s="94">
        <v>22402.324690000001</v>
      </c>
      <c r="E21" s="103">
        <v>11134.69994</v>
      </c>
      <c r="F21" s="94">
        <f t="shared" si="4"/>
        <v>11267.624750000001</v>
      </c>
      <c r="G21" s="103"/>
      <c r="H21" s="103"/>
      <c r="I21" s="650"/>
      <c r="J21" s="94">
        <f t="shared" si="2"/>
        <v>11267.624750000001</v>
      </c>
      <c r="K21" s="102" t="s">
        <v>152</v>
      </c>
      <c r="L21" s="116">
        <f t="shared" si="1"/>
        <v>10</v>
      </c>
      <c r="N21" s="131"/>
    </row>
    <row r="22" spans="1:14">
      <c r="A22" s="116">
        <f t="shared" si="0"/>
        <v>11</v>
      </c>
      <c r="B22" s="125">
        <v>929</v>
      </c>
      <c r="C22" s="129" t="s">
        <v>48</v>
      </c>
      <c r="D22" s="94">
        <v>-2181.0840200000002</v>
      </c>
      <c r="E22" s="103">
        <v>0</v>
      </c>
      <c r="F22" s="94">
        <f t="shared" si="4"/>
        <v>-2181.0840200000002</v>
      </c>
      <c r="G22" s="103"/>
      <c r="H22" s="103"/>
      <c r="I22" s="649"/>
      <c r="J22" s="94">
        <f t="shared" si="2"/>
        <v>-2181.0840200000002</v>
      </c>
      <c r="K22" s="102" t="s">
        <v>153</v>
      </c>
      <c r="L22" s="116">
        <f t="shared" si="1"/>
        <v>11</v>
      </c>
      <c r="N22" s="91"/>
    </row>
    <row r="23" spans="1:14">
      <c r="A23" s="116">
        <f t="shared" si="0"/>
        <v>12</v>
      </c>
      <c r="B23" s="132">
        <v>930.1</v>
      </c>
      <c r="C23" s="129" t="s">
        <v>49</v>
      </c>
      <c r="D23" s="94">
        <v>112.52861999999999</v>
      </c>
      <c r="E23" s="103">
        <v>112.52861999999999</v>
      </c>
      <c r="F23" s="94">
        <f>D23-E23</f>
        <v>0</v>
      </c>
      <c r="G23" s="103"/>
      <c r="H23" s="103"/>
      <c r="I23" s="649"/>
      <c r="J23" s="94">
        <f t="shared" si="2"/>
        <v>0</v>
      </c>
      <c r="K23" s="102" t="s">
        <v>154</v>
      </c>
      <c r="L23" s="116">
        <f t="shared" si="1"/>
        <v>12</v>
      </c>
      <c r="N23" s="91"/>
    </row>
    <row r="24" spans="1:14" ht="19.5">
      <c r="A24" s="116">
        <f t="shared" si="0"/>
        <v>13</v>
      </c>
      <c r="B24" s="669">
        <v>930.2</v>
      </c>
      <c r="C24" s="129" t="s">
        <v>239</v>
      </c>
      <c r="D24" s="94">
        <v>2206.68253</v>
      </c>
      <c r="E24" s="103">
        <v>576.97162999999989</v>
      </c>
      <c r="F24" s="94">
        <f t="shared" ref="F24" si="5">D24-E24</f>
        <v>1629.7109</v>
      </c>
      <c r="G24" s="538" t="s">
        <v>417</v>
      </c>
      <c r="H24" s="436">
        <v>-1483.3869999999999</v>
      </c>
      <c r="I24" s="667">
        <v>4</v>
      </c>
      <c r="J24" s="651">
        <f t="shared" si="2"/>
        <v>146.32390000000009</v>
      </c>
      <c r="K24" s="102" t="s">
        <v>155</v>
      </c>
      <c r="L24" s="116">
        <f t="shared" si="1"/>
        <v>13</v>
      </c>
      <c r="N24" s="133"/>
    </row>
    <row r="25" spans="1:14">
      <c r="A25" s="116">
        <f t="shared" si="0"/>
        <v>14</v>
      </c>
      <c r="B25" s="125">
        <v>931</v>
      </c>
      <c r="C25" s="129" t="s">
        <v>40</v>
      </c>
      <c r="D25" s="94">
        <v>8564.2415499999988</v>
      </c>
      <c r="E25" s="103">
        <v>0</v>
      </c>
      <c r="F25" s="94">
        <f>D25-E25</f>
        <v>8564.2415499999988</v>
      </c>
      <c r="G25" s="103"/>
      <c r="H25" s="103"/>
      <c r="I25" s="103"/>
      <c r="J25" s="94">
        <f t="shared" si="2"/>
        <v>8564.2415499999988</v>
      </c>
      <c r="K25" s="102" t="s">
        <v>156</v>
      </c>
      <c r="L25" s="116">
        <f t="shared" si="1"/>
        <v>14</v>
      </c>
      <c r="N25" s="91"/>
    </row>
    <row r="26" spans="1:14">
      <c r="A26" s="116">
        <f t="shared" si="0"/>
        <v>15</v>
      </c>
      <c r="B26" s="125">
        <v>935</v>
      </c>
      <c r="C26" s="129" t="s">
        <v>50</v>
      </c>
      <c r="D26" s="652">
        <v>12341.892099999999</v>
      </c>
      <c r="E26" s="286">
        <v>1502.526687415</v>
      </c>
      <c r="F26" s="652">
        <f>D26-E26</f>
        <v>10839.365412584999</v>
      </c>
      <c r="G26" s="653"/>
      <c r="H26" s="286"/>
      <c r="I26" s="263"/>
      <c r="J26" s="263">
        <f t="shared" si="2"/>
        <v>10839.365412584999</v>
      </c>
      <c r="K26" s="102" t="s">
        <v>157</v>
      </c>
      <c r="L26" s="116">
        <f t="shared" si="1"/>
        <v>15</v>
      </c>
      <c r="M26" s="108" t="s">
        <v>7</v>
      </c>
      <c r="N26" s="91"/>
    </row>
    <row r="27" spans="1:14">
      <c r="A27" s="116">
        <f t="shared" si="0"/>
        <v>16</v>
      </c>
      <c r="B27" s="125"/>
      <c r="D27" s="134"/>
      <c r="F27" s="134"/>
      <c r="J27" s="134"/>
      <c r="K27" s="135"/>
      <c r="L27" s="116">
        <f t="shared" si="1"/>
        <v>16</v>
      </c>
    </row>
    <row r="28" spans="1:14" ht="16.5" thickBot="1">
      <c r="A28" s="116">
        <f t="shared" si="0"/>
        <v>17</v>
      </c>
      <c r="B28" s="125"/>
      <c r="C28" s="118" t="s">
        <v>51</v>
      </c>
      <c r="D28" s="136">
        <f>SUM(D12:D26)</f>
        <v>498352.98056</v>
      </c>
      <c r="E28" s="655">
        <f>SUM(E12:E26)</f>
        <v>142435.51745866297</v>
      </c>
      <c r="F28" s="104">
        <f>SUM(F12:F26)</f>
        <v>355917.46310133697</v>
      </c>
      <c r="G28" s="654" t="s">
        <v>417</v>
      </c>
      <c r="H28" s="658">
        <f>SUM(H12:H26)</f>
        <v>-1040.0990000000002</v>
      </c>
      <c r="I28" s="655"/>
      <c r="J28" s="104">
        <f>SUM(J12:J26)</f>
        <v>354877.36410133692</v>
      </c>
      <c r="K28" s="137" t="s">
        <v>536</v>
      </c>
      <c r="L28" s="116">
        <f t="shared" si="1"/>
        <v>17</v>
      </c>
    </row>
    <row r="29" spans="1:14" ht="16.5" thickTop="1">
      <c r="A29" s="116">
        <f t="shared" si="0"/>
        <v>18</v>
      </c>
      <c r="B29" s="125"/>
      <c r="C29" s="118"/>
      <c r="D29" s="99"/>
      <c r="E29" s="89"/>
      <c r="F29" s="106"/>
      <c r="G29" s="545"/>
      <c r="H29" s="545"/>
      <c r="I29" s="545"/>
      <c r="J29" s="106"/>
      <c r="K29" s="137"/>
      <c r="L29" s="116">
        <f t="shared" si="1"/>
        <v>18</v>
      </c>
    </row>
    <row r="30" spans="1:14" ht="18.75">
      <c r="A30" s="116">
        <f t="shared" si="0"/>
        <v>19</v>
      </c>
      <c r="B30" s="125">
        <v>413</v>
      </c>
      <c r="C30" s="108" t="s">
        <v>326</v>
      </c>
      <c r="D30" s="652">
        <v>54.345089999999999</v>
      </c>
      <c r="E30" s="263">
        <v>0</v>
      </c>
      <c r="F30" s="652">
        <f>D30-E30</f>
        <v>54.345089999999999</v>
      </c>
      <c r="G30" s="653"/>
      <c r="H30" s="286"/>
      <c r="I30" s="286"/>
      <c r="J30" s="652">
        <f>F30+H30</f>
        <v>54.345089999999999</v>
      </c>
      <c r="K30" s="137"/>
      <c r="L30" s="116">
        <f t="shared" si="1"/>
        <v>19</v>
      </c>
    </row>
    <row r="31" spans="1:14">
      <c r="A31" s="116">
        <f t="shared" si="0"/>
        <v>20</v>
      </c>
      <c r="B31" s="125"/>
      <c r="C31" s="118"/>
      <c r="D31" s="99"/>
      <c r="E31" s="89"/>
      <c r="F31" s="106"/>
      <c r="G31" s="545"/>
      <c r="H31" s="545"/>
      <c r="I31" s="545"/>
      <c r="J31" s="106"/>
      <c r="K31" s="137"/>
      <c r="L31" s="116">
        <f t="shared" si="1"/>
        <v>20</v>
      </c>
    </row>
    <row r="32" spans="1:14" ht="16.5" thickBot="1">
      <c r="A32" s="116">
        <f t="shared" si="0"/>
        <v>21</v>
      </c>
      <c r="B32" s="125"/>
      <c r="C32" s="118" t="s">
        <v>116</v>
      </c>
      <c r="D32" s="136">
        <f>D28+D30</f>
        <v>498407.32565000001</v>
      </c>
      <c r="E32" s="89">
        <f>E28+E30</f>
        <v>142435.51745866297</v>
      </c>
      <c r="F32" s="106">
        <f>F28+F30</f>
        <v>355971.80819133698</v>
      </c>
      <c r="G32" s="654" t="s">
        <v>417</v>
      </c>
      <c r="H32" s="658">
        <f>H28+H30</f>
        <v>-1040.0990000000002</v>
      </c>
      <c r="I32" s="655"/>
      <c r="J32" s="104">
        <f>J28+J30</f>
        <v>354931.70919133694</v>
      </c>
      <c r="K32" s="137" t="s">
        <v>548</v>
      </c>
      <c r="L32" s="116">
        <f t="shared" si="1"/>
        <v>21</v>
      </c>
    </row>
    <row r="33" spans="1:14" ht="17.25" thickTop="1" thickBot="1">
      <c r="A33" s="116">
        <f t="shared" si="0"/>
        <v>22</v>
      </c>
      <c r="B33" s="138"/>
      <c r="C33" s="109"/>
      <c r="D33" s="139"/>
      <c r="E33" s="140"/>
      <c r="F33" s="140"/>
      <c r="G33" s="662"/>
      <c r="H33" s="662"/>
      <c r="I33" s="662"/>
      <c r="J33" s="384"/>
      <c r="K33" s="141"/>
      <c r="L33" s="116">
        <f t="shared" si="1"/>
        <v>22</v>
      </c>
    </row>
    <row r="34" spans="1:14">
      <c r="A34" s="116">
        <f t="shared" si="0"/>
        <v>23</v>
      </c>
      <c r="B34" s="142"/>
      <c r="D34" s="143"/>
      <c r="E34" s="144"/>
      <c r="F34" s="143"/>
      <c r="G34" s="143"/>
      <c r="H34" s="143"/>
      <c r="I34" s="143"/>
      <c r="J34" s="143"/>
      <c r="K34" s="135"/>
      <c r="L34" s="116">
        <f t="shared" si="1"/>
        <v>23</v>
      </c>
    </row>
    <row r="35" spans="1:14">
      <c r="A35" s="116">
        <f t="shared" si="0"/>
        <v>24</v>
      </c>
      <c r="B35" s="145" t="s">
        <v>52</v>
      </c>
      <c r="C35" s="116"/>
      <c r="D35" s="116"/>
      <c r="E35" s="116"/>
      <c r="F35" s="116"/>
      <c r="G35" s="116"/>
      <c r="H35" s="116"/>
      <c r="I35" s="116"/>
      <c r="J35" s="116"/>
      <c r="K35" s="135"/>
      <c r="L35" s="116">
        <f t="shared" si="1"/>
        <v>24</v>
      </c>
    </row>
    <row r="36" spans="1:14">
      <c r="A36" s="116">
        <f t="shared" si="0"/>
        <v>25</v>
      </c>
      <c r="B36" s="469">
        <v>920</v>
      </c>
      <c r="C36" s="470" t="s">
        <v>53</v>
      </c>
      <c r="D36" s="471"/>
      <c r="E36" s="472">
        <v>91.867089999999976</v>
      </c>
      <c r="F36" s="116"/>
      <c r="G36" s="116"/>
      <c r="H36" s="116"/>
      <c r="I36" s="116"/>
      <c r="J36" s="116"/>
      <c r="K36" s="135"/>
      <c r="L36" s="116">
        <f t="shared" si="1"/>
        <v>25</v>
      </c>
    </row>
    <row r="37" spans="1:14">
      <c r="A37" s="116">
        <f t="shared" si="0"/>
        <v>26</v>
      </c>
      <c r="B37" s="469">
        <v>921</v>
      </c>
      <c r="C37" s="470" t="s">
        <v>53</v>
      </c>
      <c r="D37" s="471"/>
      <c r="E37" s="108">
        <v>-1.33857</v>
      </c>
      <c r="K37" s="135"/>
      <c r="L37" s="116">
        <f t="shared" si="1"/>
        <v>26</v>
      </c>
      <c r="N37" s="129"/>
    </row>
    <row r="38" spans="1:14">
      <c r="A38" s="116">
        <f t="shared" si="0"/>
        <v>27</v>
      </c>
      <c r="B38" s="469">
        <v>923</v>
      </c>
      <c r="C38" s="470" t="s">
        <v>386</v>
      </c>
      <c r="D38" s="472">
        <v>74.15849</v>
      </c>
      <c r="E38" s="473"/>
      <c r="K38" s="135"/>
      <c r="L38" s="116">
        <f t="shared" si="1"/>
        <v>27</v>
      </c>
    </row>
    <row r="39" spans="1:14">
      <c r="A39" s="116">
        <f t="shared" si="0"/>
        <v>28</v>
      </c>
      <c r="B39" s="469"/>
      <c r="C39" s="470" t="s">
        <v>53</v>
      </c>
      <c r="D39" s="474">
        <v>78.949559999999991</v>
      </c>
      <c r="E39" s="108">
        <f>SUM(D38:D39)</f>
        <v>153.10804999999999</v>
      </c>
      <c r="K39" s="135"/>
      <c r="L39" s="116">
        <f t="shared" si="1"/>
        <v>28</v>
      </c>
    </row>
    <row r="40" spans="1:14">
      <c r="A40" s="116">
        <f t="shared" si="0"/>
        <v>29</v>
      </c>
      <c r="B40" s="469">
        <v>925</v>
      </c>
      <c r="C40" s="475" t="s">
        <v>53</v>
      </c>
      <c r="D40" s="473">
        <v>268.99521833499995</v>
      </c>
      <c r="K40" s="135"/>
      <c r="L40" s="116">
        <f t="shared" si="1"/>
        <v>29</v>
      </c>
    </row>
    <row r="41" spans="1:14">
      <c r="A41" s="116">
        <f t="shared" si="0"/>
        <v>30</v>
      </c>
      <c r="B41" s="469"/>
      <c r="C41" s="475" t="s">
        <v>117</v>
      </c>
      <c r="D41" s="473">
        <v>0</v>
      </c>
      <c r="F41" s="382"/>
      <c r="G41" s="382"/>
      <c r="H41" s="382"/>
      <c r="I41" s="382"/>
      <c r="J41" s="382"/>
      <c r="K41" s="383"/>
      <c r="L41" s="116">
        <f t="shared" si="1"/>
        <v>30</v>
      </c>
    </row>
    <row r="42" spans="1:14">
      <c r="A42" s="116">
        <f t="shared" si="0"/>
        <v>31</v>
      </c>
      <c r="B42" s="469"/>
      <c r="C42" s="476" t="s">
        <v>387</v>
      </c>
      <c r="D42" s="474">
        <v>66.983239999999995</v>
      </c>
      <c r="E42" s="108">
        <f>SUM(D40:D42)</f>
        <v>335.97845833499991</v>
      </c>
      <c r="K42" s="135"/>
      <c r="L42" s="116">
        <f t="shared" si="1"/>
        <v>31</v>
      </c>
    </row>
    <row r="43" spans="1:14">
      <c r="A43" s="116">
        <f t="shared" si="0"/>
        <v>32</v>
      </c>
      <c r="B43" s="469">
        <v>926</v>
      </c>
      <c r="C43" s="475" t="s">
        <v>53</v>
      </c>
      <c r="D43" s="473">
        <v>730.03415291299996</v>
      </c>
      <c r="E43" s="473"/>
      <c r="K43" s="135"/>
      <c r="L43" s="116">
        <f t="shared" si="1"/>
        <v>32</v>
      </c>
    </row>
    <row r="44" spans="1:14">
      <c r="A44" s="116">
        <f t="shared" si="0"/>
        <v>33</v>
      </c>
      <c r="B44" s="469"/>
      <c r="C44" s="475" t="s">
        <v>387</v>
      </c>
      <c r="D44" s="474">
        <v>183.35011</v>
      </c>
      <c r="E44" s="108">
        <f>SUM(D43:D44)</f>
        <v>913.38426291299993</v>
      </c>
      <c r="F44" s="382"/>
      <c r="G44" s="382"/>
      <c r="H44" s="382"/>
      <c r="I44" s="382"/>
      <c r="J44" s="382"/>
      <c r="K44" s="383"/>
      <c r="L44" s="116">
        <f t="shared" si="1"/>
        <v>33</v>
      </c>
    </row>
    <row r="45" spans="1:14">
      <c r="A45" s="116">
        <f t="shared" si="0"/>
        <v>34</v>
      </c>
      <c r="B45" s="469">
        <v>927</v>
      </c>
      <c r="C45" s="475" t="s">
        <v>47</v>
      </c>
      <c r="D45" s="477"/>
      <c r="E45" s="473">
        <v>127615.79129000001</v>
      </c>
      <c r="K45" s="135"/>
      <c r="L45" s="116">
        <f t="shared" si="1"/>
        <v>34</v>
      </c>
    </row>
    <row r="46" spans="1:14">
      <c r="A46" s="116">
        <f t="shared" si="0"/>
        <v>35</v>
      </c>
      <c r="B46" s="469">
        <v>928</v>
      </c>
      <c r="C46" s="475" t="s">
        <v>53</v>
      </c>
      <c r="D46" s="473">
        <v>0</v>
      </c>
      <c r="E46" s="473"/>
      <c r="K46" s="135"/>
      <c r="L46" s="116">
        <f t="shared" si="1"/>
        <v>35</v>
      </c>
    </row>
    <row r="47" spans="1:14">
      <c r="A47" s="116">
        <f t="shared" si="0"/>
        <v>36</v>
      </c>
      <c r="B47" s="469"/>
      <c r="C47" s="470" t="s">
        <v>54</v>
      </c>
      <c r="D47" s="473">
        <v>0</v>
      </c>
      <c r="E47" s="473"/>
      <c r="K47" s="135"/>
      <c r="L47" s="116">
        <f t="shared" si="1"/>
        <v>36</v>
      </c>
    </row>
    <row r="48" spans="1:14">
      <c r="A48" s="116">
        <f t="shared" si="0"/>
        <v>37</v>
      </c>
      <c r="B48" s="469"/>
      <c r="C48" s="470" t="s">
        <v>55</v>
      </c>
      <c r="D48" s="473">
        <v>1212.49029</v>
      </c>
      <c r="E48" s="478"/>
      <c r="K48" s="135"/>
      <c r="L48" s="116">
        <f t="shared" si="1"/>
        <v>37</v>
      </c>
    </row>
    <row r="49" spans="1:12">
      <c r="A49" s="116">
        <f t="shared" si="0"/>
        <v>38</v>
      </c>
      <c r="B49" s="469"/>
      <c r="C49" s="470" t="s">
        <v>56</v>
      </c>
      <c r="D49" s="473">
        <v>9790.5481500000005</v>
      </c>
      <c r="E49" s="479"/>
      <c r="F49" s="203"/>
      <c r="G49" s="203"/>
      <c r="H49" s="203"/>
      <c r="I49" s="203"/>
      <c r="J49" s="203"/>
      <c r="K49" s="135"/>
      <c r="L49" s="116">
        <f t="shared" si="1"/>
        <v>38</v>
      </c>
    </row>
    <row r="50" spans="1:12">
      <c r="A50" s="116">
        <f t="shared" si="0"/>
        <v>39</v>
      </c>
      <c r="B50" s="480"/>
      <c r="C50" s="475" t="s">
        <v>57</v>
      </c>
      <c r="D50" s="474">
        <v>131.66149999999999</v>
      </c>
      <c r="E50" s="481">
        <f>SUM(D46:D50)</f>
        <v>11134.69994</v>
      </c>
      <c r="F50" s="203"/>
      <c r="G50" s="203"/>
      <c r="H50" s="203"/>
      <c r="I50" s="203"/>
      <c r="J50" s="203"/>
      <c r="K50" s="135"/>
      <c r="L50" s="116">
        <f t="shared" si="1"/>
        <v>39</v>
      </c>
    </row>
    <row r="51" spans="1:12">
      <c r="A51" s="116">
        <f t="shared" si="0"/>
        <v>40</v>
      </c>
      <c r="B51" s="482">
        <v>930.1</v>
      </c>
      <c r="C51" s="470" t="s">
        <v>49</v>
      </c>
      <c r="D51" s="477"/>
      <c r="E51" s="473">
        <v>112.52861999999999</v>
      </c>
      <c r="F51" s="203"/>
      <c r="G51" s="203"/>
      <c r="H51" s="203"/>
      <c r="I51" s="203"/>
      <c r="J51" s="203"/>
      <c r="K51" s="135"/>
      <c r="L51" s="116">
        <f t="shared" si="1"/>
        <v>40</v>
      </c>
    </row>
    <row r="52" spans="1:12">
      <c r="A52" s="116">
        <f t="shared" si="0"/>
        <v>41</v>
      </c>
      <c r="B52" s="482">
        <v>930.2</v>
      </c>
      <c r="C52" s="475" t="s">
        <v>58</v>
      </c>
      <c r="D52" s="481">
        <v>0</v>
      </c>
      <c r="E52" s="483"/>
      <c r="F52" s="100"/>
      <c r="G52" s="100"/>
      <c r="H52" s="100"/>
      <c r="I52" s="100"/>
      <c r="J52" s="100"/>
      <c r="K52" s="135"/>
      <c r="L52" s="116">
        <f t="shared" si="1"/>
        <v>41</v>
      </c>
    </row>
    <row r="53" spans="1:12">
      <c r="A53" s="116">
        <f t="shared" si="0"/>
        <v>42</v>
      </c>
      <c r="B53" s="482"/>
      <c r="C53" s="475" t="s">
        <v>59</v>
      </c>
      <c r="D53" s="484">
        <v>576.97162999999989</v>
      </c>
      <c r="E53" s="481">
        <f>SUM(D52:D53)</f>
        <v>576.97162999999989</v>
      </c>
      <c r="F53" s="100"/>
      <c r="G53" s="100"/>
      <c r="H53" s="100"/>
      <c r="I53" s="100"/>
      <c r="J53" s="100"/>
      <c r="K53" s="135"/>
      <c r="L53" s="116">
        <f t="shared" si="1"/>
        <v>42</v>
      </c>
    </row>
    <row r="54" spans="1:12">
      <c r="A54" s="116">
        <f t="shared" si="0"/>
        <v>43</v>
      </c>
      <c r="B54" s="469">
        <v>935</v>
      </c>
      <c r="C54" s="485" t="s">
        <v>60</v>
      </c>
      <c r="D54" s="481">
        <v>39.414587415</v>
      </c>
      <c r="E54" s="483"/>
      <c r="F54" s="100"/>
      <c r="G54" s="100"/>
      <c r="H54" s="100"/>
      <c r="I54" s="100"/>
      <c r="J54" s="100"/>
      <c r="K54" s="135"/>
      <c r="L54" s="116">
        <f t="shared" si="1"/>
        <v>43</v>
      </c>
    </row>
    <row r="55" spans="1:12">
      <c r="A55" s="116">
        <f t="shared" si="0"/>
        <v>44</v>
      </c>
      <c r="B55" s="469"/>
      <c r="C55" s="485" t="s">
        <v>53</v>
      </c>
      <c r="D55" s="484">
        <v>1463.1121000000001</v>
      </c>
      <c r="E55" s="484">
        <f>SUM(D54:D55)</f>
        <v>1502.526687415</v>
      </c>
      <c r="F55" s="100"/>
      <c r="G55" s="100"/>
      <c r="H55" s="100"/>
      <c r="I55" s="100"/>
      <c r="J55" s="100"/>
      <c r="K55" s="135"/>
      <c r="L55" s="116">
        <f t="shared" si="1"/>
        <v>44</v>
      </c>
    </row>
    <row r="56" spans="1:12">
      <c r="A56" s="116">
        <f t="shared" si="0"/>
        <v>45</v>
      </c>
      <c r="B56" s="486"/>
      <c r="C56" s="487"/>
      <c r="D56" s="488"/>
      <c r="E56" s="92"/>
      <c r="F56" s="100"/>
      <c r="G56" s="100"/>
      <c r="H56" s="100"/>
      <c r="I56" s="100"/>
      <c r="J56" s="100"/>
      <c r="K56" s="135"/>
      <c r="L56" s="116">
        <f t="shared" si="1"/>
        <v>45</v>
      </c>
    </row>
    <row r="57" spans="1:12" ht="16.5" thickBot="1">
      <c r="A57" s="116">
        <f t="shared" si="0"/>
        <v>46</v>
      </c>
      <c r="B57" s="142"/>
      <c r="C57" s="146" t="s">
        <v>41</v>
      </c>
      <c r="D57" s="489"/>
      <c r="E57" s="147">
        <f>SUM(E36:E55)</f>
        <v>142435.51745866297</v>
      </c>
      <c r="F57" s="100"/>
      <c r="G57" s="100"/>
      <c r="H57" s="100"/>
      <c r="I57" s="100"/>
      <c r="J57" s="100"/>
      <c r="K57" s="135"/>
      <c r="L57" s="116">
        <f t="shared" si="1"/>
        <v>46</v>
      </c>
    </row>
    <row r="58" spans="1:12" ht="16.5" thickTop="1">
      <c r="A58" s="116">
        <f t="shared" si="0"/>
        <v>47</v>
      </c>
      <c r="B58" s="142"/>
      <c r="C58" s="146"/>
      <c r="D58" s="489"/>
      <c r="E58" s="148"/>
      <c r="F58" s="100"/>
      <c r="G58" s="100"/>
      <c r="H58" s="100"/>
      <c r="I58" s="100"/>
      <c r="J58" s="100"/>
      <c r="K58" s="135"/>
      <c r="L58" s="116">
        <f t="shared" si="1"/>
        <v>47</v>
      </c>
    </row>
    <row r="59" spans="1:12">
      <c r="A59" s="116">
        <f t="shared" si="0"/>
        <v>48</v>
      </c>
      <c r="B59" s="656" t="s">
        <v>417</v>
      </c>
      <c r="C59" s="5" t="s">
        <v>442</v>
      </c>
      <c r="E59" s="148"/>
      <c r="F59" s="100"/>
      <c r="G59" s="100"/>
      <c r="H59" s="100"/>
      <c r="I59" s="100"/>
      <c r="J59" s="100"/>
      <c r="K59" s="135"/>
      <c r="L59" s="116">
        <f t="shared" si="1"/>
        <v>48</v>
      </c>
    </row>
    <row r="60" spans="1:12" ht="18.75">
      <c r="A60" s="116">
        <f t="shared" si="0"/>
        <v>49</v>
      </c>
      <c r="B60" s="107">
        <v>1</v>
      </c>
      <c r="C60" s="44" t="s">
        <v>539</v>
      </c>
      <c r="E60" s="148"/>
      <c r="F60" s="100"/>
      <c r="G60" s="100"/>
      <c r="H60" s="100"/>
      <c r="I60" s="100"/>
      <c r="J60" s="100"/>
      <c r="K60" s="135"/>
      <c r="L60" s="116">
        <f t="shared" si="1"/>
        <v>49</v>
      </c>
    </row>
    <row r="61" spans="1:12" ht="18.75">
      <c r="A61" s="116">
        <f t="shared" si="0"/>
        <v>50</v>
      </c>
      <c r="B61" s="396"/>
      <c r="C61" s="1" t="s">
        <v>385</v>
      </c>
      <c r="E61" s="148"/>
      <c r="F61" s="100"/>
      <c r="G61" s="100"/>
      <c r="H61" s="100"/>
      <c r="I61" s="100"/>
      <c r="J61" s="100"/>
      <c r="K61" s="135"/>
      <c r="L61" s="116">
        <f t="shared" si="1"/>
        <v>50</v>
      </c>
    </row>
    <row r="62" spans="1:12" ht="18.75">
      <c r="A62" s="116">
        <f t="shared" si="0"/>
        <v>51</v>
      </c>
      <c r="B62" s="670">
        <v>2</v>
      </c>
      <c r="C62" s="129" t="s">
        <v>543</v>
      </c>
      <c r="E62" s="148"/>
      <c r="F62" s="100"/>
      <c r="G62" s="100"/>
      <c r="H62" s="100"/>
      <c r="I62" s="100"/>
      <c r="J62" s="100"/>
      <c r="K62" s="135"/>
      <c r="L62" s="116">
        <f t="shared" si="1"/>
        <v>51</v>
      </c>
    </row>
    <row r="63" spans="1:12" ht="18.75">
      <c r="A63" s="116">
        <f t="shared" si="0"/>
        <v>52</v>
      </c>
      <c r="B63" s="670">
        <v>3</v>
      </c>
      <c r="C63" s="98" t="s">
        <v>544</v>
      </c>
      <c r="E63" s="148"/>
      <c r="F63" s="100"/>
      <c r="G63" s="100"/>
      <c r="H63" s="100"/>
      <c r="I63" s="100"/>
      <c r="J63" s="100"/>
      <c r="K63" s="135"/>
      <c r="L63" s="116">
        <f t="shared" si="1"/>
        <v>52</v>
      </c>
    </row>
    <row r="64" spans="1:12" ht="18.75">
      <c r="A64" s="116">
        <f t="shared" si="0"/>
        <v>53</v>
      </c>
      <c r="B64" s="670"/>
      <c r="C64" s="98" t="s">
        <v>545</v>
      </c>
      <c r="E64" s="148"/>
      <c r="F64" s="100"/>
      <c r="G64" s="100"/>
      <c r="H64" s="100"/>
      <c r="I64" s="100"/>
      <c r="J64" s="100"/>
      <c r="K64" s="135"/>
      <c r="L64" s="116">
        <f t="shared" si="1"/>
        <v>53</v>
      </c>
    </row>
    <row r="65" spans="1:12" ht="18.75">
      <c r="A65" s="116">
        <f t="shared" si="0"/>
        <v>54</v>
      </c>
      <c r="B65" s="670">
        <v>4</v>
      </c>
      <c r="C65" s="98" t="s">
        <v>546</v>
      </c>
      <c r="E65" s="148"/>
      <c r="F65" s="100"/>
      <c r="G65" s="100"/>
      <c r="H65" s="100"/>
      <c r="I65" s="100"/>
      <c r="J65" s="100"/>
      <c r="K65" s="135"/>
      <c r="L65" s="116">
        <f t="shared" si="1"/>
        <v>54</v>
      </c>
    </row>
    <row r="66" spans="1:12" ht="18.75">
      <c r="A66" s="116">
        <f t="shared" si="0"/>
        <v>55</v>
      </c>
      <c r="B66" s="670"/>
      <c r="C66" s="98" t="s">
        <v>547</v>
      </c>
      <c r="E66" s="148"/>
      <c r="F66" s="100"/>
      <c r="G66" s="100"/>
      <c r="H66" s="100"/>
      <c r="I66" s="100"/>
      <c r="J66" s="100"/>
      <c r="K66" s="135"/>
      <c r="L66" s="116">
        <f t="shared" si="1"/>
        <v>55</v>
      </c>
    </row>
    <row r="67" spans="1:12" ht="16.5" thickBot="1">
      <c r="A67" s="116">
        <f t="shared" si="0"/>
        <v>56</v>
      </c>
      <c r="B67" s="149"/>
      <c r="C67" s="150"/>
      <c r="D67" s="109"/>
      <c r="E67" s="109"/>
      <c r="F67" s="109"/>
      <c r="G67" s="109"/>
      <c r="H67" s="109"/>
      <c r="I67" s="109"/>
      <c r="J67" s="109"/>
      <c r="K67" s="141"/>
      <c r="L67" s="116">
        <f t="shared" si="1"/>
        <v>56</v>
      </c>
    </row>
    <row r="68" spans="1:12">
      <c r="C68" s="129"/>
    </row>
    <row r="69" spans="1:12">
      <c r="A69" s="110"/>
      <c r="C69" s="129"/>
      <c r="D69" s="151"/>
      <c r="E69" s="151"/>
    </row>
    <row r="70" spans="1:12" ht="18.75">
      <c r="A70" s="152"/>
      <c r="B70" s="85"/>
      <c r="C70" s="1"/>
      <c r="D70" s="45"/>
      <c r="E70" s="45"/>
      <c r="F70" s="45"/>
      <c r="G70" s="45"/>
      <c r="H70" s="45"/>
      <c r="I70" s="45"/>
      <c r="J70" s="45"/>
    </row>
    <row r="71" spans="1:12" ht="18.75">
      <c r="A71" s="152"/>
      <c r="B71" s="85"/>
      <c r="C71" s="10"/>
      <c r="D71" s="45"/>
      <c r="E71" s="45"/>
      <c r="F71" s="45"/>
      <c r="G71" s="45"/>
      <c r="H71" s="45"/>
      <c r="I71" s="45"/>
      <c r="J71" s="45"/>
    </row>
    <row r="72" spans="1:12" ht="18.75">
      <c r="A72" s="152"/>
      <c r="B72" s="101"/>
      <c r="C72" s="1"/>
      <c r="D72" s="1"/>
      <c r="E72" s="1"/>
      <c r="F72" s="1"/>
      <c r="G72" s="1"/>
      <c r="H72" s="1"/>
      <c r="I72" s="1"/>
      <c r="J72" s="1"/>
    </row>
    <row r="73" spans="1:12" ht="18.75">
      <c r="A73" s="152"/>
      <c r="C73" s="129"/>
    </row>
    <row r="74" spans="1:12" ht="18.75">
      <c r="A74" s="152"/>
      <c r="C74" s="129"/>
    </row>
    <row r="75" spans="1:12" ht="18.75">
      <c r="A75" s="152"/>
      <c r="C75" s="129"/>
    </row>
    <row r="76" spans="1:12">
      <c r="A76" s="110"/>
      <c r="C76" s="129"/>
    </row>
    <row r="77" spans="1:12" ht="18.75">
      <c r="A77" s="152"/>
      <c r="C77" s="129"/>
    </row>
    <row r="78" spans="1:12">
      <c r="A78" s="110"/>
      <c r="C78" s="129"/>
    </row>
    <row r="79" spans="1:12" ht="18.75">
      <c r="A79" s="152"/>
      <c r="C79" s="129"/>
    </row>
    <row r="80" spans="1:12">
      <c r="A80" s="110"/>
      <c r="C80" s="129"/>
    </row>
    <row r="81" spans="1:3" ht="18.75">
      <c r="A81" s="152"/>
      <c r="C81" s="129"/>
    </row>
    <row r="82" spans="1:3" ht="18.75">
      <c r="A82" s="152"/>
      <c r="B82" s="129"/>
    </row>
    <row r="83" spans="1:3" ht="18.75">
      <c r="A83" s="152"/>
      <c r="B83" s="129"/>
    </row>
    <row r="84" spans="1:3">
      <c r="B84" s="129"/>
    </row>
    <row r="85" spans="1:3" ht="18.75">
      <c r="A85" s="152"/>
      <c r="B85" s="129"/>
    </row>
    <row r="86" spans="1:3">
      <c r="A86" s="153"/>
      <c r="B86" s="154"/>
    </row>
    <row r="87" spans="1:3">
      <c r="B87" s="129"/>
    </row>
  </sheetData>
  <mergeCells count="4">
    <mergeCell ref="B3:K3"/>
    <mergeCell ref="B4:K4"/>
    <mergeCell ref="B5:K5"/>
    <mergeCell ref="B6:K6"/>
  </mergeCells>
  <printOptions horizontalCentered="1"/>
  <pageMargins left="0.5" right="0.5" top="0.5" bottom="0.5" header="0.35" footer="0.25"/>
  <pageSetup scale="44" orientation="portrait" r:id="rId1"/>
  <headerFooter scaleWithDoc="0" alignWithMargins="0">
    <oddHeader>&amp;C&amp;"Times New Roman,Bold"&amp;6AS FILED AH-3 WITH COST ADJ INCL. IN APPENDIX XII CYCLE 4 (ER22-133)</oddHeader>
    <oddFooter>&amp;L&amp;F&amp;CPage 8.3&amp;R&amp;A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D6889-6EF6-435D-BF73-986B96E45BFD}">
  <sheetPr>
    <pageSetUpPr fitToPage="1"/>
  </sheetPr>
  <dimension ref="A1:K36"/>
  <sheetViews>
    <sheetView zoomScale="80" zoomScaleNormal="80" workbookViewId="0"/>
  </sheetViews>
  <sheetFormatPr defaultColWidth="8.85546875" defaultRowHeight="15.75"/>
  <cols>
    <col min="1" max="1" width="5.140625" style="84" bestFit="1" customWidth="1"/>
    <col min="2" max="2" width="68.85546875" style="86" customWidth="1"/>
    <col min="3" max="3" width="24" style="159" customWidth="1"/>
    <col min="4" max="4" width="1.5703125" style="86" customWidth="1"/>
    <col min="5" max="5" width="16.85546875" style="86" customWidth="1"/>
    <col min="6" max="6" width="1.5703125" style="86" customWidth="1"/>
    <col min="7" max="7" width="16.85546875" style="86" customWidth="1"/>
    <col min="8" max="8" width="1.5703125" style="86" customWidth="1"/>
    <col min="9" max="9" width="36.140625" style="86" customWidth="1"/>
    <col min="10" max="10" width="5.140625" style="86" customWidth="1"/>
    <col min="11" max="16384" width="8.85546875" style="86"/>
  </cols>
  <sheetData>
    <row r="1" spans="1:10">
      <c r="H1" s="84"/>
      <c r="I1" s="674"/>
      <c r="J1" s="84"/>
    </row>
    <row r="2" spans="1:10">
      <c r="B2" s="791" t="s">
        <v>12</v>
      </c>
      <c r="C2" s="792"/>
      <c r="D2" s="792"/>
      <c r="E2" s="792"/>
      <c r="F2" s="792"/>
      <c r="G2" s="792"/>
      <c r="H2" s="792"/>
      <c r="I2" s="792"/>
      <c r="J2" s="82"/>
    </row>
    <row r="3" spans="1:10">
      <c r="B3" s="791" t="s">
        <v>399</v>
      </c>
      <c r="C3" s="792"/>
      <c r="D3" s="792"/>
      <c r="E3" s="792"/>
      <c r="F3" s="792"/>
      <c r="G3" s="792"/>
      <c r="H3" s="792"/>
      <c r="I3" s="792"/>
      <c r="J3" s="82"/>
    </row>
    <row r="4" spans="1:10">
      <c r="B4" s="791" t="s">
        <v>61</v>
      </c>
      <c r="C4" s="792"/>
      <c r="D4" s="792"/>
      <c r="E4" s="792"/>
      <c r="F4" s="792"/>
      <c r="G4" s="792"/>
      <c r="H4" s="792"/>
      <c r="I4" s="792"/>
      <c r="J4" s="82"/>
    </row>
    <row r="5" spans="1:10">
      <c r="B5" s="793" t="s">
        <v>445</v>
      </c>
      <c r="C5" s="793"/>
      <c r="D5" s="793"/>
      <c r="E5" s="793"/>
      <c r="F5" s="793"/>
      <c r="G5" s="793"/>
      <c r="H5" s="793"/>
      <c r="I5" s="793"/>
      <c r="J5" s="82"/>
    </row>
    <row r="6" spans="1:10">
      <c r="B6" s="794" t="s">
        <v>1</v>
      </c>
      <c r="C6" s="794"/>
      <c r="D6" s="794"/>
      <c r="E6" s="794"/>
      <c r="F6" s="794"/>
      <c r="G6" s="794"/>
      <c r="H6" s="794"/>
      <c r="I6" s="794"/>
      <c r="J6" s="83"/>
    </row>
    <row r="7" spans="1:10">
      <c r="B7" s="84"/>
      <c r="D7" s="84"/>
      <c r="E7" s="84"/>
      <c r="F7" s="84"/>
      <c r="G7" s="84"/>
      <c r="H7" s="82"/>
      <c r="I7" s="82"/>
      <c r="J7" s="82"/>
    </row>
    <row r="8" spans="1:10">
      <c r="A8" s="84" t="s">
        <v>2</v>
      </c>
      <c r="B8" s="82"/>
      <c r="C8" s="101" t="s">
        <v>159</v>
      </c>
      <c r="D8" s="84"/>
      <c r="E8" s="84" t="s">
        <v>161</v>
      </c>
      <c r="F8" s="84"/>
      <c r="G8" s="84" t="s">
        <v>162</v>
      </c>
      <c r="H8" s="82"/>
      <c r="I8" s="82"/>
      <c r="J8" s="84" t="s">
        <v>2</v>
      </c>
    </row>
    <row r="9" spans="1:10">
      <c r="A9" s="84" t="s">
        <v>14</v>
      </c>
      <c r="B9" s="82"/>
      <c r="C9" s="418" t="s">
        <v>160</v>
      </c>
      <c r="D9" s="82"/>
      <c r="E9" s="675" t="s">
        <v>163</v>
      </c>
      <c r="F9" s="82"/>
      <c r="G9" s="675" t="s">
        <v>5</v>
      </c>
      <c r="H9" s="82"/>
      <c r="I9" s="676" t="s">
        <v>6</v>
      </c>
      <c r="J9" s="84" t="s">
        <v>14</v>
      </c>
    </row>
    <row r="10" spans="1:10">
      <c r="B10" s="84"/>
      <c r="D10" s="84"/>
      <c r="E10" s="84"/>
      <c r="F10" s="84"/>
      <c r="G10" s="84"/>
      <c r="H10" s="84"/>
      <c r="I10" s="84"/>
      <c r="J10" s="84"/>
    </row>
    <row r="11" spans="1:10" ht="18.75">
      <c r="A11" s="84">
        <v>1</v>
      </c>
      <c r="B11" s="86" t="s">
        <v>164</v>
      </c>
      <c r="C11" s="84" t="s">
        <v>165</v>
      </c>
      <c r="E11" s="160"/>
      <c r="F11" s="161"/>
      <c r="G11" s="162">
        <v>128028.38738461537</v>
      </c>
      <c r="H11" s="161"/>
      <c r="I11" s="163" t="s">
        <v>549</v>
      </c>
      <c r="J11" s="84">
        <f>A11</f>
        <v>1</v>
      </c>
    </row>
    <row r="12" spans="1:10">
      <c r="A12" s="84">
        <f>+A11+1</f>
        <v>2</v>
      </c>
      <c r="C12" s="84"/>
      <c r="E12" s="155"/>
      <c r="F12" s="164"/>
      <c r="G12" s="164"/>
      <c r="H12" s="164"/>
      <c r="I12" s="163"/>
      <c r="J12" s="84">
        <f>+J11+1</f>
        <v>2</v>
      </c>
    </row>
    <row r="13" spans="1:10">
      <c r="A13" s="84">
        <f t="shared" ref="A13:A29" si="0">+A12+1</f>
        <v>3</v>
      </c>
      <c r="B13" s="86" t="s">
        <v>62</v>
      </c>
      <c r="C13" s="84"/>
      <c r="E13" s="165"/>
      <c r="F13" s="166"/>
      <c r="G13" s="454">
        <v>0.39491043746939913</v>
      </c>
      <c r="H13" s="538"/>
      <c r="I13" s="163" t="s">
        <v>550</v>
      </c>
      <c r="J13" s="84">
        <f t="shared" ref="J13:J29" si="1">+J12+1</f>
        <v>3</v>
      </c>
    </row>
    <row r="14" spans="1:10">
      <c r="A14" s="84">
        <f t="shared" si="0"/>
        <v>4</v>
      </c>
      <c r="C14" s="84"/>
      <c r="E14" s="155"/>
      <c r="F14" s="164"/>
      <c r="G14" s="155"/>
      <c r="H14" s="164"/>
      <c r="I14" s="163"/>
      <c r="J14" s="84">
        <f t="shared" si="1"/>
        <v>4</v>
      </c>
    </row>
    <row r="15" spans="1:10" ht="16.5" thickBot="1">
      <c r="A15" s="84">
        <f t="shared" si="0"/>
        <v>5</v>
      </c>
      <c r="B15" s="86" t="s">
        <v>166</v>
      </c>
      <c r="C15" s="84"/>
      <c r="E15" s="167"/>
      <c r="F15" s="164"/>
      <c r="G15" s="168">
        <f>G11*G13</f>
        <v>50559.74647056016</v>
      </c>
      <c r="H15" s="538"/>
      <c r="I15" s="163" t="s">
        <v>551</v>
      </c>
      <c r="J15" s="84">
        <f t="shared" si="1"/>
        <v>5</v>
      </c>
    </row>
    <row r="16" spans="1:10" ht="16.5" thickTop="1">
      <c r="A16" s="84">
        <f t="shared" si="0"/>
        <v>6</v>
      </c>
      <c r="C16" s="84"/>
      <c r="E16" s="95"/>
      <c r="F16" s="84"/>
      <c r="G16" s="84"/>
      <c r="H16" s="84"/>
      <c r="I16" s="163"/>
      <c r="J16" s="84">
        <f t="shared" si="1"/>
        <v>6</v>
      </c>
    </row>
    <row r="17" spans="1:11" ht="18.75">
      <c r="A17" s="84">
        <f t="shared" si="0"/>
        <v>7</v>
      </c>
      <c r="B17" s="86" t="s">
        <v>167</v>
      </c>
      <c r="C17" s="84" t="s">
        <v>168</v>
      </c>
      <c r="D17" s="158"/>
      <c r="E17" s="160"/>
      <c r="F17" s="164"/>
      <c r="G17" s="677">
        <v>64127.97638461538</v>
      </c>
      <c r="H17" s="161"/>
      <c r="I17" s="163" t="s">
        <v>552</v>
      </c>
      <c r="J17" s="84">
        <f t="shared" si="1"/>
        <v>7</v>
      </c>
    </row>
    <row r="18" spans="1:11">
      <c r="A18" s="84">
        <f t="shared" si="0"/>
        <v>8</v>
      </c>
      <c r="C18" s="84"/>
      <c r="E18" s="169"/>
      <c r="F18" s="164"/>
      <c r="G18" s="164"/>
      <c r="H18" s="164"/>
      <c r="I18" s="163"/>
      <c r="J18" s="84">
        <f t="shared" si="1"/>
        <v>8</v>
      </c>
    </row>
    <row r="19" spans="1:11" ht="16.5" thickBot="1">
      <c r="A19" s="84">
        <f t="shared" si="0"/>
        <v>9</v>
      </c>
      <c r="B19" s="86" t="s">
        <v>169</v>
      </c>
      <c r="E19" s="160"/>
      <c r="F19" s="164"/>
      <c r="G19" s="168">
        <f>G13*G17</f>
        <v>25324.807208075756</v>
      </c>
      <c r="H19" s="538"/>
      <c r="I19" s="163" t="s">
        <v>553</v>
      </c>
      <c r="J19" s="84">
        <f t="shared" si="1"/>
        <v>9</v>
      </c>
    </row>
    <row r="20" spans="1:11" ht="16.5" thickTop="1">
      <c r="A20" s="84">
        <f t="shared" si="0"/>
        <v>10</v>
      </c>
      <c r="E20" s="170"/>
      <c r="F20" s="164"/>
      <c r="G20" s="164"/>
      <c r="H20" s="164"/>
      <c r="I20" s="163"/>
      <c r="J20" s="84">
        <f t="shared" si="1"/>
        <v>10</v>
      </c>
    </row>
    <row r="21" spans="1:11">
      <c r="A21" s="84">
        <f t="shared" si="0"/>
        <v>11</v>
      </c>
      <c r="B21" s="171" t="s">
        <v>170</v>
      </c>
      <c r="E21" s="170"/>
      <c r="F21" s="164"/>
      <c r="G21" s="164"/>
      <c r="H21" s="164"/>
      <c r="I21" s="163"/>
      <c r="J21" s="84">
        <f t="shared" si="1"/>
        <v>11</v>
      </c>
    </row>
    <row r="22" spans="1:11">
      <c r="A22" s="84">
        <f t="shared" si="0"/>
        <v>12</v>
      </c>
      <c r="B22" s="86" t="s">
        <v>171</v>
      </c>
      <c r="E22" s="172">
        <f>'Pg8 Rev Stmt AH'!E28</f>
        <v>33850.143890000007</v>
      </c>
      <c r="F22" s="538"/>
      <c r="G22" s="173"/>
      <c r="H22" s="164"/>
      <c r="I22" s="163" t="s">
        <v>480</v>
      </c>
      <c r="J22" s="84">
        <f t="shared" si="1"/>
        <v>12</v>
      </c>
    </row>
    <row r="23" spans="1:11">
      <c r="A23" s="84">
        <f t="shared" si="0"/>
        <v>13</v>
      </c>
      <c r="B23" s="86" t="s">
        <v>172</v>
      </c>
      <c r="E23" s="679">
        <f>'Pg8 Rev Stmt AH'!E52</f>
        <v>38660.56788979689</v>
      </c>
      <c r="F23" s="538" t="s">
        <v>417</v>
      </c>
      <c r="G23" s="175"/>
      <c r="H23" s="164"/>
      <c r="I23" s="163" t="s">
        <v>632</v>
      </c>
      <c r="J23" s="84">
        <f t="shared" si="1"/>
        <v>13</v>
      </c>
    </row>
    <row r="24" spans="1:11">
      <c r="A24" s="84">
        <f t="shared" si="0"/>
        <v>14</v>
      </c>
      <c r="B24" s="86" t="s">
        <v>173</v>
      </c>
      <c r="E24" s="680">
        <v>0</v>
      </c>
      <c r="F24" s="164"/>
      <c r="G24" s="175"/>
      <c r="H24" s="164"/>
      <c r="I24" s="163" t="s">
        <v>556</v>
      </c>
      <c r="J24" s="84">
        <f t="shared" si="1"/>
        <v>14</v>
      </c>
      <c r="K24" s="97"/>
    </row>
    <row r="25" spans="1:11">
      <c r="A25" s="84">
        <f t="shared" si="0"/>
        <v>15</v>
      </c>
      <c r="B25" s="86" t="s">
        <v>115</v>
      </c>
      <c r="E25" s="681">
        <f>SUM(E22:E24)</f>
        <v>72510.711779796897</v>
      </c>
      <c r="F25" s="538" t="s">
        <v>417</v>
      </c>
      <c r="G25" s="158"/>
      <c r="H25" s="163"/>
      <c r="I25" s="163" t="s">
        <v>554</v>
      </c>
      <c r="J25" s="84">
        <f t="shared" si="1"/>
        <v>15</v>
      </c>
    </row>
    <row r="26" spans="1:11">
      <c r="A26" s="84">
        <f t="shared" si="0"/>
        <v>16</v>
      </c>
      <c r="F26" s="84"/>
      <c r="H26" s="84"/>
      <c r="I26" s="163"/>
      <c r="J26" s="84">
        <f t="shared" si="1"/>
        <v>16</v>
      </c>
    </row>
    <row r="27" spans="1:11">
      <c r="A27" s="84">
        <f t="shared" si="0"/>
        <v>17</v>
      </c>
      <c r="B27" s="86" t="s">
        <v>174</v>
      </c>
      <c r="E27" s="682">
        <f>1/8</f>
        <v>0.125</v>
      </c>
      <c r="F27" s="84"/>
      <c r="G27" s="176"/>
      <c r="H27" s="84"/>
      <c r="I27" s="163" t="s">
        <v>63</v>
      </c>
      <c r="J27" s="84">
        <f t="shared" si="1"/>
        <v>17</v>
      </c>
    </row>
    <row r="28" spans="1:11">
      <c r="A28" s="84">
        <f t="shared" si="0"/>
        <v>18</v>
      </c>
      <c r="E28" s="155" t="s">
        <v>7</v>
      </c>
      <c r="F28" s="164"/>
      <c r="G28" s="155"/>
      <c r="H28" s="164"/>
      <c r="I28" s="163"/>
      <c r="J28" s="84">
        <f t="shared" si="1"/>
        <v>18</v>
      </c>
    </row>
    <row r="29" spans="1:11" ht="16.5" thickBot="1">
      <c r="A29" s="84">
        <f t="shared" si="0"/>
        <v>19</v>
      </c>
      <c r="B29" s="86" t="s">
        <v>175</v>
      </c>
      <c r="E29" s="632">
        <f>E25*E27</f>
        <v>9063.8389724746121</v>
      </c>
      <c r="F29" s="538" t="s">
        <v>417</v>
      </c>
      <c r="G29" s="167"/>
      <c r="H29" s="164"/>
      <c r="I29" s="84" t="s">
        <v>555</v>
      </c>
      <c r="J29" s="84">
        <f t="shared" si="1"/>
        <v>19</v>
      </c>
    </row>
    <row r="30" spans="1:11" ht="16.5" thickTop="1">
      <c r="B30" s="179"/>
    </row>
    <row r="31" spans="1:11">
      <c r="B31" s="179"/>
    </row>
    <row r="32" spans="1:11">
      <c r="A32" s="538" t="s">
        <v>417</v>
      </c>
      <c r="B32" s="5" t="str">
        <f>'Pg8 Rev Stmt AH'!B74</f>
        <v xml:space="preserve">Items in bold have changed due to A&amp;G adj. on WMPMA exclusion reversal compared to the original SX-PQ Appendix XII Cycle 3 filing per ER21-320 and cost adjustments </v>
      </c>
    </row>
    <row r="33" spans="1:2">
      <c r="A33" s="538"/>
      <c r="B33" s="5" t="str">
        <f>'Pg8 Rev Stmt AH'!B75</f>
        <v xml:space="preserve">included in Appendix XII Cycle 4 per ER22-133.  </v>
      </c>
    </row>
    <row r="34" spans="1:2" ht="18.75">
      <c r="A34" s="180">
        <v>1</v>
      </c>
      <c r="B34" s="86" t="s">
        <v>64</v>
      </c>
    </row>
    <row r="35" spans="1:2" ht="18.75">
      <c r="A35" s="180"/>
    </row>
    <row r="36" spans="1:2">
      <c r="A36" s="82"/>
      <c r="B36" s="83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2DF23-16B9-4EB9-A351-EA5ABF0A0521}">
  <sheetPr>
    <pageSetUpPr fitToPage="1"/>
  </sheetPr>
  <dimension ref="A1:K35"/>
  <sheetViews>
    <sheetView zoomScale="80" zoomScaleNormal="80" workbookViewId="0"/>
  </sheetViews>
  <sheetFormatPr defaultColWidth="8.85546875" defaultRowHeight="15.75"/>
  <cols>
    <col min="1" max="1" width="5.140625" style="84" bestFit="1" customWidth="1"/>
    <col min="2" max="2" width="68.85546875" style="86" customWidth="1"/>
    <col min="3" max="3" width="24" style="159" customWidth="1"/>
    <col min="4" max="4" width="1.5703125" style="86" customWidth="1"/>
    <col min="5" max="5" width="16.85546875" style="86" customWidth="1"/>
    <col min="6" max="6" width="1.5703125" style="86" customWidth="1"/>
    <col min="7" max="7" width="16.85546875" style="86" customWidth="1"/>
    <col min="8" max="8" width="1.5703125" style="86" customWidth="1"/>
    <col min="9" max="9" width="36.140625" style="86" customWidth="1"/>
    <col min="10" max="10" width="5.140625" style="86" customWidth="1"/>
    <col min="11" max="16384" width="8.85546875" style="86"/>
  </cols>
  <sheetData>
    <row r="1" spans="1:10">
      <c r="A1" s="605" t="s">
        <v>557</v>
      </c>
    </row>
    <row r="2" spans="1:10">
      <c r="H2" s="84"/>
      <c r="I2" s="674"/>
      <c r="J2" s="84"/>
    </row>
    <row r="3" spans="1:10">
      <c r="B3" s="791" t="s">
        <v>12</v>
      </c>
      <c r="C3" s="792"/>
      <c r="D3" s="792"/>
      <c r="E3" s="792"/>
      <c r="F3" s="792"/>
      <c r="G3" s="792"/>
      <c r="H3" s="792"/>
      <c r="I3" s="792"/>
      <c r="J3" s="82"/>
    </row>
    <row r="4" spans="1:10">
      <c r="B4" s="791" t="s">
        <v>399</v>
      </c>
      <c r="C4" s="792"/>
      <c r="D4" s="792"/>
      <c r="E4" s="792"/>
      <c r="F4" s="792"/>
      <c r="G4" s="792"/>
      <c r="H4" s="792"/>
      <c r="I4" s="792"/>
      <c r="J4" s="82"/>
    </row>
    <row r="5" spans="1:10">
      <c r="B5" s="791" t="s">
        <v>61</v>
      </c>
      <c r="C5" s="792"/>
      <c r="D5" s="792"/>
      <c r="E5" s="792"/>
      <c r="F5" s="792"/>
      <c r="G5" s="792"/>
      <c r="H5" s="792"/>
      <c r="I5" s="792"/>
      <c r="J5" s="82"/>
    </row>
    <row r="6" spans="1:10">
      <c r="B6" s="793" t="s">
        <v>445</v>
      </c>
      <c r="C6" s="793"/>
      <c r="D6" s="793"/>
      <c r="E6" s="793"/>
      <c r="F6" s="793"/>
      <c r="G6" s="793"/>
      <c r="H6" s="793"/>
      <c r="I6" s="793"/>
      <c r="J6" s="82"/>
    </row>
    <row r="7" spans="1:10">
      <c r="B7" s="794" t="s">
        <v>1</v>
      </c>
      <c r="C7" s="794"/>
      <c r="D7" s="794"/>
      <c r="E7" s="794"/>
      <c r="F7" s="794"/>
      <c r="G7" s="794"/>
      <c r="H7" s="794"/>
      <c r="I7" s="794"/>
      <c r="J7" s="83"/>
    </row>
    <row r="8" spans="1:10">
      <c r="B8" s="84"/>
      <c r="D8" s="84"/>
      <c r="E8" s="84"/>
      <c r="F8" s="84"/>
      <c r="G8" s="84"/>
      <c r="H8" s="82"/>
      <c r="I8" s="82"/>
      <c r="J8" s="82"/>
    </row>
    <row r="9" spans="1:10">
      <c r="A9" s="84" t="s">
        <v>2</v>
      </c>
      <c r="B9" s="82"/>
      <c r="C9" s="101" t="s">
        <v>159</v>
      </c>
      <c r="D9" s="84"/>
      <c r="E9" s="84" t="s">
        <v>161</v>
      </c>
      <c r="F9" s="84"/>
      <c r="G9" s="84" t="s">
        <v>162</v>
      </c>
      <c r="H9" s="82"/>
      <c r="I9" s="82"/>
      <c r="J9" s="84" t="s">
        <v>2</v>
      </c>
    </row>
    <row r="10" spans="1:10">
      <c r="A10" s="84" t="s">
        <v>14</v>
      </c>
      <c r="B10" s="82"/>
      <c r="C10" s="418" t="s">
        <v>160</v>
      </c>
      <c r="D10" s="82"/>
      <c r="E10" s="675" t="s">
        <v>163</v>
      </c>
      <c r="F10" s="82"/>
      <c r="G10" s="675" t="s">
        <v>5</v>
      </c>
      <c r="H10" s="82"/>
      <c r="I10" s="676" t="s">
        <v>6</v>
      </c>
      <c r="J10" s="84" t="s">
        <v>14</v>
      </c>
    </row>
    <row r="11" spans="1:10">
      <c r="B11" s="84"/>
      <c r="D11" s="84"/>
      <c r="E11" s="84"/>
      <c r="F11" s="84"/>
      <c r="G11" s="84"/>
      <c r="H11" s="84"/>
      <c r="I11" s="84"/>
      <c r="J11" s="84"/>
    </row>
    <row r="12" spans="1:10" ht="18.75">
      <c r="A12" s="84">
        <v>1</v>
      </c>
      <c r="B12" s="86" t="s">
        <v>164</v>
      </c>
      <c r="C12" s="84" t="s">
        <v>165</v>
      </c>
      <c r="E12" s="160"/>
      <c r="F12" s="161"/>
      <c r="G12" s="162">
        <v>128028.38738461537</v>
      </c>
      <c r="H12" s="161"/>
      <c r="I12" s="163" t="s">
        <v>549</v>
      </c>
      <c r="J12" s="84">
        <f>A12</f>
        <v>1</v>
      </c>
    </row>
    <row r="13" spans="1:10">
      <c r="A13" s="84">
        <f>+A12+1</f>
        <v>2</v>
      </c>
      <c r="C13" s="84"/>
      <c r="E13" s="155"/>
      <c r="F13" s="164"/>
      <c r="G13" s="164"/>
      <c r="H13" s="164"/>
      <c r="I13" s="163"/>
      <c r="J13" s="84">
        <f>+J12+1</f>
        <v>2</v>
      </c>
    </row>
    <row r="14" spans="1:10">
      <c r="A14" s="84">
        <f t="shared" ref="A14:A30" si="0">+A13+1</f>
        <v>3</v>
      </c>
      <c r="B14" s="86" t="s">
        <v>62</v>
      </c>
      <c r="C14" s="84"/>
      <c r="E14" s="165"/>
      <c r="F14" s="166"/>
      <c r="G14" s="454">
        <v>0.39491043746939913</v>
      </c>
      <c r="H14" s="161"/>
      <c r="I14" s="163" t="s">
        <v>550</v>
      </c>
      <c r="J14" s="84">
        <f t="shared" ref="J14:J30" si="1">+J13+1</f>
        <v>3</v>
      </c>
    </row>
    <row r="15" spans="1:10">
      <c r="A15" s="84">
        <f t="shared" si="0"/>
        <v>4</v>
      </c>
      <c r="C15" s="84"/>
      <c r="E15" s="155"/>
      <c r="F15" s="164"/>
      <c r="G15" s="155"/>
      <c r="H15" s="164"/>
      <c r="I15" s="163"/>
      <c r="J15" s="84">
        <f t="shared" si="1"/>
        <v>4</v>
      </c>
    </row>
    <row r="16" spans="1:10" ht="16.5" thickBot="1">
      <c r="A16" s="84">
        <f t="shared" si="0"/>
        <v>5</v>
      </c>
      <c r="B16" s="86" t="s">
        <v>166</v>
      </c>
      <c r="C16" s="84"/>
      <c r="E16" s="167"/>
      <c r="F16" s="164"/>
      <c r="G16" s="168">
        <f>G12*G14</f>
        <v>50559.74647056016</v>
      </c>
      <c r="H16" s="161"/>
      <c r="I16" s="163" t="s">
        <v>551</v>
      </c>
      <c r="J16" s="84">
        <f t="shared" si="1"/>
        <v>5</v>
      </c>
    </row>
    <row r="17" spans="1:11" ht="16.5" thickTop="1">
      <c r="A17" s="84">
        <f t="shared" si="0"/>
        <v>6</v>
      </c>
      <c r="C17" s="84"/>
      <c r="E17" s="95"/>
      <c r="F17" s="84"/>
      <c r="G17" s="84"/>
      <c r="H17" s="84"/>
      <c r="I17" s="163"/>
      <c r="J17" s="84">
        <f t="shared" si="1"/>
        <v>6</v>
      </c>
    </row>
    <row r="18" spans="1:11" ht="18.75">
      <c r="A18" s="84">
        <f t="shared" si="0"/>
        <v>7</v>
      </c>
      <c r="B18" s="86" t="s">
        <v>167</v>
      </c>
      <c r="C18" s="84" t="s">
        <v>168</v>
      </c>
      <c r="D18" s="158"/>
      <c r="E18" s="160"/>
      <c r="F18" s="164"/>
      <c r="G18" s="677">
        <v>64127.97638461538</v>
      </c>
      <c r="H18" s="161"/>
      <c r="I18" s="163" t="s">
        <v>552</v>
      </c>
      <c r="J18" s="84">
        <f t="shared" si="1"/>
        <v>7</v>
      </c>
    </row>
    <row r="19" spans="1:11">
      <c r="A19" s="84">
        <f t="shared" si="0"/>
        <v>8</v>
      </c>
      <c r="C19" s="84"/>
      <c r="E19" s="169"/>
      <c r="F19" s="164"/>
      <c r="G19" s="164"/>
      <c r="H19" s="164"/>
      <c r="I19" s="163"/>
      <c r="J19" s="84">
        <f t="shared" si="1"/>
        <v>8</v>
      </c>
    </row>
    <row r="20" spans="1:11" ht="16.5" thickBot="1">
      <c r="A20" s="84">
        <f t="shared" si="0"/>
        <v>9</v>
      </c>
      <c r="B20" s="86" t="s">
        <v>169</v>
      </c>
      <c r="E20" s="160"/>
      <c r="F20" s="164"/>
      <c r="G20" s="168">
        <f>G14*G18</f>
        <v>25324.807208075756</v>
      </c>
      <c r="H20" s="161"/>
      <c r="I20" s="163" t="s">
        <v>553</v>
      </c>
      <c r="J20" s="84">
        <f t="shared" si="1"/>
        <v>9</v>
      </c>
    </row>
    <row r="21" spans="1:11" ht="16.5" thickTop="1">
      <c r="A21" s="84">
        <f t="shared" si="0"/>
        <v>10</v>
      </c>
      <c r="E21" s="170"/>
      <c r="F21" s="164"/>
      <c r="G21" s="164"/>
      <c r="H21" s="164"/>
      <c r="I21" s="163"/>
      <c r="J21" s="84">
        <f t="shared" si="1"/>
        <v>10</v>
      </c>
    </row>
    <row r="22" spans="1:11">
      <c r="A22" s="84">
        <f t="shared" si="0"/>
        <v>11</v>
      </c>
      <c r="B22" s="171" t="s">
        <v>170</v>
      </c>
      <c r="E22" s="170"/>
      <c r="F22" s="164"/>
      <c r="G22" s="164"/>
      <c r="H22" s="164"/>
      <c r="I22" s="163"/>
      <c r="J22" s="84">
        <f t="shared" si="1"/>
        <v>11</v>
      </c>
    </row>
    <row r="23" spans="1:11">
      <c r="A23" s="84">
        <f t="shared" si="0"/>
        <v>12</v>
      </c>
      <c r="B23" s="86" t="s">
        <v>171</v>
      </c>
      <c r="E23" s="678">
        <v>33850.143890000007</v>
      </c>
      <c r="F23" s="538" t="s">
        <v>417</v>
      </c>
      <c r="G23" s="173"/>
      <c r="H23" s="164"/>
      <c r="I23" s="163" t="s">
        <v>480</v>
      </c>
      <c r="J23" s="84">
        <f t="shared" si="1"/>
        <v>12</v>
      </c>
    </row>
    <row r="24" spans="1:11">
      <c r="A24" s="84">
        <f t="shared" si="0"/>
        <v>13</v>
      </c>
      <c r="B24" s="86" t="s">
        <v>172</v>
      </c>
      <c r="E24" s="679">
        <v>38466.228605837343</v>
      </c>
      <c r="F24" s="538" t="s">
        <v>417</v>
      </c>
      <c r="G24" s="175"/>
      <c r="H24" s="164"/>
      <c r="I24" s="163" t="s">
        <v>481</v>
      </c>
      <c r="J24" s="84">
        <f t="shared" si="1"/>
        <v>13</v>
      </c>
    </row>
    <row r="25" spans="1:11">
      <c r="A25" s="84">
        <f t="shared" si="0"/>
        <v>14</v>
      </c>
      <c r="B25" s="86" t="s">
        <v>173</v>
      </c>
      <c r="E25" s="680">
        <v>0</v>
      </c>
      <c r="F25" s="164"/>
      <c r="G25" s="175"/>
      <c r="H25" s="164"/>
      <c r="I25" s="163" t="s">
        <v>556</v>
      </c>
      <c r="J25" s="84">
        <f t="shared" si="1"/>
        <v>14</v>
      </c>
      <c r="K25" s="97"/>
    </row>
    <row r="26" spans="1:11">
      <c r="A26" s="84">
        <f t="shared" si="0"/>
        <v>15</v>
      </c>
      <c r="B26" s="86" t="s">
        <v>115</v>
      </c>
      <c r="E26" s="681">
        <f>SUM(E23:E25)</f>
        <v>72316.37249583735</v>
      </c>
      <c r="F26" s="538" t="s">
        <v>417</v>
      </c>
      <c r="G26" s="158"/>
      <c r="H26" s="163"/>
      <c r="I26" s="163" t="s">
        <v>554</v>
      </c>
      <c r="J26" s="84">
        <f t="shared" si="1"/>
        <v>15</v>
      </c>
    </row>
    <row r="27" spans="1:11">
      <c r="A27" s="84">
        <f t="shared" si="0"/>
        <v>16</v>
      </c>
      <c r="F27" s="84"/>
      <c r="H27" s="84"/>
      <c r="I27" s="163"/>
      <c r="J27" s="84">
        <f t="shared" si="1"/>
        <v>16</v>
      </c>
    </row>
    <row r="28" spans="1:11">
      <c r="A28" s="84">
        <f t="shared" si="0"/>
        <v>17</v>
      </c>
      <c r="B28" s="86" t="s">
        <v>174</v>
      </c>
      <c r="E28" s="682">
        <f>1/8</f>
        <v>0.125</v>
      </c>
      <c r="F28" s="84"/>
      <c r="G28" s="176"/>
      <c r="H28" s="84"/>
      <c r="I28" s="163" t="s">
        <v>63</v>
      </c>
      <c r="J28" s="84">
        <f t="shared" si="1"/>
        <v>17</v>
      </c>
    </row>
    <row r="29" spans="1:11">
      <c r="A29" s="84">
        <f t="shared" si="0"/>
        <v>18</v>
      </c>
      <c r="E29" s="155" t="s">
        <v>7</v>
      </c>
      <c r="F29" s="164"/>
      <c r="G29" s="155"/>
      <c r="H29" s="164"/>
      <c r="I29" s="163"/>
      <c r="J29" s="84">
        <f t="shared" si="1"/>
        <v>18</v>
      </c>
    </row>
    <row r="30" spans="1:11" ht="16.5" thickBot="1">
      <c r="A30" s="84">
        <f t="shared" si="0"/>
        <v>19</v>
      </c>
      <c r="B30" s="86" t="s">
        <v>175</v>
      </c>
      <c r="E30" s="632">
        <f>E26*E28</f>
        <v>9039.5465619796687</v>
      </c>
      <c r="F30" s="538" t="s">
        <v>417</v>
      </c>
      <c r="G30" s="167"/>
      <c r="H30" s="164"/>
      <c r="I30" s="84" t="s">
        <v>555</v>
      </c>
      <c r="J30" s="84">
        <f t="shared" si="1"/>
        <v>19</v>
      </c>
    </row>
    <row r="31" spans="1:11" ht="16.5" thickTop="1">
      <c r="B31" s="179"/>
    </row>
    <row r="32" spans="1:11">
      <c r="A32" s="538" t="s">
        <v>417</v>
      </c>
      <c r="B32" s="5" t="s">
        <v>442</v>
      </c>
    </row>
    <row r="33" spans="1:2" ht="18.75">
      <c r="A33" s="180">
        <v>1</v>
      </c>
      <c r="B33" s="86" t="s">
        <v>64</v>
      </c>
    </row>
    <row r="34" spans="1:2" ht="18.75">
      <c r="A34" s="180"/>
    </row>
    <row r="35" spans="1:2">
      <c r="A35" s="82"/>
      <c r="B35" s="83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Roman,Bold"&amp;7AS FILED STMT AL WITH COST ADJ INCL. IN APPENDIX XII CYCLE 4 (ER22-133)</oddHeader>
    <oddFooter>&amp;L&amp;F&amp;CPage 9.1&amp;R&amp;A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D036-DE96-4A84-AD17-99408CB565CA}">
  <dimension ref="A1:M160"/>
  <sheetViews>
    <sheetView zoomScale="80" zoomScaleNormal="80" workbookViewId="0"/>
  </sheetViews>
  <sheetFormatPr defaultColWidth="8.85546875" defaultRowHeight="15.75"/>
  <cols>
    <col min="1" max="1" width="5.140625" style="101" customWidth="1"/>
    <col min="2" max="2" width="55.42578125" style="98" customWidth="1"/>
    <col min="3" max="5" width="15.5703125" style="98" customWidth="1"/>
    <col min="6" max="6" width="1.5703125" style="98" customWidth="1"/>
    <col min="7" max="7" width="16.85546875" style="98" customWidth="1"/>
    <col min="8" max="8" width="1.5703125" style="98" customWidth="1"/>
    <col min="9" max="9" width="38.85546875" style="196" customWidth="1"/>
    <col min="10" max="10" width="5.140625" style="98" customWidth="1"/>
    <col min="11" max="11" width="27" style="98" bestFit="1" customWidth="1"/>
    <col min="12" max="12" width="15" style="98" bestFit="1" customWidth="1"/>
    <col min="13" max="13" width="10.42578125" style="98" bestFit="1" customWidth="1"/>
    <col min="14" max="16384" width="8.85546875" style="98"/>
  </cols>
  <sheetData>
    <row r="1" spans="1:10">
      <c r="A1" s="215"/>
      <c r="G1" s="186"/>
      <c r="H1" s="186"/>
      <c r="I1" s="216"/>
      <c r="J1" s="101"/>
    </row>
    <row r="2" spans="1:10">
      <c r="B2" s="784" t="s">
        <v>0</v>
      </c>
      <c r="C2" s="784"/>
      <c r="D2" s="784"/>
      <c r="E2" s="784"/>
      <c r="F2" s="784"/>
      <c r="G2" s="784"/>
      <c r="H2" s="784"/>
      <c r="I2" s="784"/>
      <c r="J2" s="101"/>
    </row>
    <row r="3" spans="1:10">
      <c r="B3" s="784" t="s">
        <v>66</v>
      </c>
      <c r="C3" s="784"/>
      <c r="D3" s="784"/>
      <c r="E3" s="784"/>
      <c r="F3" s="784"/>
      <c r="G3" s="784"/>
      <c r="H3" s="784"/>
      <c r="I3" s="784"/>
      <c r="J3" s="101"/>
    </row>
    <row r="4" spans="1:10">
      <c r="B4" s="784" t="s">
        <v>67</v>
      </c>
      <c r="C4" s="784"/>
      <c r="D4" s="784"/>
      <c r="E4" s="784"/>
      <c r="F4" s="784"/>
      <c r="G4" s="784"/>
      <c r="H4" s="784"/>
      <c r="I4" s="784"/>
      <c r="J4" s="101"/>
    </row>
    <row r="5" spans="1:10">
      <c r="B5" s="787" t="s">
        <v>445</v>
      </c>
      <c r="C5" s="787"/>
      <c r="D5" s="787"/>
      <c r="E5" s="787"/>
      <c r="F5" s="787"/>
      <c r="G5" s="787"/>
      <c r="H5" s="787"/>
      <c r="I5" s="787"/>
      <c r="J5" s="101"/>
    </row>
    <row r="6" spans="1:10">
      <c r="B6" s="786" t="s">
        <v>1</v>
      </c>
      <c r="C6" s="788"/>
      <c r="D6" s="788"/>
      <c r="E6" s="788"/>
      <c r="F6" s="788"/>
      <c r="G6" s="788"/>
      <c r="H6" s="788"/>
      <c r="I6" s="788"/>
      <c r="J6" s="101"/>
    </row>
    <row r="7" spans="1:10">
      <c r="B7" s="101"/>
      <c r="C7" s="101"/>
      <c r="D7" s="101"/>
      <c r="E7" s="101"/>
      <c r="F7" s="101"/>
      <c r="G7" s="101"/>
      <c r="H7" s="101"/>
      <c r="I7" s="217"/>
      <c r="J7" s="101"/>
    </row>
    <row r="8" spans="1:10">
      <c r="A8" s="101" t="s">
        <v>2</v>
      </c>
      <c r="B8" s="183"/>
      <c r="C8" s="183"/>
      <c r="D8" s="183"/>
      <c r="E8" s="101" t="s">
        <v>159</v>
      </c>
      <c r="F8" s="183"/>
      <c r="G8" s="183"/>
      <c r="H8" s="183"/>
      <c r="I8" s="217"/>
      <c r="J8" s="101" t="s">
        <v>2</v>
      </c>
    </row>
    <row r="9" spans="1:10">
      <c r="A9" s="101" t="s">
        <v>14</v>
      </c>
      <c r="B9" s="101"/>
      <c r="C9" s="101"/>
      <c r="D9" s="101"/>
      <c r="E9" s="418" t="s">
        <v>160</v>
      </c>
      <c r="F9" s="101"/>
      <c r="G9" s="633" t="s">
        <v>21</v>
      </c>
      <c r="H9" s="183"/>
      <c r="I9" s="445" t="s">
        <v>6</v>
      </c>
      <c r="J9" s="101" t="s">
        <v>14</v>
      </c>
    </row>
    <row r="10" spans="1:10">
      <c r="B10" s="101"/>
      <c r="C10" s="101"/>
      <c r="D10" s="101"/>
      <c r="E10" s="101"/>
      <c r="F10" s="101"/>
      <c r="G10" s="101"/>
      <c r="H10" s="101"/>
      <c r="I10" s="217"/>
      <c r="J10" s="101"/>
    </row>
    <row r="11" spans="1:10">
      <c r="A11" s="101">
        <v>1</v>
      </c>
      <c r="B11" s="199" t="s">
        <v>68</v>
      </c>
      <c r="I11" s="217"/>
      <c r="J11" s="101">
        <f>A11</f>
        <v>1</v>
      </c>
    </row>
    <row r="12" spans="1:10">
      <c r="A12" s="101">
        <f>A11+1</f>
        <v>2</v>
      </c>
      <c r="B12" s="98" t="s">
        <v>179</v>
      </c>
      <c r="E12" s="101" t="s">
        <v>180</v>
      </c>
      <c r="G12" s="184">
        <v>5140552</v>
      </c>
      <c r="H12" s="183"/>
      <c r="I12" s="218"/>
      <c r="J12" s="101">
        <f>J11+1</f>
        <v>2</v>
      </c>
    </row>
    <row r="13" spans="1:10">
      <c r="A13" s="101">
        <f t="shared" ref="A13:A65" si="0">A12+1</f>
        <v>3</v>
      </c>
      <c r="B13" s="98" t="s">
        <v>181</v>
      </c>
      <c r="E13" s="101" t="s">
        <v>182</v>
      </c>
      <c r="G13" s="187">
        <v>0</v>
      </c>
      <c r="H13" s="183"/>
      <c r="I13" s="218"/>
      <c r="J13" s="101">
        <f t="shared" ref="J13:J65" si="1">J12+1</f>
        <v>3</v>
      </c>
    </row>
    <row r="14" spans="1:10">
      <c r="A14" s="101">
        <f t="shared" si="0"/>
        <v>4</v>
      </c>
      <c r="B14" s="98" t="s">
        <v>183</v>
      </c>
      <c r="E14" s="101" t="s">
        <v>184</v>
      </c>
      <c r="G14" s="187">
        <v>0</v>
      </c>
      <c r="H14" s="183"/>
      <c r="I14" s="218"/>
      <c r="J14" s="101">
        <f t="shared" si="1"/>
        <v>4</v>
      </c>
    </row>
    <row r="15" spans="1:10">
      <c r="A15" s="101">
        <f t="shared" si="0"/>
        <v>5</v>
      </c>
      <c r="B15" s="98" t="s">
        <v>185</v>
      </c>
      <c r="E15" s="101" t="s">
        <v>186</v>
      </c>
      <c r="G15" s="187">
        <v>0</v>
      </c>
      <c r="H15" s="183"/>
      <c r="I15" s="218"/>
      <c r="J15" s="101">
        <f t="shared" si="1"/>
        <v>5</v>
      </c>
    </row>
    <row r="16" spans="1:10">
      <c r="A16" s="101">
        <f t="shared" si="0"/>
        <v>6</v>
      </c>
      <c r="B16" s="98" t="s">
        <v>187</v>
      </c>
      <c r="E16" s="101" t="s">
        <v>188</v>
      </c>
      <c r="G16" s="187">
        <v>-12166.400009999999</v>
      </c>
      <c r="H16" s="183"/>
      <c r="I16" s="218"/>
      <c r="J16" s="101">
        <f t="shared" si="1"/>
        <v>6</v>
      </c>
    </row>
    <row r="17" spans="1:10">
      <c r="A17" s="101">
        <f t="shared" si="0"/>
        <v>7</v>
      </c>
      <c r="B17" s="98" t="s">
        <v>189</v>
      </c>
      <c r="G17" s="683">
        <f>SUM(G12:G16)</f>
        <v>5128385.59999</v>
      </c>
      <c r="H17" s="178"/>
      <c r="I17" s="217" t="str">
        <f>"Sum Lines "&amp;A12&amp;" thru "&amp;A16</f>
        <v>Sum Lines 2 thru 6</v>
      </c>
      <c r="J17" s="101">
        <f t="shared" si="1"/>
        <v>7</v>
      </c>
    </row>
    <row r="18" spans="1:10">
      <c r="A18" s="101">
        <f t="shared" si="0"/>
        <v>8</v>
      </c>
      <c r="I18" s="217"/>
      <c r="J18" s="101">
        <f t="shared" si="1"/>
        <v>8</v>
      </c>
    </row>
    <row r="19" spans="1:10">
      <c r="A19" s="101">
        <f t="shared" si="0"/>
        <v>9</v>
      </c>
      <c r="B19" s="199" t="s">
        <v>69</v>
      </c>
      <c r="G19" s="92"/>
      <c r="H19" s="92"/>
      <c r="I19" s="217"/>
      <c r="J19" s="101">
        <f t="shared" si="1"/>
        <v>9</v>
      </c>
    </row>
    <row r="20" spans="1:10">
      <c r="A20" s="101">
        <f t="shared" si="0"/>
        <v>10</v>
      </c>
      <c r="B20" s="98" t="s">
        <v>190</v>
      </c>
      <c r="E20" s="101" t="s">
        <v>191</v>
      </c>
      <c r="G20" s="184">
        <v>213846.54399999999</v>
      </c>
      <c r="H20" s="183"/>
      <c r="I20" s="218"/>
      <c r="J20" s="101">
        <f t="shared" si="1"/>
        <v>10</v>
      </c>
    </row>
    <row r="21" spans="1:10">
      <c r="A21" s="101">
        <f t="shared" si="0"/>
        <v>11</v>
      </c>
      <c r="B21" s="98" t="s">
        <v>192</v>
      </c>
      <c r="E21" s="101" t="s">
        <v>193</v>
      </c>
      <c r="G21" s="187">
        <v>3709.4806400000002</v>
      </c>
      <c r="H21" s="183"/>
      <c r="I21" s="218"/>
      <c r="J21" s="101">
        <f t="shared" si="1"/>
        <v>11</v>
      </c>
    </row>
    <row r="22" spans="1:10">
      <c r="A22" s="101">
        <f t="shared" si="0"/>
        <v>12</v>
      </c>
      <c r="B22" s="98" t="s">
        <v>194</v>
      </c>
      <c r="E22" s="101" t="s">
        <v>195</v>
      </c>
      <c r="G22" s="187">
        <v>1831.0913999999998</v>
      </c>
      <c r="H22" s="183"/>
      <c r="I22" s="218"/>
      <c r="J22" s="101">
        <f t="shared" si="1"/>
        <v>12</v>
      </c>
    </row>
    <row r="23" spans="1:10">
      <c r="A23" s="101">
        <f t="shared" si="0"/>
        <v>13</v>
      </c>
      <c r="B23" s="98" t="s">
        <v>196</v>
      </c>
      <c r="E23" s="101" t="s">
        <v>197</v>
      </c>
      <c r="G23" s="187">
        <v>0</v>
      </c>
      <c r="H23" s="183"/>
      <c r="I23" s="218"/>
      <c r="J23" s="101">
        <f t="shared" si="1"/>
        <v>13</v>
      </c>
    </row>
    <row r="24" spans="1:10">
      <c r="A24" s="101">
        <f t="shared" si="0"/>
        <v>14</v>
      </c>
      <c r="B24" s="98" t="s">
        <v>198</v>
      </c>
      <c r="E24" s="101" t="s">
        <v>199</v>
      </c>
      <c r="G24" s="187">
        <v>0</v>
      </c>
      <c r="H24" s="183"/>
      <c r="I24" s="218"/>
      <c r="J24" s="101">
        <f t="shared" si="1"/>
        <v>14</v>
      </c>
    </row>
    <row r="25" spans="1:10">
      <c r="A25" s="101">
        <f t="shared" si="0"/>
        <v>15</v>
      </c>
      <c r="B25" s="98" t="s">
        <v>200</v>
      </c>
      <c r="G25" s="684">
        <f>SUM(G20:G24)</f>
        <v>219387.11603999999</v>
      </c>
      <c r="H25" s="188"/>
      <c r="I25" s="217" t="str">
        <f>"Sum Lines "&amp;A20&amp;" thru "&amp;A24</f>
        <v>Sum Lines 10 thru 14</v>
      </c>
      <c r="J25" s="101">
        <f t="shared" si="1"/>
        <v>15</v>
      </c>
    </row>
    <row r="26" spans="1:10">
      <c r="A26" s="101">
        <f t="shared" si="0"/>
        <v>16</v>
      </c>
      <c r="I26" s="217"/>
      <c r="J26" s="101">
        <f t="shared" si="1"/>
        <v>16</v>
      </c>
    </row>
    <row r="27" spans="1:10" ht="16.5" thickBot="1">
      <c r="A27" s="101">
        <f t="shared" si="0"/>
        <v>17</v>
      </c>
      <c r="B27" s="199" t="s">
        <v>70</v>
      </c>
      <c r="G27" s="219">
        <f>G25/G17</f>
        <v>4.2778982149943599E-2</v>
      </c>
      <c r="H27" s="220"/>
      <c r="I27" s="217" t="str">
        <f>"Line "&amp;A25&amp;" / Line "&amp;A17</f>
        <v>Line 15 / Line 7</v>
      </c>
      <c r="J27" s="101">
        <f t="shared" si="1"/>
        <v>17</v>
      </c>
    </row>
    <row r="28" spans="1:10" ht="16.5" thickTop="1">
      <c r="A28" s="101">
        <f t="shared" si="0"/>
        <v>18</v>
      </c>
      <c r="I28" s="217"/>
      <c r="J28" s="101">
        <f t="shared" si="1"/>
        <v>18</v>
      </c>
    </row>
    <row r="29" spans="1:10">
      <c r="A29" s="101">
        <f t="shared" si="0"/>
        <v>19</v>
      </c>
      <c r="B29" s="199" t="s">
        <v>71</v>
      </c>
      <c r="I29" s="217"/>
      <c r="J29" s="101">
        <f t="shared" si="1"/>
        <v>19</v>
      </c>
    </row>
    <row r="30" spans="1:10">
      <c r="A30" s="101">
        <f t="shared" si="0"/>
        <v>20</v>
      </c>
      <c r="B30" s="98" t="s">
        <v>201</v>
      </c>
      <c r="E30" s="101" t="s">
        <v>202</v>
      </c>
      <c r="G30" s="184">
        <v>0</v>
      </c>
      <c r="H30" s="183"/>
      <c r="I30" s="218"/>
      <c r="J30" s="101">
        <f t="shared" si="1"/>
        <v>20</v>
      </c>
    </row>
    <row r="31" spans="1:10">
      <c r="A31" s="101">
        <f t="shared" si="0"/>
        <v>21</v>
      </c>
      <c r="B31" s="98" t="s">
        <v>203</v>
      </c>
      <c r="E31" s="101" t="s">
        <v>204</v>
      </c>
      <c r="G31" s="685">
        <v>0</v>
      </c>
      <c r="H31" s="183"/>
      <c r="I31" s="218"/>
      <c r="J31" s="101">
        <f t="shared" si="1"/>
        <v>21</v>
      </c>
    </row>
    <row r="32" spans="1:10" ht="16.5" thickBot="1">
      <c r="A32" s="101">
        <f t="shared" si="0"/>
        <v>22</v>
      </c>
      <c r="B32" s="98" t="s">
        <v>205</v>
      </c>
      <c r="G32" s="219">
        <f>IFERROR((G31/G30),0)</f>
        <v>0</v>
      </c>
      <c r="H32" s="220"/>
      <c r="I32" s="217" t="str">
        <f>"Line "&amp;A31&amp;" / Line "&amp;A30</f>
        <v>Line 21 / Line 20</v>
      </c>
      <c r="J32" s="101">
        <f t="shared" si="1"/>
        <v>22</v>
      </c>
    </row>
    <row r="33" spans="1:12" ht="16.5" thickTop="1">
      <c r="A33" s="101">
        <f t="shared" si="0"/>
        <v>23</v>
      </c>
      <c r="I33" s="217"/>
      <c r="J33" s="101">
        <f t="shared" si="1"/>
        <v>23</v>
      </c>
    </row>
    <row r="34" spans="1:12">
      <c r="A34" s="101">
        <f t="shared" si="0"/>
        <v>24</v>
      </c>
      <c r="B34" s="199" t="s">
        <v>72</v>
      </c>
      <c r="I34" s="217"/>
      <c r="J34" s="101">
        <f t="shared" si="1"/>
        <v>24</v>
      </c>
    </row>
    <row r="35" spans="1:12">
      <c r="A35" s="101">
        <f t="shared" si="0"/>
        <v>25</v>
      </c>
      <c r="B35" s="98" t="s">
        <v>206</v>
      </c>
      <c r="E35" s="101" t="s">
        <v>207</v>
      </c>
      <c r="G35" s="184">
        <v>7099080.8731300002</v>
      </c>
      <c r="H35" s="183"/>
      <c r="I35" s="218"/>
      <c r="J35" s="101">
        <f t="shared" si="1"/>
        <v>25</v>
      </c>
      <c r="K35" s="177"/>
      <c r="L35" s="335"/>
    </row>
    <row r="36" spans="1:12">
      <c r="A36" s="101">
        <f t="shared" si="0"/>
        <v>26</v>
      </c>
      <c r="B36" s="98" t="s">
        <v>208</v>
      </c>
      <c r="E36" s="101" t="s">
        <v>202</v>
      </c>
      <c r="G36" s="221">
        <v>0</v>
      </c>
      <c r="H36" s="221"/>
      <c r="I36" s="217" t="str">
        <f>"Negative of Line "&amp;A30&amp;" Above"</f>
        <v>Negative of Line 20 Above</v>
      </c>
      <c r="J36" s="101">
        <f t="shared" si="1"/>
        <v>26</v>
      </c>
    </row>
    <row r="37" spans="1:12">
      <c r="A37" s="101">
        <f t="shared" si="0"/>
        <v>27</v>
      </c>
      <c r="B37" s="98" t="s">
        <v>209</v>
      </c>
      <c r="E37" s="101" t="s">
        <v>210</v>
      </c>
      <c r="G37" s="187">
        <v>0</v>
      </c>
      <c r="H37" s="183"/>
      <c r="I37" s="218"/>
      <c r="J37" s="101">
        <f t="shared" si="1"/>
        <v>27</v>
      </c>
    </row>
    <row r="38" spans="1:12">
      <c r="A38" s="101">
        <f t="shared" si="0"/>
        <v>28</v>
      </c>
      <c r="B38" s="98" t="s">
        <v>211</v>
      </c>
      <c r="E38" s="101" t="s">
        <v>212</v>
      </c>
      <c r="G38" s="187">
        <v>15874.048050000001</v>
      </c>
      <c r="H38" s="183"/>
      <c r="I38" s="218"/>
      <c r="J38" s="101">
        <f t="shared" si="1"/>
        <v>28</v>
      </c>
    </row>
    <row r="39" spans="1:12" ht="16.5" thickBot="1">
      <c r="A39" s="101">
        <f t="shared" si="0"/>
        <v>29</v>
      </c>
      <c r="B39" s="98" t="s">
        <v>213</v>
      </c>
      <c r="G39" s="686">
        <f>SUM(G35:G38)</f>
        <v>7114954.9211800005</v>
      </c>
      <c r="H39" s="222"/>
      <c r="I39" s="217" t="str">
        <f>"Sum Lines "&amp;A35&amp;" thru "&amp;A38</f>
        <v>Sum Lines 25 thru 28</v>
      </c>
      <c r="J39" s="101">
        <f t="shared" si="1"/>
        <v>29</v>
      </c>
    </row>
    <row r="40" spans="1:12" ht="17.25" thickTop="1" thickBot="1">
      <c r="A40" s="223">
        <f t="shared" si="0"/>
        <v>30</v>
      </c>
      <c r="B40" s="105"/>
      <c r="C40" s="105"/>
      <c r="D40" s="105"/>
      <c r="E40" s="105"/>
      <c r="F40" s="105"/>
      <c r="G40" s="105"/>
      <c r="H40" s="105"/>
      <c r="I40" s="224"/>
      <c r="J40" s="223">
        <f t="shared" si="1"/>
        <v>30</v>
      </c>
    </row>
    <row r="41" spans="1:12">
      <c r="A41" s="101">
        <f>A40+1</f>
        <v>31</v>
      </c>
      <c r="I41" s="217"/>
      <c r="J41" s="101">
        <f>J40+1</f>
        <v>31</v>
      </c>
    </row>
    <row r="42" spans="1:12" ht="19.5" thickBot="1">
      <c r="A42" s="101">
        <f>A41+1</f>
        <v>32</v>
      </c>
      <c r="B42" s="199" t="s">
        <v>395</v>
      </c>
      <c r="G42" s="225">
        <v>0.106</v>
      </c>
      <c r="H42" s="183"/>
      <c r="I42" s="101" t="s">
        <v>394</v>
      </c>
      <c r="J42" s="101">
        <f>J41+1</f>
        <v>32</v>
      </c>
    </row>
    <row r="43" spans="1:12" ht="16.5" thickTop="1">
      <c r="A43" s="101">
        <f t="shared" si="0"/>
        <v>33</v>
      </c>
      <c r="C43" s="191" t="s">
        <v>3</v>
      </c>
      <c r="D43" s="191" t="s">
        <v>4</v>
      </c>
      <c r="E43" s="191" t="s">
        <v>65</v>
      </c>
      <c r="F43" s="191"/>
      <c r="G43" s="191" t="s">
        <v>73</v>
      </c>
      <c r="H43" s="191"/>
      <c r="I43" s="217"/>
      <c r="J43" s="101">
        <f t="shared" si="1"/>
        <v>33</v>
      </c>
    </row>
    <row r="44" spans="1:12">
      <c r="A44" s="101">
        <f t="shared" si="0"/>
        <v>34</v>
      </c>
      <c r="D44" s="101" t="s">
        <v>74</v>
      </c>
      <c r="E44" s="101" t="s">
        <v>92</v>
      </c>
      <c r="F44" s="101"/>
      <c r="G44" s="101" t="s">
        <v>75</v>
      </c>
      <c r="H44" s="101"/>
      <c r="I44" s="217"/>
      <c r="J44" s="101">
        <f t="shared" si="1"/>
        <v>34</v>
      </c>
    </row>
    <row r="45" spans="1:12" ht="18.75">
      <c r="A45" s="101">
        <f t="shared" si="0"/>
        <v>35</v>
      </c>
      <c r="B45" s="199" t="s">
        <v>76</v>
      </c>
      <c r="C45" s="418" t="s">
        <v>237</v>
      </c>
      <c r="D45" s="418" t="s">
        <v>77</v>
      </c>
      <c r="E45" s="418" t="s">
        <v>93</v>
      </c>
      <c r="F45" s="418"/>
      <c r="G45" s="418" t="s">
        <v>78</v>
      </c>
      <c r="H45" s="101"/>
      <c r="I45" s="217"/>
      <c r="J45" s="101">
        <f t="shared" si="1"/>
        <v>35</v>
      </c>
    </row>
    <row r="46" spans="1:12">
      <c r="A46" s="101">
        <f t="shared" si="0"/>
        <v>36</v>
      </c>
      <c r="I46" s="217"/>
      <c r="J46" s="101">
        <f t="shared" si="1"/>
        <v>36</v>
      </c>
    </row>
    <row r="47" spans="1:12">
      <c r="A47" s="101">
        <f t="shared" si="0"/>
        <v>37</v>
      </c>
      <c r="B47" s="98" t="s">
        <v>79</v>
      </c>
      <c r="C47" s="210">
        <f>G17</f>
        <v>5128385.59999</v>
      </c>
      <c r="D47" s="226">
        <f>C47/C$50</f>
        <v>0.41887143391319476</v>
      </c>
      <c r="E47" s="227">
        <f>G27</f>
        <v>4.2778982149943599E-2</v>
      </c>
      <c r="G47" s="228">
        <f>D47*E47</f>
        <v>1.7918893594493838E-2</v>
      </c>
      <c r="H47" s="228"/>
      <c r="I47" s="217" t="str">
        <f>"Col. c = Line "&amp;A27&amp;" Above"</f>
        <v>Col. c = Line 17 Above</v>
      </c>
      <c r="J47" s="101">
        <f t="shared" si="1"/>
        <v>37</v>
      </c>
    </row>
    <row r="48" spans="1:12">
      <c r="A48" s="101">
        <f t="shared" si="0"/>
        <v>38</v>
      </c>
      <c r="B48" s="98" t="s">
        <v>80</v>
      </c>
      <c r="C48" s="229">
        <f>G30</f>
        <v>0</v>
      </c>
      <c r="D48" s="226">
        <f>C48/C$50</f>
        <v>0</v>
      </c>
      <c r="E48" s="227">
        <f>G32</f>
        <v>0</v>
      </c>
      <c r="G48" s="228">
        <f>D48*E48</f>
        <v>0</v>
      </c>
      <c r="H48" s="228"/>
      <c r="I48" s="217" t="str">
        <f>"Col. c = Line "&amp;A32&amp;" Above"</f>
        <v>Col. c = Line 22 Above</v>
      </c>
      <c r="J48" s="101">
        <f t="shared" si="1"/>
        <v>38</v>
      </c>
    </row>
    <row r="49" spans="1:10">
      <c r="A49" s="101">
        <f t="shared" si="0"/>
        <v>39</v>
      </c>
      <c r="B49" s="98" t="s">
        <v>81</v>
      </c>
      <c r="C49" s="229">
        <f>G39</f>
        <v>7114954.9211800005</v>
      </c>
      <c r="D49" s="687">
        <f>C49/C$50</f>
        <v>0.58112856608680519</v>
      </c>
      <c r="E49" s="230">
        <f>G42</f>
        <v>0.106</v>
      </c>
      <c r="G49" s="444">
        <f>D49*E49</f>
        <v>6.159962800520135E-2</v>
      </c>
      <c r="H49" s="220"/>
      <c r="I49" s="217" t="str">
        <f>"Col. c = Line "&amp;A42&amp;" Above"</f>
        <v>Col. c = Line 32 Above</v>
      </c>
      <c r="J49" s="101">
        <f t="shared" si="1"/>
        <v>39</v>
      </c>
    </row>
    <row r="50" spans="1:10" ht="16.5" thickBot="1">
      <c r="A50" s="101">
        <f t="shared" si="0"/>
        <v>40</v>
      </c>
      <c r="B50" s="98" t="s">
        <v>214</v>
      </c>
      <c r="C50" s="443">
        <f>SUM(C47:C49)</f>
        <v>12243340.521170001</v>
      </c>
      <c r="D50" s="231">
        <f>SUM(D47:D49)</f>
        <v>1</v>
      </c>
      <c r="G50" s="219">
        <f>SUM(G47:G49)</f>
        <v>7.9518521599695191E-2</v>
      </c>
      <c r="H50" s="220"/>
      <c r="I50" s="217" t="str">
        <f>"Sum Lines "&amp;A47&amp;" thru "&amp;A49</f>
        <v>Sum Lines 37 thru 39</v>
      </c>
      <c r="J50" s="101">
        <f t="shared" si="1"/>
        <v>40</v>
      </c>
    </row>
    <row r="51" spans="1:10" ht="16.5" thickTop="1">
      <c r="A51" s="101">
        <f t="shared" si="0"/>
        <v>41</v>
      </c>
      <c r="I51" s="217"/>
      <c r="J51" s="101">
        <f t="shared" si="1"/>
        <v>41</v>
      </c>
    </row>
    <row r="52" spans="1:10" ht="16.5" thickBot="1">
      <c r="A52" s="101">
        <f t="shared" si="0"/>
        <v>42</v>
      </c>
      <c r="B52" s="199" t="s">
        <v>94</v>
      </c>
      <c r="G52" s="219">
        <f>G48+G49</f>
        <v>6.159962800520135E-2</v>
      </c>
      <c r="H52" s="220"/>
      <c r="I52" s="217" t="str">
        <f>"Line "&amp;A48&amp;" + Line "&amp;A49&amp;"; Col. d"</f>
        <v>Line 38 + Line 39; Col. d</v>
      </c>
      <c r="J52" s="101">
        <f t="shared" si="1"/>
        <v>42</v>
      </c>
    </row>
    <row r="53" spans="1:10" ht="17.25" thickTop="1" thickBot="1">
      <c r="A53" s="223">
        <f t="shared" si="0"/>
        <v>43</v>
      </c>
      <c r="B53" s="441"/>
      <c r="C53" s="105"/>
      <c r="D53" s="105"/>
      <c r="E53" s="105"/>
      <c r="F53" s="105"/>
      <c r="G53" s="442"/>
      <c r="H53" s="442"/>
      <c r="I53" s="224"/>
      <c r="J53" s="223">
        <f t="shared" si="1"/>
        <v>43</v>
      </c>
    </row>
    <row r="54" spans="1:10">
      <c r="A54" s="101">
        <f t="shared" si="0"/>
        <v>44</v>
      </c>
      <c r="B54" s="199"/>
      <c r="G54" s="230"/>
      <c r="H54" s="230"/>
      <c r="I54" s="217"/>
      <c r="J54" s="101">
        <f t="shared" si="1"/>
        <v>44</v>
      </c>
    </row>
    <row r="55" spans="1:10" ht="16.5" thickBot="1">
      <c r="A55" s="101">
        <f t="shared" si="0"/>
        <v>45</v>
      </c>
      <c r="B55" s="199" t="s">
        <v>374</v>
      </c>
      <c r="G55" s="455">
        <v>0</v>
      </c>
      <c r="H55" s="230"/>
      <c r="I55" s="217" t="s">
        <v>23</v>
      </c>
      <c r="J55" s="101">
        <f t="shared" si="1"/>
        <v>45</v>
      </c>
    </row>
    <row r="56" spans="1:10" ht="16.5" thickTop="1">
      <c r="A56" s="101">
        <f t="shared" si="0"/>
        <v>46</v>
      </c>
      <c r="C56" s="191" t="s">
        <v>3</v>
      </c>
      <c r="D56" s="191" t="s">
        <v>4</v>
      </c>
      <c r="E56" s="191" t="s">
        <v>65</v>
      </c>
      <c r="F56" s="191"/>
      <c r="G56" s="191" t="s">
        <v>73</v>
      </c>
      <c r="H56" s="230"/>
      <c r="I56" s="217"/>
      <c r="J56" s="101">
        <f t="shared" si="1"/>
        <v>46</v>
      </c>
    </row>
    <row r="57" spans="1:10">
      <c r="A57" s="101">
        <f t="shared" si="0"/>
        <v>47</v>
      </c>
      <c r="D57" s="101" t="s">
        <v>74</v>
      </c>
      <c r="E57" s="101" t="s">
        <v>92</v>
      </c>
      <c r="F57" s="101"/>
      <c r="G57" s="101" t="s">
        <v>75</v>
      </c>
      <c r="H57" s="230"/>
      <c r="I57" s="217"/>
      <c r="J57" s="101">
        <f t="shared" si="1"/>
        <v>47</v>
      </c>
    </row>
    <row r="58" spans="1:10" ht="18.75">
      <c r="A58" s="101">
        <f t="shared" si="0"/>
        <v>48</v>
      </c>
      <c r="B58" s="199" t="s">
        <v>365</v>
      </c>
      <c r="C58" s="418" t="s">
        <v>237</v>
      </c>
      <c r="D58" s="418" t="s">
        <v>77</v>
      </c>
      <c r="E58" s="418" t="s">
        <v>93</v>
      </c>
      <c r="F58" s="418"/>
      <c r="G58" s="418" t="s">
        <v>78</v>
      </c>
      <c r="H58" s="230"/>
      <c r="I58" s="217"/>
      <c r="J58" s="101">
        <f t="shared" si="1"/>
        <v>48</v>
      </c>
    </row>
    <row r="59" spans="1:10">
      <c r="A59" s="101">
        <f t="shared" si="0"/>
        <v>49</v>
      </c>
      <c r="G59" s="230"/>
      <c r="H59" s="230"/>
      <c r="I59" s="217"/>
      <c r="J59" s="101">
        <f t="shared" si="1"/>
        <v>49</v>
      </c>
    </row>
    <row r="60" spans="1:10">
      <c r="A60" s="101">
        <f t="shared" si="0"/>
        <v>50</v>
      </c>
      <c r="B60" s="98" t="s">
        <v>79</v>
      </c>
      <c r="C60" s="456">
        <v>0</v>
      </c>
      <c r="D60" s="458">
        <v>0</v>
      </c>
      <c r="E60" s="460">
        <v>0</v>
      </c>
      <c r="G60" s="228">
        <f>D60*E60</f>
        <v>0</v>
      </c>
      <c r="H60" s="230"/>
      <c r="I60" s="217" t="s">
        <v>23</v>
      </c>
      <c r="J60" s="101">
        <f t="shared" si="1"/>
        <v>50</v>
      </c>
    </row>
    <row r="61" spans="1:10">
      <c r="A61" s="101">
        <f t="shared" si="0"/>
        <v>51</v>
      </c>
      <c r="B61" s="98" t="s">
        <v>80</v>
      </c>
      <c r="C61" s="457">
        <v>0</v>
      </c>
      <c r="D61" s="458">
        <v>0</v>
      </c>
      <c r="E61" s="460">
        <v>0</v>
      </c>
      <c r="G61" s="228">
        <f>D61*E61</f>
        <v>0</v>
      </c>
      <c r="H61" s="230"/>
      <c r="I61" s="217" t="s">
        <v>23</v>
      </c>
      <c r="J61" s="101">
        <f t="shared" si="1"/>
        <v>51</v>
      </c>
    </row>
    <row r="62" spans="1:10">
      <c r="A62" s="101">
        <f t="shared" si="0"/>
        <v>52</v>
      </c>
      <c r="B62" s="98" t="s">
        <v>81</v>
      </c>
      <c r="C62" s="457">
        <v>0</v>
      </c>
      <c r="D62" s="459">
        <v>0</v>
      </c>
      <c r="E62" s="461">
        <v>0</v>
      </c>
      <c r="G62" s="444">
        <f>D62*E62</f>
        <v>0</v>
      </c>
      <c r="H62" s="230"/>
      <c r="I62" s="217" t="s">
        <v>23</v>
      </c>
      <c r="J62" s="101">
        <f t="shared" si="1"/>
        <v>52</v>
      </c>
    </row>
    <row r="63" spans="1:10" ht="16.5" thickBot="1">
      <c r="A63" s="101">
        <f t="shared" si="0"/>
        <v>53</v>
      </c>
      <c r="B63" s="98" t="s">
        <v>214</v>
      </c>
      <c r="C63" s="443">
        <f>SUM(C60:C62)</f>
        <v>0</v>
      </c>
      <c r="D63" s="219">
        <f>SUM(D60:D62)</f>
        <v>0</v>
      </c>
      <c r="G63" s="219">
        <f>SUM(G60:G62)</f>
        <v>0</v>
      </c>
      <c r="H63" s="230"/>
      <c r="I63" s="217" t="str">
        <f>"Sum Lines "&amp;A60&amp;" thru "&amp;A62</f>
        <v>Sum Lines 50 thru 52</v>
      </c>
      <c r="J63" s="101">
        <f t="shared" si="1"/>
        <v>53</v>
      </c>
    </row>
    <row r="64" spans="1:10" ht="16.5" thickTop="1">
      <c r="A64" s="101">
        <f t="shared" si="0"/>
        <v>54</v>
      </c>
      <c r="H64" s="230"/>
      <c r="I64" s="217"/>
      <c r="J64" s="101">
        <f t="shared" si="1"/>
        <v>54</v>
      </c>
    </row>
    <row r="65" spans="1:10" ht="16.5" thickBot="1">
      <c r="A65" s="101">
        <f t="shared" si="0"/>
        <v>55</v>
      </c>
      <c r="B65" s="199" t="s">
        <v>366</v>
      </c>
      <c r="G65" s="219">
        <f>G61+G62</f>
        <v>0</v>
      </c>
      <c r="H65" s="230"/>
      <c r="I65" s="217" t="str">
        <f>"Line "&amp;A61&amp;" + Line "&amp;A62&amp;"; Col. d"</f>
        <v>Line 51 + Line 52; Col. d</v>
      </c>
      <c r="J65" s="101">
        <f t="shared" si="1"/>
        <v>55</v>
      </c>
    </row>
    <row r="66" spans="1:10" ht="16.5" thickTop="1">
      <c r="B66" s="199"/>
      <c r="G66" s="230"/>
      <c r="H66" s="230"/>
      <c r="I66" s="217"/>
      <c r="J66" s="101"/>
    </row>
    <row r="67" spans="1:10">
      <c r="B67" s="199"/>
      <c r="G67" s="230"/>
      <c r="H67" s="230"/>
      <c r="I67" s="217"/>
      <c r="J67" s="101"/>
    </row>
    <row r="68" spans="1:10" ht="18.75">
      <c r="A68" s="214">
        <v>1</v>
      </c>
      <c r="B68" s="1" t="s">
        <v>95</v>
      </c>
      <c r="G68" s="186"/>
      <c r="H68" s="186"/>
      <c r="J68" s="101" t="s">
        <v>7</v>
      </c>
    </row>
    <row r="69" spans="1:10" ht="18.75">
      <c r="A69" s="490"/>
      <c r="B69" s="397"/>
      <c r="G69" s="186"/>
      <c r="H69" s="186"/>
      <c r="J69" s="101"/>
    </row>
    <row r="70" spans="1:10" ht="18.75">
      <c r="A70" s="214"/>
      <c r="B70" s="1"/>
      <c r="D70" s="101"/>
      <c r="G70" s="186"/>
      <c r="H70" s="186"/>
      <c r="I70" s="688"/>
      <c r="J70" s="101"/>
    </row>
    <row r="71" spans="1:10">
      <c r="B71" s="784" t="s">
        <v>0</v>
      </c>
      <c r="C71" s="784"/>
      <c r="D71" s="784"/>
      <c r="E71" s="784"/>
      <c r="F71" s="784"/>
      <c r="G71" s="784"/>
      <c r="H71" s="784"/>
      <c r="I71" s="784"/>
      <c r="J71" s="101"/>
    </row>
    <row r="72" spans="1:10">
      <c r="B72" s="784" t="s">
        <v>66</v>
      </c>
      <c r="C72" s="784"/>
      <c r="D72" s="784"/>
      <c r="E72" s="784"/>
      <c r="F72" s="784"/>
      <c r="G72" s="784"/>
      <c r="H72" s="784"/>
      <c r="I72" s="784"/>
      <c r="J72" s="101"/>
    </row>
    <row r="73" spans="1:10">
      <c r="B73" s="784" t="s">
        <v>67</v>
      </c>
      <c r="C73" s="784"/>
      <c r="D73" s="784"/>
      <c r="E73" s="784"/>
      <c r="F73" s="784"/>
      <c r="G73" s="784"/>
      <c r="H73" s="784"/>
      <c r="I73" s="784"/>
      <c r="J73" s="101"/>
    </row>
    <row r="74" spans="1:10">
      <c r="B74" s="787" t="str">
        <f>B5</f>
        <v>Base Period &amp; True-Up Period 12 - Months Ending December 31, 2019</v>
      </c>
      <c r="C74" s="787"/>
      <c r="D74" s="787"/>
      <c r="E74" s="787"/>
      <c r="F74" s="787"/>
      <c r="G74" s="787"/>
      <c r="H74" s="787"/>
      <c r="I74" s="787"/>
      <c r="J74" s="101"/>
    </row>
    <row r="75" spans="1:10">
      <c r="B75" s="786" t="s">
        <v>1</v>
      </c>
      <c r="C75" s="788"/>
      <c r="D75" s="788"/>
      <c r="E75" s="788"/>
      <c r="F75" s="788"/>
      <c r="G75" s="788"/>
      <c r="H75" s="788"/>
      <c r="I75" s="788"/>
      <c r="J75" s="101"/>
    </row>
    <row r="76" spans="1:10">
      <c r="B76" s="101"/>
      <c r="C76" s="101"/>
      <c r="D76" s="101"/>
      <c r="E76" s="101"/>
      <c r="F76" s="101"/>
      <c r="G76" s="101"/>
      <c r="H76" s="101"/>
      <c r="I76" s="217"/>
      <c r="J76" s="101"/>
    </row>
    <row r="77" spans="1:10">
      <c r="A77" s="101" t="s">
        <v>2</v>
      </c>
      <c r="B77" s="183"/>
      <c r="C77" s="183"/>
      <c r="D77" s="183"/>
      <c r="E77" s="183"/>
      <c r="F77" s="183"/>
      <c r="G77" s="183"/>
      <c r="H77" s="183"/>
      <c r="I77" s="217"/>
      <c r="J77" s="101" t="s">
        <v>2</v>
      </c>
    </row>
    <row r="78" spans="1:10">
      <c r="A78" s="101" t="s">
        <v>14</v>
      </c>
      <c r="B78" s="101"/>
      <c r="C78" s="101"/>
      <c r="D78" s="101"/>
      <c r="E78" s="101"/>
      <c r="F78" s="101"/>
      <c r="G78" s="418" t="s">
        <v>21</v>
      </c>
      <c r="H78" s="183"/>
      <c r="I78" s="445" t="s">
        <v>6</v>
      </c>
      <c r="J78" s="101" t="s">
        <v>14</v>
      </c>
    </row>
    <row r="79" spans="1:10">
      <c r="G79" s="101"/>
      <c r="H79" s="101"/>
      <c r="I79" s="217"/>
      <c r="J79" s="101"/>
    </row>
    <row r="80" spans="1:10" ht="18.75">
      <c r="A80" s="101">
        <v>1</v>
      </c>
      <c r="B80" s="199" t="s">
        <v>82</v>
      </c>
      <c r="E80" s="183"/>
      <c r="F80" s="183"/>
      <c r="G80" s="185"/>
      <c r="H80" s="185"/>
      <c r="I80" s="217"/>
      <c r="J80" s="101">
        <v>1</v>
      </c>
    </row>
    <row r="81" spans="1:13">
      <c r="A81" s="101">
        <f>A80+1</f>
        <v>2</v>
      </c>
      <c r="B81" s="232"/>
      <c r="E81" s="183"/>
      <c r="F81" s="183"/>
      <c r="G81" s="185"/>
      <c r="H81" s="185"/>
      <c r="I81" s="217"/>
      <c r="J81" s="101">
        <f>J80+1</f>
        <v>2</v>
      </c>
    </row>
    <row r="82" spans="1:13">
      <c r="A82" s="101">
        <f>A81+1</f>
        <v>3</v>
      </c>
      <c r="B82" s="199" t="s">
        <v>83</v>
      </c>
      <c r="E82" s="183"/>
      <c r="F82" s="183"/>
      <c r="G82" s="185"/>
      <c r="H82" s="185"/>
      <c r="I82" s="217"/>
      <c r="J82" s="101">
        <f>J81+1</f>
        <v>3</v>
      </c>
    </row>
    <row r="83" spans="1:13">
      <c r="A83" s="101">
        <f>A82+1</f>
        <v>4</v>
      </c>
      <c r="B83" s="183"/>
      <c r="C83" s="183"/>
      <c r="D83" s="183"/>
      <c r="E83" s="183"/>
      <c r="F83" s="183"/>
      <c r="G83" s="185"/>
      <c r="H83" s="185"/>
      <c r="I83" s="217"/>
      <c r="J83" s="101">
        <f>J82+1</f>
        <v>4</v>
      </c>
    </row>
    <row r="84" spans="1:13">
      <c r="A84" s="101">
        <f t="shared" ref="A84:A110" si="2">A83+1</f>
        <v>5</v>
      </c>
      <c r="B84" s="194" t="s">
        <v>84</v>
      </c>
      <c r="C84" s="183"/>
      <c r="D84" s="183"/>
      <c r="E84" s="183"/>
      <c r="F84" s="183"/>
      <c r="G84" s="185"/>
      <c r="H84" s="185"/>
      <c r="I84" s="233"/>
      <c r="J84" s="101">
        <f t="shared" ref="J84:J110" si="3">J83+1</f>
        <v>5</v>
      </c>
    </row>
    <row r="85" spans="1:13">
      <c r="A85" s="101">
        <f t="shared" si="2"/>
        <v>6</v>
      </c>
      <c r="B85" s="98" t="s">
        <v>85</v>
      </c>
      <c r="D85" s="183"/>
      <c r="E85" s="183"/>
      <c r="F85" s="183"/>
      <c r="G85" s="234">
        <f>G52</f>
        <v>6.159962800520135E-2</v>
      </c>
      <c r="H85" s="183"/>
      <c r="I85" s="217" t="str">
        <f>"AV1; Line "&amp;A52</f>
        <v>AV1; Line 42</v>
      </c>
      <c r="J85" s="101">
        <f t="shared" si="3"/>
        <v>6</v>
      </c>
      <c r="L85" s="101"/>
    </row>
    <row r="86" spans="1:13">
      <c r="A86" s="101">
        <f t="shared" si="2"/>
        <v>7</v>
      </c>
      <c r="B86" s="98" t="s">
        <v>215</v>
      </c>
      <c r="D86" s="183"/>
      <c r="E86" s="183"/>
      <c r="F86" s="183"/>
      <c r="G86" s="235">
        <v>264.76299999999998</v>
      </c>
      <c r="H86" s="183"/>
      <c r="I86" s="217" t="s">
        <v>559</v>
      </c>
      <c r="J86" s="101">
        <f t="shared" si="3"/>
        <v>7</v>
      </c>
      <c r="L86" s="101"/>
    </row>
    <row r="87" spans="1:13" ht="18.75">
      <c r="A87" s="101">
        <f t="shared" si="2"/>
        <v>8</v>
      </c>
      <c r="B87" s="98" t="s">
        <v>222</v>
      </c>
      <c r="D87" s="183"/>
      <c r="E87" s="183"/>
      <c r="F87" s="183"/>
      <c r="G87" s="236">
        <v>7491.7360400000025</v>
      </c>
      <c r="H87" s="183"/>
      <c r="I87" s="216" t="s">
        <v>560</v>
      </c>
      <c r="J87" s="101">
        <f t="shared" si="3"/>
        <v>8</v>
      </c>
      <c r="L87" s="183"/>
    </row>
    <row r="88" spans="1:13">
      <c r="A88" s="101">
        <f t="shared" si="2"/>
        <v>9</v>
      </c>
      <c r="B88" s="98" t="s">
        <v>86</v>
      </c>
      <c r="D88" s="183"/>
      <c r="E88" s="237"/>
      <c r="F88" s="183"/>
      <c r="G88" s="672">
        <f>'Pg12 Rev AV-4'!C36</f>
        <v>4272188.7090118667</v>
      </c>
      <c r="H88" s="538" t="s">
        <v>417</v>
      </c>
      <c r="I88" s="216" t="s">
        <v>635</v>
      </c>
      <c r="J88" s="101">
        <f t="shared" si="3"/>
        <v>9</v>
      </c>
    </row>
    <row r="89" spans="1:13">
      <c r="A89" s="101">
        <f t="shared" si="2"/>
        <v>10</v>
      </c>
      <c r="B89" s="98" t="s">
        <v>216</v>
      </c>
      <c r="D89" s="238"/>
      <c r="E89" s="183"/>
      <c r="F89" s="183"/>
      <c r="G89" s="689">
        <v>0.21</v>
      </c>
      <c r="H89" s="183"/>
      <c r="I89" s="217" t="s">
        <v>87</v>
      </c>
      <c r="J89" s="101">
        <f t="shared" si="3"/>
        <v>10</v>
      </c>
      <c r="M89" s="239"/>
    </row>
    <row r="90" spans="1:13">
      <c r="A90" s="101">
        <f t="shared" si="2"/>
        <v>11</v>
      </c>
      <c r="G90" s="101"/>
      <c r="H90" s="101"/>
      <c r="J90" s="101">
        <f t="shared" si="3"/>
        <v>11</v>
      </c>
    </row>
    <row r="91" spans="1:13">
      <c r="A91" s="101">
        <f t="shared" si="2"/>
        <v>12</v>
      </c>
      <c r="B91" s="98" t="s">
        <v>217</v>
      </c>
      <c r="D91" s="183"/>
      <c r="E91" s="183"/>
      <c r="F91" s="183"/>
      <c r="G91" s="732">
        <f>(((G85)+(G87/G88))*G89-(G86/G88))/(1-G89)</f>
        <v>1.6762285487466378E-2</v>
      </c>
      <c r="H91" s="538" t="s">
        <v>417</v>
      </c>
      <c r="I91" s="217" t="s">
        <v>96</v>
      </c>
      <c r="J91" s="101">
        <f t="shared" si="3"/>
        <v>12</v>
      </c>
      <c r="M91" s="241"/>
    </row>
    <row r="92" spans="1:13">
      <c r="A92" s="101">
        <f t="shared" si="2"/>
        <v>13</v>
      </c>
      <c r="B92" s="242" t="s">
        <v>218</v>
      </c>
      <c r="G92" s="101"/>
      <c r="H92" s="101"/>
      <c r="J92" s="101">
        <f t="shared" si="3"/>
        <v>13</v>
      </c>
    </row>
    <row r="93" spans="1:13">
      <c r="A93" s="101">
        <f t="shared" si="2"/>
        <v>14</v>
      </c>
      <c r="G93" s="101"/>
      <c r="H93" s="101"/>
      <c r="J93" s="101">
        <f t="shared" si="3"/>
        <v>14</v>
      </c>
    </row>
    <row r="94" spans="1:13">
      <c r="A94" s="101">
        <f t="shared" si="2"/>
        <v>15</v>
      </c>
      <c r="B94" s="199" t="s">
        <v>88</v>
      </c>
      <c r="C94" s="183"/>
      <c r="D94" s="183"/>
      <c r="E94" s="183"/>
      <c r="F94" s="183"/>
      <c r="G94" s="243"/>
      <c r="H94" s="243"/>
      <c r="I94" s="244"/>
      <c r="J94" s="101">
        <f t="shared" si="3"/>
        <v>15</v>
      </c>
      <c r="L94" s="245"/>
    </row>
    <row r="95" spans="1:13">
      <c r="A95" s="101">
        <f t="shared" si="2"/>
        <v>16</v>
      </c>
      <c r="B95" s="203"/>
      <c r="C95" s="183"/>
      <c r="D95" s="183"/>
      <c r="E95" s="183"/>
      <c r="F95" s="183"/>
      <c r="G95" s="243"/>
      <c r="H95" s="243"/>
      <c r="I95" s="246"/>
      <c r="J95" s="101">
        <f t="shared" si="3"/>
        <v>16</v>
      </c>
      <c r="L95" s="183"/>
    </row>
    <row r="96" spans="1:13">
      <c r="A96" s="101">
        <f t="shared" si="2"/>
        <v>17</v>
      </c>
      <c r="B96" s="194" t="s">
        <v>84</v>
      </c>
      <c r="C96" s="183"/>
      <c r="D96" s="183"/>
      <c r="E96" s="183"/>
      <c r="F96" s="183"/>
      <c r="G96" s="243"/>
      <c r="H96" s="243"/>
      <c r="I96" s="246"/>
      <c r="J96" s="101">
        <f t="shared" si="3"/>
        <v>17</v>
      </c>
      <c r="L96" s="183"/>
    </row>
    <row r="97" spans="1:13">
      <c r="A97" s="101">
        <f t="shared" si="2"/>
        <v>18</v>
      </c>
      <c r="B97" s="98" t="s">
        <v>85</v>
      </c>
      <c r="D97" s="183"/>
      <c r="E97" s="183"/>
      <c r="F97" s="183"/>
      <c r="G97" s="226">
        <f>G85</f>
        <v>6.159962800520135E-2</v>
      </c>
      <c r="H97" s="226"/>
      <c r="I97" s="217" t="str">
        <f>"Line "&amp;A85&amp;" Above"</f>
        <v>Line 6 Above</v>
      </c>
      <c r="J97" s="101">
        <f t="shared" si="3"/>
        <v>18</v>
      </c>
      <c r="L97" s="101"/>
    </row>
    <row r="98" spans="1:13">
      <c r="A98" s="101">
        <f t="shared" si="2"/>
        <v>19</v>
      </c>
      <c r="B98" s="98" t="s">
        <v>97</v>
      </c>
      <c r="D98" s="183"/>
      <c r="E98" s="183"/>
      <c r="F98" s="183"/>
      <c r="G98" s="157">
        <f>G87</f>
        <v>7491.7360400000025</v>
      </c>
      <c r="H98" s="157"/>
      <c r="I98" s="217" t="str">
        <f>"Line "&amp;A87&amp;" Above"</f>
        <v>Line 8 Above</v>
      </c>
      <c r="J98" s="101">
        <f t="shared" si="3"/>
        <v>19</v>
      </c>
      <c r="L98" s="101"/>
    </row>
    <row r="99" spans="1:13">
      <c r="A99" s="101">
        <f t="shared" si="2"/>
        <v>20</v>
      </c>
      <c r="B99" s="98" t="s">
        <v>98</v>
      </c>
      <c r="D99" s="183"/>
      <c r="E99" s="183"/>
      <c r="F99" s="183"/>
      <c r="G99" s="690">
        <f>G88</f>
        <v>4272188.7090118667</v>
      </c>
      <c r="H99" s="538" t="s">
        <v>417</v>
      </c>
      <c r="I99" s="217" t="str">
        <f>"Line "&amp;A88&amp;" Above"</f>
        <v>Line 9 Above</v>
      </c>
      <c r="J99" s="101">
        <f t="shared" si="3"/>
        <v>20</v>
      </c>
      <c r="L99" s="101"/>
    </row>
    <row r="100" spans="1:13">
      <c r="A100" s="101">
        <f t="shared" si="2"/>
        <v>21</v>
      </c>
      <c r="B100" s="98" t="s">
        <v>99</v>
      </c>
      <c r="D100" s="183"/>
      <c r="E100" s="183"/>
      <c r="F100" s="183"/>
      <c r="G100" s="733">
        <f>G91</f>
        <v>1.6762285487466378E-2</v>
      </c>
      <c r="H100" s="538" t="s">
        <v>417</v>
      </c>
      <c r="I100" s="217" t="str">
        <f>"Line "&amp;A91&amp;" Above"</f>
        <v>Line 12 Above</v>
      </c>
      <c r="J100" s="101">
        <f t="shared" si="3"/>
        <v>21</v>
      </c>
    </row>
    <row r="101" spans="1:13">
      <c r="A101" s="101">
        <f t="shared" si="2"/>
        <v>22</v>
      </c>
      <c r="B101" s="98" t="s">
        <v>219</v>
      </c>
      <c r="D101" s="183"/>
      <c r="E101" s="183"/>
      <c r="F101" s="183"/>
      <c r="G101" s="691" t="s">
        <v>143</v>
      </c>
      <c r="H101" s="183"/>
      <c r="I101" s="217" t="s">
        <v>89</v>
      </c>
      <c r="J101" s="101">
        <f t="shared" si="3"/>
        <v>22</v>
      </c>
    </row>
    <row r="102" spans="1:13">
      <c r="A102" s="101">
        <f t="shared" si="2"/>
        <v>23</v>
      </c>
      <c r="B102" s="100"/>
      <c r="D102" s="183"/>
      <c r="E102" s="183"/>
      <c r="F102" s="183"/>
      <c r="G102" s="249"/>
      <c r="H102" s="249"/>
      <c r="I102" s="246"/>
      <c r="J102" s="101">
        <f t="shared" si="3"/>
        <v>23</v>
      </c>
    </row>
    <row r="103" spans="1:13">
      <c r="A103" s="101">
        <f t="shared" si="2"/>
        <v>24</v>
      </c>
      <c r="B103" s="98" t="s">
        <v>220</v>
      </c>
      <c r="C103" s="101"/>
      <c r="D103" s="101"/>
      <c r="E103" s="183"/>
      <c r="F103" s="183"/>
      <c r="G103" s="734">
        <f>((G97)+(G98/G99)+G91)*G101/(1-G101)</f>
        <v>7.7689907076405615E-3</v>
      </c>
      <c r="H103" s="538" t="s">
        <v>417</v>
      </c>
      <c r="I103" s="217" t="s">
        <v>100</v>
      </c>
      <c r="J103" s="101">
        <f t="shared" si="3"/>
        <v>24</v>
      </c>
    </row>
    <row r="104" spans="1:13">
      <c r="A104" s="101">
        <f t="shared" si="2"/>
        <v>25</v>
      </c>
      <c r="B104" s="242" t="s">
        <v>221</v>
      </c>
      <c r="G104" s="101"/>
      <c r="H104" s="101"/>
      <c r="I104" s="217"/>
      <c r="J104" s="101">
        <f t="shared" si="3"/>
        <v>25</v>
      </c>
      <c r="L104" s="101"/>
    </row>
    <row r="105" spans="1:13">
      <c r="A105" s="101">
        <f t="shared" si="2"/>
        <v>26</v>
      </c>
      <c r="G105" s="101"/>
      <c r="H105" s="101"/>
      <c r="I105" s="217"/>
      <c r="J105" s="101">
        <f t="shared" si="3"/>
        <v>26</v>
      </c>
      <c r="L105" s="101"/>
    </row>
    <row r="106" spans="1:13">
      <c r="A106" s="101">
        <f t="shared" si="2"/>
        <v>27</v>
      </c>
      <c r="B106" s="199" t="s">
        <v>90</v>
      </c>
      <c r="G106" s="732">
        <f>G103+G91</f>
        <v>2.4531276195106939E-2</v>
      </c>
      <c r="H106" s="538" t="s">
        <v>417</v>
      </c>
      <c r="I106" s="217" t="str">
        <f>"Line "&amp;A91&amp;" + Line "&amp;A103</f>
        <v>Line 12 + Line 24</v>
      </c>
      <c r="J106" s="101">
        <f t="shared" si="3"/>
        <v>27</v>
      </c>
      <c r="L106" s="101"/>
    </row>
    <row r="107" spans="1:13">
      <c r="A107" s="101">
        <f t="shared" si="2"/>
        <v>28</v>
      </c>
      <c r="G107" s="101"/>
      <c r="H107" s="101"/>
      <c r="I107" s="217"/>
      <c r="J107" s="101">
        <f t="shared" si="3"/>
        <v>28</v>
      </c>
      <c r="L107" s="101"/>
    </row>
    <row r="108" spans="1:13">
      <c r="A108" s="101">
        <f t="shared" si="2"/>
        <v>29</v>
      </c>
      <c r="B108" s="199" t="s">
        <v>101</v>
      </c>
      <c r="G108" s="692">
        <f>G50</f>
        <v>7.9518521599695191E-2</v>
      </c>
      <c r="H108" s="183"/>
      <c r="I108" s="217" t="str">
        <f>"AV1; Line "&amp;A50</f>
        <v>AV1; Line 40</v>
      </c>
      <c r="J108" s="101">
        <f t="shared" si="3"/>
        <v>29</v>
      </c>
      <c r="L108" s="101"/>
    </row>
    <row r="109" spans="1:13">
      <c r="A109" s="101">
        <f t="shared" si="2"/>
        <v>30</v>
      </c>
      <c r="G109" s="226"/>
      <c r="H109" s="226"/>
      <c r="I109" s="217"/>
      <c r="J109" s="101">
        <f t="shared" si="3"/>
        <v>30</v>
      </c>
      <c r="L109" s="101"/>
    </row>
    <row r="110" spans="1:13" ht="19.5" thickBot="1">
      <c r="A110" s="101">
        <f t="shared" si="2"/>
        <v>31</v>
      </c>
      <c r="B110" s="199" t="s">
        <v>91</v>
      </c>
      <c r="G110" s="705">
        <f>G106+G108</f>
        <v>0.10404979779480213</v>
      </c>
      <c r="H110" s="538" t="s">
        <v>417</v>
      </c>
      <c r="I110" s="217" t="str">
        <f>"Line "&amp;A106&amp;" + Line "&amp;A108</f>
        <v>Line 27 + Line 29</v>
      </c>
      <c r="J110" s="101">
        <f t="shared" si="3"/>
        <v>31</v>
      </c>
      <c r="L110" s="252"/>
      <c r="M110" s="241"/>
    </row>
    <row r="111" spans="1:13" ht="16.5" thickTop="1">
      <c r="B111" s="199"/>
      <c r="G111" s="253"/>
      <c r="H111" s="253"/>
      <c r="I111" s="217"/>
      <c r="J111" s="101"/>
      <c r="L111" s="252"/>
      <c r="M111" s="241"/>
    </row>
    <row r="112" spans="1:13">
      <c r="B112" s="199"/>
      <c r="G112" s="253"/>
      <c r="H112" s="253"/>
      <c r="I112" s="217"/>
      <c r="J112" s="101"/>
      <c r="L112" s="252"/>
      <c r="M112" s="241"/>
    </row>
    <row r="113" spans="1:13">
      <c r="A113" s="538" t="s">
        <v>417</v>
      </c>
      <c r="B113" s="5" t="str">
        <f>'Pg9 Rev Stmt AL'!B32</f>
        <v xml:space="preserve">Items in bold have changed due to A&amp;G adj. on WMPMA exclusion reversal compared to the original SX-PQ Appendix XII Cycle 3 filing per ER21-320 and cost adjustments </v>
      </c>
      <c r="G113" s="253"/>
      <c r="H113" s="253"/>
      <c r="I113" s="217"/>
      <c r="J113" s="101"/>
      <c r="L113" s="252"/>
      <c r="M113" s="241"/>
    </row>
    <row r="114" spans="1:13">
      <c r="A114" s="538"/>
      <c r="B114" s="5" t="str">
        <f>'Pg9 Rev Stmt AL'!B33</f>
        <v xml:space="preserve">included in Appendix XII Cycle 4 per ER22-133.  </v>
      </c>
      <c r="G114" s="253"/>
      <c r="H114" s="253"/>
      <c r="I114" s="217"/>
      <c r="J114" s="101"/>
      <c r="L114" s="252"/>
      <c r="M114" s="241"/>
    </row>
    <row r="115" spans="1:13" ht="18.75">
      <c r="A115" s="190">
        <v>1</v>
      </c>
      <c r="B115" s="1" t="s">
        <v>397</v>
      </c>
      <c r="G115" s="253"/>
      <c r="H115" s="253"/>
      <c r="I115" s="217"/>
      <c r="J115" s="101"/>
      <c r="L115" s="252"/>
      <c r="M115" s="241"/>
    </row>
    <row r="116" spans="1:13" ht="18.75">
      <c r="A116" s="190"/>
      <c r="B116" s="1"/>
      <c r="G116" s="253"/>
      <c r="H116" s="253"/>
      <c r="I116" s="217"/>
      <c r="J116" s="101"/>
      <c r="L116" s="252"/>
      <c r="M116" s="241"/>
    </row>
    <row r="117" spans="1:13">
      <c r="A117" s="254"/>
      <c r="B117" s="100"/>
      <c r="C117" s="255"/>
      <c r="D117" s="255"/>
      <c r="E117" s="255"/>
      <c r="F117" s="255"/>
      <c r="G117" s="256"/>
      <c r="H117" s="256"/>
      <c r="I117" s="257"/>
      <c r="J117" s="101"/>
    </row>
    <row r="118" spans="1:13">
      <c r="B118" s="784" t="s">
        <v>12</v>
      </c>
      <c r="C118" s="784"/>
      <c r="D118" s="784"/>
      <c r="E118" s="784"/>
      <c r="F118" s="784"/>
      <c r="G118" s="784"/>
      <c r="H118" s="784"/>
      <c r="I118" s="784"/>
    </row>
    <row r="119" spans="1:13">
      <c r="B119" s="784" t="s">
        <v>66</v>
      </c>
      <c r="C119" s="784"/>
      <c r="D119" s="784"/>
      <c r="E119" s="784"/>
      <c r="F119" s="784"/>
      <c r="G119" s="784"/>
      <c r="H119" s="784"/>
      <c r="I119" s="784"/>
    </row>
    <row r="120" spans="1:13">
      <c r="B120" s="784" t="s">
        <v>67</v>
      </c>
      <c r="C120" s="784"/>
      <c r="D120" s="784"/>
      <c r="E120" s="784"/>
      <c r="F120" s="784"/>
      <c r="G120" s="784"/>
      <c r="H120" s="784"/>
      <c r="I120" s="784"/>
    </row>
    <row r="121" spans="1:13">
      <c r="B121" s="787" t="str">
        <f>B5</f>
        <v>Base Period &amp; True-Up Period 12 - Months Ending December 31, 2019</v>
      </c>
      <c r="C121" s="787"/>
      <c r="D121" s="787"/>
      <c r="E121" s="787"/>
      <c r="F121" s="787"/>
      <c r="G121" s="787"/>
      <c r="H121" s="787"/>
      <c r="I121" s="787"/>
    </row>
    <row r="122" spans="1:13">
      <c r="B122" s="786" t="s">
        <v>1</v>
      </c>
      <c r="C122" s="788"/>
      <c r="D122" s="788"/>
      <c r="E122" s="788"/>
      <c r="F122" s="788"/>
      <c r="G122" s="788"/>
      <c r="H122" s="788"/>
      <c r="I122" s="788"/>
    </row>
    <row r="124" spans="1:13">
      <c r="A124" s="101" t="s">
        <v>2</v>
      </c>
      <c r="B124" s="183"/>
      <c r="C124" s="183"/>
      <c r="D124" s="183"/>
      <c r="E124" s="183"/>
      <c r="F124" s="183"/>
      <c r="G124" s="183"/>
      <c r="H124" s="183"/>
      <c r="I124" s="217"/>
      <c r="J124" s="101" t="s">
        <v>2</v>
      </c>
    </row>
    <row r="125" spans="1:13">
      <c r="A125" s="101" t="s">
        <v>14</v>
      </c>
      <c r="B125" s="101"/>
      <c r="C125" s="101"/>
      <c r="D125" s="101"/>
      <c r="E125" s="101"/>
      <c r="F125" s="101"/>
      <c r="G125" s="418" t="s">
        <v>21</v>
      </c>
      <c r="H125" s="183"/>
      <c r="I125" s="445" t="s">
        <v>6</v>
      </c>
      <c r="J125" s="101" t="s">
        <v>14</v>
      </c>
    </row>
    <row r="127" spans="1:13" ht="18.75">
      <c r="A127" s="101">
        <v>1</v>
      </c>
      <c r="B127" s="199" t="s">
        <v>379</v>
      </c>
      <c r="J127" s="101">
        <v>1</v>
      </c>
    </row>
    <row r="128" spans="1:13">
      <c r="A128" s="101">
        <f>A127+1</f>
        <v>2</v>
      </c>
      <c r="B128" s="232"/>
      <c r="J128" s="101">
        <f>J127+1</f>
        <v>2</v>
      </c>
    </row>
    <row r="129" spans="1:10">
      <c r="A129" s="101">
        <f>A128+1</f>
        <v>3</v>
      </c>
      <c r="B129" s="199" t="s">
        <v>83</v>
      </c>
      <c r="J129" s="101">
        <f>J128+1</f>
        <v>3</v>
      </c>
    </row>
    <row r="130" spans="1:10">
      <c r="A130" s="101">
        <f>A129+1</f>
        <v>4</v>
      </c>
      <c r="B130" s="183"/>
      <c r="J130" s="101">
        <f>J129+1</f>
        <v>4</v>
      </c>
    </row>
    <row r="131" spans="1:10">
      <c r="A131" s="101">
        <f t="shared" ref="A131:A157" si="4">A130+1</f>
        <v>5</v>
      </c>
      <c r="B131" s="194" t="s">
        <v>84</v>
      </c>
      <c r="J131" s="101">
        <f t="shared" ref="J131:J157" si="5">J130+1</f>
        <v>5</v>
      </c>
    </row>
    <row r="132" spans="1:10">
      <c r="A132" s="101">
        <f t="shared" si="4"/>
        <v>6</v>
      </c>
      <c r="B132" s="98" t="str">
        <f>B85</f>
        <v xml:space="preserve">     A = Sum of Preferred Stock and Return on Equity Component</v>
      </c>
      <c r="G132" s="234">
        <f>G65</f>
        <v>0</v>
      </c>
      <c r="I132" s="217" t="str">
        <f>"AV1; Line "&amp;A65</f>
        <v>AV1; Line 55</v>
      </c>
      <c r="J132" s="101">
        <f t="shared" si="5"/>
        <v>6</v>
      </c>
    </row>
    <row r="133" spans="1:10">
      <c r="A133" s="101">
        <f t="shared" si="4"/>
        <v>7</v>
      </c>
      <c r="B133" s="98" t="str">
        <f>B86</f>
        <v xml:space="preserve">     B = Transmission Total Federal Tax Adjustments</v>
      </c>
      <c r="G133" s="446">
        <v>0</v>
      </c>
      <c r="I133" s="216" t="s">
        <v>23</v>
      </c>
      <c r="J133" s="101">
        <f t="shared" si="5"/>
        <v>7</v>
      </c>
    </row>
    <row r="134" spans="1:10">
      <c r="A134" s="101">
        <f t="shared" si="4"/>
        <v>8</v>
      </c>
      <c r="B134" s="98" t="s">
        <v>378</v>
      </c>
      <c r="G134" s="462">
        <v>0</v>
      </c>
      <c r="I134" s="216" t="s">
        <v>23</v>
      </c>
      <c r="J134" s="101">
        <f t="shared" si="5"/>
        <v>8</v>
      </c>
    </row>
    <row r="135" spans="1:10">
      <c r="A135" s="101">
        <f t="shared" si="4"/>
        <v>9</v>
      </c>
      <c r="B135" s="98" t="s">
        <v>367</v>
      </c>
      <c r="G135" s="462">
        <v>0</v>
      </c>
      <c r="I135" s="216" t="s">
        <v>23</v>
      </c>
      <c r="J135" s="101">
        <f t="shared" si="5"/>
        <v>9</v>
      </c>
    </row>
    <row r="136" spans="1:10">
      <c r="A136" s="101">
        <f t="shared" si="4"/>
        <v>10</v>
      </c>
      <c r="B136" s="98" t="str">
        <f>B89</f>
        <v xml:space="preserve">     FT = Federal Income Tax Rate for Rate Effective Period</v>
      </c>
      <c r="G136" s="447">
        <f>G89</f>
        <v>0.21</v>
      </c>
      <c r="I136" s="217" t="str">
        <f>"AV2; Line "&amp;A89</f>
        <v>AV2; Line 10</v>
      </c>
      <c r="J136" s="101">
        <f t="shared" si="5"/>
        <v>10</v>
      </c>
    </row>
    <row r="137" spans="1:10">
      <c r="A137" s="101">
        <f t="shared" si="4"/>
        <v>11</v>
      </c>
      <c r="G137" s="101"/>
      <c r="J137" s="101">
        <f t="shared" si="5"/>
        <v>11</v>
      </c>
    </row>
    <row r="138" spans="1:10">
      <c r="A138" s="101">
        <f t="shared" si="4"/>
        <v>12</v>
      </c>
      <c r="B138" s="98" t="s">
        <v>368</v>
      </c>
      <c r="G138" s="240">
        <f>IFERROR((((G132)+(G134/G135))*G136-(G133/G135))/(1-G136),0)</f>
        <v>0</v>
      </c>
      <c r="I138" s="217" t="s">
        <v>372</v>
      </c>
      <c r="J138" s="101">
        <f t="shared" si="5"/>
        <v>12</v>
      </c>
    </row>
    <row r="139" spans="1:10">
      <c r="A139" s="101">
        <f t="shared" si="4"/>
        <v>13</v>
      </c>
      <c r="B139" s="242" t="s">
        <v>218</v>
      </c>
      <c r="G139" s="448"/>
      <c r="J139" s="101">
        <f t="shared" si="5"/>
        <v>13</v>
      </c>
    </row>
    <row r="140" spans="1:10">
      <c r="A140" s="101">
        <f t="shared" si="4"/>
        <v>14</v>
      </c>
      <c r="G140" s="101"/>
      <c r="J140" s="101">
        <f t="shared" si="5"/>
        <v>14</v>
      </c>
    </row>
    <row r="141" spans="1:10">
      <c r="A141" s="101">
        <f t="shared" si="4"/>
        <v>15</v>
      </c>
      <c r="B141" s="199" t="s">
        <v>88</v>
      </c>
      <c r="G141" s="243"/>
      <c r="I141" s="244"/>
      <c r="J141" s="101">
        <f t="shared" si="5"/>
        <v>15</v>
      </c>
    </row>
    <row r="142" spans="1:10">
      <c r="A142" s="101">
        <f t="shared" si="4"/>
        <v>16</v>
      </c>
      <c r="B142" s="203"/>
      <c r="G142" s="243"/>
      <c r="I142" s="233"/>
      <c r="J142" s="101">
        <f t="shared" si="5"/>
        <v>16</v>
      </c>
    </row>
    <row r="143" spans="1:10">
      <c r="A143" s="101">
        <f t="shared" si="4"/>
        <v>17</v>
      </c>
      <c r="B143" s="194" t="s">
        <v>84</v>
      </c>
      <c r="G143" s="243"/>
      <c r="I143" s="233"/>
      <c r="J143" s="101">
        <f t="shared" si="5"/>
        <v>17</v>
      </c>
    </row>
    <row r="144" spans="1:10">
      <c r="A144" s="101">
        <f t="shared" si="4"/>
        <v>18</v>
      </c>
      <c r="B144" s="98" t="str">
        <f>B97</f>
        <v xml:space="preserve">     A = Sum of Preferred Stock and Return on Equity Component</v>
      </c>
      <c r="G144" s="226">
        <f>G132</f>
        <v>0</v>
      </c>
      <c r="I144" s="217" t="str">
        <f>"Line "&amp;A132&amp;" Above"</f>
        <v>Line 6 Above</v>
      </c>
      <c r="J144" s="101">
        <f t="shared" si="5"/>
        <v>18</v>
      </c>
    </row>
    <row r="145" spans="1:10">
      <c r="A145" s="101">
        <f t="shared" si="4"/>
        <v>19</v>
      </c>
      <c r="B145" s="98" t="str">
        <f>B98</f>
        <v xml:space="preserve">     B = Equity AFUDC Component of Transmission Depreciation Expense</v>
      </c>
      <c r="G145" s="157">
        <f>G134</f>
        <v>0</v>
      </c>
      <c r="I145" s="217" t="str">
        <f>"Line "&amp;A134&amp;" Above"</f>
        <v>Line 8 Above</v>
      </c>
      <c r="J145" s="101">
        <f t="shared" si="5"/>
        <v>19</v>
      </c>
    </row>
    <row r="146" spans="1:10">
      <c r="A146" s="101">
        <f t="shared" si="4"/>
        <v>20</v>
      </c>
      <c r="B146" s="98" t="s">
        <v>369</v>
      </c>
      <c r="G146" s="157">
        <f>G135</f>
        <v>0</v>
      </c>
      <c r="I146" s="217" t="str">
        <f>"Line "&amp;A135&amp;" Above"</f>
        <v>Line 9 Above</v>
      </c>
      <c r="J146" s="101">
        <f t="shared" si="5"/>
        <v>20</v>
      </c>
    </row>
    <row r="147" spans="1:10">
      <c r="A147" s="101">
        <f t="shared" si="4"/>
        <v>21</v>
      </c>
      <c r="B147" s="98" t="str">
        <f>B100</f>
        <v xml:space="preserve">     FT = Federal Income Tax Expense</v>
      </c>
      <c r="G147" s="248">
        <f>G138</f>
        <v>0</v>
      </c>
      <c r="I147" s="217" t="str">
        <f>"Line "&amp;A138&amp;" Above"</f>
        <v>Line 12 Above</v>
      </c>
      <c r="J147" s="101">
        <f t="shared" si="5"/>
        <v>21</v>
      </c>
    </row>
    <row r="148" spans="1:10">
      <c r="A148" s="101">
        <f t="shared" si="4"/>
        <v>22</v>
      </c>
      <c r="B148" s="98" t="str">
        <f>B101</f>
        <v xml:space="preserve">     ST = State Income Tax Rate for Rate Effective Period</v>
      </c>
      <c r="G148" s="449" t="str">
        <f>G101</f>
        <v>8.84%</v>
      </c>
      <c r="I148" s="217" t="str">
        <f>"AV2; Line "&amp;A101</f>
        <v>AV2; Line 22</v>
      </c>
      <c r="J148" s="101">
        <f t="shared" si="5"/>
        <v>22</v>
      </c>
    </row>
    <row r="149" spans="1:10">
      <c r="A149" s="101">
        <f t="shared" si="4"/>
        <v>23</v>
      </c>
      <c r="B149" s="100"/>
      <c r="G149" s="249"/>
      <c r="I149" s="246"/>
      <c r="J149" s="101">
        <f t="shared" si="5"/>
        <v>23</v>
      </c>
    </row>
    <row r="150" spans="1:10">
      <c r="A150" s="101">
        <f t="shared" si="4"/>
        <v>24</v>
      </c>
      <c r="B150" s="98" t="s">
        <v>220</v>
      </c>
      <c r="G150" s="450">
        <f>IFERROR(((G144)+(G145/G146)+G138)*G148/(1-G148),0)</f>
        <v>0</v>
      </c>
      <c r="I150" s="217" t="s">
        <v>100</v>
      </c>
      <c r="J150" s="101">
        <f t="shared" si="5"/>
        <v>24</v>
      </c>
    </row>
    <row r="151" spans="1:10">
      <c r="A151" s="101">
        <f t="shared" si="4"/>
        <v>25</v>
      </c>
      <c r="B151" s="242" t="s">
        <v>221</v>
      </c>
      <c r="G151" s="101"/>
      <c r="I151" s="217"/>
      <c r="J151" s="101">
        <f t="shared" si="5"/>
        <v>25</v>
      </c>
    </row>
    <row r="152" spans="1:10">
      <c r="A152" s="101">
        <f t="shared" si="4"/>
        <v>26</v>
      </c>
      <c r="G152" s="101"/>
      <c r="I152" s="217"/>
      <c r="J152" s="101">
        <f t="shared" si="5"/>
        <v>26</v>
      </c>
    </row>
    <row r="153" spans="1:10">
      <c r="A153" s="101">
        <f t="shared" si="4"/>
        <v>27</v>
      </c>
      <c r="B153" s="199" t="s">
        <v>90</v>
      </c>
      <c r="G153" s="240">
        <f>G150+G138</f>
        <v>0</v>
      </c>
      <c r="I153" s="217" t="str">
        <f>"Line "&amp;A138&amp;" + Line "&amp;A150</f>
        <v>Line 12 + Line 24</v>
      </c>
      <c r="J153" s="101">
        <f t="shared" si="5"/>
        <v>27</v>
      </c>
    </row>
    <row r="154" spans="1:10">
      <c r="A154" s="101">
        <f t="shared" si="4"/>
        <v>28</v>
      </c>
      <c r="G154" s="101"/>
      <c r="I154" s="217"/>
      <c r="J154" s="101">
        <f t="shared" si="5"/>
        <v>28</v>
      </c>
    </row>
    <row r="155" spans="1:10">
      <c r="A155" s="101">
        <f t="shared" si="4"/>
        <v>29</v>
      </c>
      <c r="B155" s="199" t="s">
        <v>370</v>
      </c>
      <c r="G155" s="451">
        <f>G63</f>
        <v>0</v>
      </c>
      <c r="I155" s="217" t="str">
        <f>"AV1; Line "&amp;A63</f>
        <v>AV1; Line 53</v>
      </c>
      <c r="J155" s="101">
        <f t="shared" si="5"/>
        <v>29</v>
      </c>
    </row>
    <row r="156" spans="1:10">
      <c r="A156" s="101">
        <f t="shared" si="4"/>
        <v>30</v>
      </c>
      <c r="G156" s="101"/>
      <c r="I156" s="217"/>
      <c r="J156" s="101">
        <f t="shared" si="5"/>
        <v>30</v>
      </c>
    </row>
    <row r="157" spans="1:10" ht="19.5" thickBot="1">
      <c r="A157" s="101">
        <f t="shared" si="4"/>
        <v>31</v>
      </c>
      <c r="B157" s="199" t="s">
        <v>371</v>
      </c>
      <c r="G157" s="452">
        <f>G153+G155</f>
        <v>0</v>
      </c>
      <c r="I157" s="217" t="str">
        <f>"Line "&amp;A153&amp;" + Line "&amp;A155</f>
        <v>Line 27 + Line 29</v>
      </c>
      <c r="J157" s="101">
        <f t="shared" si="5"/>
        <v>31</v>
      </c>
    </row>
    <row r="158" spans="1:10" ht="16.5" thickTop="1"/>
    <row r="160" spans="1:10" ht="18.75">
      <c r="A160" s="214"/>
      <c r="B160" s="1"/>
    </row>
  </sheetData>
  <mergeCells count="15">
    <mergeCell ref="B71:I71"/>
    <mergeCell ref="B2:I2"/>
    <mergeCell ref="B3:I3"/>
    <mergeCell ref="B4:I4"/>
    <mergeCell ref="B5:I5"/>
    <mergeCell ref="B6:I6"/>
    <mergeCell ref="B120:I120"/>
    <mergeCell ref="B121:I121"/>
    <mergeCell ref="B122:I122"/>
    <mergeCell ref="B72:I72"/>
    <mergeCell ref="B73:I73"/>
    <mergeCell ref="B74:I74"/>
    <mergeCell ref="B75:I75"/>
    <mergeCell ref="B118:I118"/>
    <mergeCell ref="B119:I119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10.&amp;P&amp;R&amp;A</oddFooter>
  </headerFooter>
  <rowBreaks count="2" manualBreakCount="2">
    <brk id="69" max="16383" man="1"/>
    <brk id="116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AE77-8CEE-428B-8355-570A3FE3ED2D}">
  <dimension ref="A1:M159"/>
  <sheetViews>
    <sheetView zoomScale="80" zoomScaleNormal="80" workbookViewId="0"/>
  </sheetViews>
  <sheetFormatPr defaultColWidth="8.85546875" defaultRowHeight="15.75"/>
  <cols>
    <col min="1" max="1" width="5.140625" style="101" customWidth="1"/>
    <col min="2" max="2" width="55.42578125" style="98" customWidth="1"/>
    <col min="3" max="5" width="15.5703125" style="98" customWidth="1"/>
    <col min="6" max="6" width="1.5703125" style="98" customWidth="1"/>
    <col min="7" max="7" width="16.85546875" style="98" customWidth="1"/>
    <col min="8" max="8" width="1.5703125" style="98" customWidth="1"/>
    <col min="9" max="9" width="38.85546875" style="196" customWidth="1"/>
    <col min="10" max="10" width="5.140625" style="98" customWidth="1"/>
    <col min="11" max="11" width="27" style="98" bestFit="1" customWidth="1"/>
    <col min="12" max="12" width="15" style="98" bestFit="1" customWidth="1"/>
    <col min="13" max="13" width="10.42578125" style="98" bestFit="1" customWidth="1"/>
    <col min="14" max="16384" width="8.85546875" style="98"/>
  </cols>
  <sheetData>
    <row r="1" spans="1:10">
      <c r="A1" s="605" t="s">
        <v>562</v>
      </c>
    </row>
    <row r="2" spans="1:10">
      <c r="A2" s="215"/>
      <c r="G2" s="186"/>
      <c r="H2" s="186"/>
      <c r="I2" s="216"/>
      <c r="J2" s="101"/>
    </row>
    <row r="3" spans="1:10">
      <c r="B3" s="784" t="s">
        <v>0</v>
      </c>
      <c r="C3" s="784"/>
      <c r="D3" s="784"/>
      <c r="E3" s="784"/>
      <c r="F3" s="784"/>
      <c r="G3" s="784"/>
      <c r="H3" s="784"/>
      <c r="I3" s="784"/>
      <c r="J3" s="101"/>
    </row>
    <row r="4" spans="1:10">
      <c r="B4" s="784" t="s">
        <v>66</v>
      </c>
      <c r="C4" s="784"/>
      <c r="D4" s="784"/>
      <c r="E4" s="784"/>
      <c r="F4" s="784"/>
      <c r="G4" s="784"/>
      <c r="H4" s="784"/>
      <c r="I4" s="784"/>
      <c r="J4" s="101"/>
    </row>
    <row r="5" spans="1:10">
      <c r="B5" s="784" t="s">
        <v>67</v>
      </c>
      <c r="C5" s="784"/>
      <c r="D5" s="784"/>
      <c r="E5" s="784"/>
      <c r="F5" s="784"/>
      <c r="G5" s="784"/>
      <c r="H5" s="784"/>
      <c r="I5" s="784"/>
      <c r="J5" s="101"/>
    </row>
    <row r="6" spans="1:10">
      <c r="B6" s="787" t="s">
        <v>445</v>
      </c>
      <c r="C6" s="787"/>
      <c r="D6" s="787"/>
      <c r="E6" s="787"/>
      <c r="F6" s="787"/>
      <c r="G6" s="787"/>
      <c r="H6" s="787"/>
      <c r="I6" s="787"/>
      <c r="J6" s="101"/>
    </row>
    <row r="7" spans="1:10">
      <c r="B7" s="786" t="s">
        <v>1</v>
      </c>
      <c r="C7" s="788"/>
      <c r="D7" s="788"/>
      <c r="E7" s="788"/>
      <c r="F7" s="788"/>
      <c r="G7" s="788"/>
      <c r="H7" s="788"/>
      <c r="I7" s="788"/>
      <c r="J7" s="101"/>
    </row>
    <row r="8" spans="1:10">
      <c r="B8" s="101"/>
      <c r="C8" s="101"/>
      <c r="D8" s="101"/>
      <c r="E8" s="101"/>
      <c r="F8" s="101"/>
      <c r="G8" s="101"/>
      <c r="H8" s="101"/>
      <c r="I8" s="217"/>
      <c r="J8" s="101"/>
    </row>
    <row r="9" spans="1:10">
      <c r="A9" s="101" t="s">
        <v>2</v>
      </c>
      <c r="B9" s="183"/>
      <c r="C9" s="183"/>
      <c r="D9" s="183"/>
      <c r="E9" s="101" t="s">
        <v>159</v>
      </c>
      <c r="F9" s="183"/>
      <c r="G9" s="183"/>
      <c r="H9" s="183"/>
      <c r="I9" s="217"/>
      <c r="J9" s="101" t="s">
        <v>2</v>
      </c>
    </row>
    <row r="10" spans="1:10">
      <c r="A10" s="101" t="s">
        <v>14</v>
      </c>
      <c r="B10" s="101"/>
      <c r="C10" s="101"/>
      <c r="D10" s="101"/>
      <c r="E10" s="418" t="s">
        <v>160</v>
      </c>
      <c r="F10" s="101"/>
      <c r="G10" s="633" t="s">
        <v>21</v>
      </c>
      <c r="H10" s="183"/>
      <c r="I10" s="445" t="s">
        <v>6</v>
      </c>
      <c r="J10" s="101" t="s">
        <v>14</v>
      </c>
    </row>
    <row r="11" spans="1:10">
      <c r="B11" s="101"/>
      <c r="C11" s="101"/>
      <c r="D11" s="101"/>
      <c r="E11" s="101"/>
      <c r="F11" s="101"/>
      <c r="G11" s="101"/>
      <c r="H11" s="101"/>
      <c r="I11" s="217"/>
      <c r="J11" s="101"/>
    </row>
    <row r="12" spans="1:10">
      <c r="A12" s="101">
        <v>1</v>
      </c>
      <c r="B12" s="199" t="s">
        <v>68</v>
      </c>
      <c r="I12" s="217"/>
      <c r="J12" s="101">
        <f>A12</f>
        <v>1</v>
      </c>
    </row>
    <row r="13" spans="1:10">
      <c r="A13" s="101">
        <f>A12+1</f>
        <v>2</v>
      </c>
      <c r="B13" s="98" t="s">
        <v>179</v>
      </c>
      <c r="E13" s="101" t="s">
        <v>180</v>
      </c>
      <c r="G13" s="184">
        <v>5140552</v>
      </c>
      <c r="H13" s="183"/>
      <c r="I13" s="218"/>
      <c r="J13" s="101">
        <f>J12+1</f>
        <v>2</v>
      </c>
    </row>
    <row r="14" spans="1:10">
      <c r="A14" s="101">
        <f t="shared" ref="A14:A66" si="0">A13+1</f>
        <v>3</v>
      </c>
      <c r="B14" s="98" t="s">
        <v>181</v>
      </c>
      <c r="E14" s="101" t="s">
        <v>182</v>
      </c>
      <c r="G14" s="187">
        <v>0</v>
      </c>
      <c r="H14" s="183"/>
      <c r="I14" s="218"/>
      <c r="J14" s="101">
        <f t="shared" ref="J14:J66" si="1">J13+1</f>
        <v>3</v>
      </c>
    </row>
    <row r="15" spans="1:10">
      <c r="A15" s="101">
        <f t="shared" si="0"/>
        <v>4</v>
      </c>
      <c r="B15" s="98" t="s">
        <v>183</v>
      </c>
      <c r="E15" s="101" t="s">
        <v>184</v>
      </c>
      <c r="G15" s="187">
        <v>0</v>
      </c>
      <c r="H15" s="183"/>
      <c r="I15" s="218"/>
      <c r="J15" s="101">
        <f t="shared" si="1"/>
        <v>4</v>
      </c>
    </row>
    <row r="16" spans="1:10">
      <c r="A16" s="101">
        <f t="shared" si="0"/>
        <v>5</v>
      </c>
      <c r="B16" s="98" t="s">
        <v>185</v>
      </c>
      <c r="E16" s="101" t="s">
        <v>186</v>
      </c>
      <c r="G16" s="187">
        <v>0</v>
      </c>
      <c r="H16" s="183"/>
      <c r="I16" s="218"/>
      <c r="J16" s="101">
        <f t="shared" si="1"/>
        <v>5</v>
      </c>
    </row>
    <row r="17" spans="1:10">
      <c r="A17" s="101">
        <f t="shared" si="0"/>
        <v>6</v>
      </c>
      <c r="B17" s="98" t="s">
        <v>187</v>
      </c>
      <c r="E17" s="101" t="s">
        <v>188</v>
      </c>
      <c r="G17" s="187">
        <v>-12166.400009999999</v>
      </c>
      <c r="H17" s="183"/>
      <c r="I17" s="218"/>
      <c r="J17" s="101">
        <f t="shared" si="1"/>
        <v>6</v>
      </c>
    </row>
    <row r="18" spans="1:10">
      <c r="A18" s="101">
        <f t="shared" si="0"/>
        <v>7</v>
      </c>
      <c r="B18" s="98" t="s">
        <v>189</v>
      </c>
      <c r="G18" s="683">
        <f>SUM(G13:G17)</f>
        <v>5128385.59999</v>
      </c>
      <c r="H18" s="178"/>
      <c r="I18" s="217" t="str">
        <f>"Sum Lines "&amp;A13&amp;" thru "&amp;A17</f>
        <v>Sum Lines 2 thru 6</v>
      </c>
      <c r="J18" s="101">
        <f t="shared" si="1"/>
        <v>7</v>
      </c>
    </row>
    <row r="19" spans="1:10">
      <c r="A19" s="101">
        <f t="shared" si="0"/>
        <v>8</v>
      </c>
      <c r="I19" s="217"/>
      <c r="J19" s="101">
        <f t="shared" si="1"/>
        <v>8</v>
      </c>
    </row>
    <row r="20" spans="1:10">
      <c r="A20" s="101">
        <f t="shared" si="0"/>
        <v>9</v>
      </c>
      <c r="B20" s="199" t="s">
        <v>69</v>
      </c>
      <c r="G20" s="92"/>
      <c r="H20" s="92"/>
      <c r="I20" s="217"/>
      <c r="J20" s="101">
        <f t="shared" si="1"/>
        <v>9</v>
      </c>
    </row>
    <row r="21" spans="1:10">
      <c r="A21" s="101">
        <f t="shared" si="0"/>
        <v>10</v>
      </c>
      <c r="B21" s="98" t="s">
        <v>190</v>
      </c>
      <c r="E21" s="101" t="s">
        <v>191</v>
      </c>
      <c r="G21" s="184">
        <v>213846.54399999999</v>
      </c>
      <c r="H21" s="183"/>
      <c r="I21" s="218"/>
      <c r="J21" s="101">
        <f t="shared" si="1"/>
        <v>10</v>
      </c>
    </row>
    <row r="22" spans="1:10">
      <c r="A22" s="101">
        <f t="shared" si="0"/>
        <v>11</v>
      </c>
      <c r="B22" s="98" t="s">
        <v>192</v>
      </c>
      <c r="E22" s="101" t="s">
        <v>193</v>
      </c>
      <c r="G22" s="187">
        <v>3709.4806400000002</v>
      </c>
      <c r="H22" s="183"/>
      <c r="I22" s="218"/>
      <c r="J22" s="101">
        <f t="shared" si="1"/>
        <v>11</v>
      </c>
    </row>
    <row r="23" spans="1:10">
      <c r="A23" s="101">
        <f t="shared" si="0"/>
        <v>12</v>
      </c>
      <c r="B23" s="98" t="s">
        <v>194</v>
      </c>
      <c r="E23" s="101" t="s">
        <v>195</v>
      </c>
      <c r="G23" s="187">
        <v>1831.0913999999998</v>
      </c>
      <c r="H23" s="183"/>
      <c r="I23" s="218"/>
      <c r="J23" s="101">
        <f t="shared" si="1"/>
        <v>12</v>
      </c>
    </row>
    <row r="24" spans="1:10">
      <c r="A24" s="101">
        <f t="shared" si="0"/>
        <v>13</v>
      </c>
      <c r="B24" s="98" t="s">
        <v>196</v>
      </c>
      <c r="E24" s="101" t="s">
        <v>197</v>
      </c>
      <c r="G24" s="187">
        <v>0</v>
      </c>
      <c r="H24" s="183"/>
      <c r="I24" s="218"/>
      <c r="J24" s="101">
        <f t="shared" si="1"/>
        <v>13</v>
      </c>
    </row>
    <row r="25" spans="1:10">
      <c r="A25" s="101">
        <f t="shared" si="0"/>
        <v>14</v>
      </c>
      <c r="B25" s="98" t="s">
        <v>198</v>
      </c>
      <c r="E25" s="101" t="s">
        <v>199</v>
      </c>
      <c r="G25" s="187">
        <v>0</v>
      </c>
      <c r="H25" s="183"/>
      <c r="I25" s="218"/>
      <c r="J25" s="101">
        <f t="shared" si="1"/>
        <v>14</v>
      </c>
    </row>
    <row r="26" spans="1:10">
      <c r="A26" s="101">
        <f t="shared" si="0"/>
        <v>15</v>
      </c>
      <c r="B26" s="98" t="s">
        <v>200</v>
      </c>
      <c r="G26" s="684">
        <f>SUM(G21:G25)</f>
        <v>219387.11603999999</v>
      </c>
      <c r="H26" s="188"/>
      <c r="I26" s="217" t="str">
        <f>"Sum Lines "&amp;A21&amp;" thru "&amp;A25</f>
        <v>Sum Lines 10 thru 14</v>
      </c>
      <c r="J26" s="101">
        <f t="shared" si="1"/>
        <v>15</v>
      </c>
    </row>
    <row r="27" spans="1:10">
      <c r="A27" s="101">
        <f t="shared" si="0"/>
        <v>16</v>
      </c>
      <c r="I27" s="217"/>
      <c r="J27" s="101">
        <f t="shared" si="1"/>
        <v>16</v>
      </c>
    </row>
    <row r="28" spans="1:10" ht="16.5" thickBot="1">
      <c r="A28" s="101">
        <f t="shared" si="0"/>
        <v>17</v>
      </c>
      <c r="B28" s="199" t="s">
        <v>70</v>
      </c>
      <c r="G28" s="219">
        <f>G26/G18</f>
        <v>4.2778982149943599E-2</v>
      </c>
      <c r="H28" s="220"/>
      <c r="I28" s="217" t="str">
        <f>"Line "&amp;A26&amp;" / Line "&amp;A18</f>
        <v>Line 15 / Line 7</v>
      </c>
      <c r="J28" s="101">
        <f t="shared" si="1"/>
        <v>17</v>
      </c>
    </row>
    <row r="29" spans="1:10" ht="16.5" thickTop="1">
      <c r="A29" s="101">
        <f t="shared" si="0"/>
        <v>18</v>
      </c>
      <c r="I29" s="217"/>
      <c r="J29" s="101">
        <f t="shared" si="1"/>
        <v>18</v>
      </c>
    </row>
    <row r="30" spans="1:10">
      <c r="A30" s="101">
        <f t="shared" si="0"/>
        <v>19</v>
      </c>
      <c r="B30" s="199" t="s">
        <v>71</v>
      </c>
      <c r="I30" s="217"/>
      <c r="J30" s="101">
        <f t="shared" si="1"/>
        <v>19</v>
      </c>
    </row>
    <row r="31" spans="1:10">
      <c r="A31" s="101">
        <f t="shared" si="0"/>
        <v>20</v>
      </c>
      <c r="B31" s="98" t="s">
        <v>201</v>
      </c>
      <c r="E31" s="101" t="s">
        <v>202</v>
      </c>
      <c r="G31" s="184">
        <v>0</v>
      </c>
      <c r="H31" s="183"/>
      <c r="I31" s="218"/>
      <c r="J31" s="101">
        <f t="shared" si="1"/>
        <v>20</v>
      </c>
    </row>
    <row r="32" spans="1:10">
      <c r="A32" s="101">
        <f t="shared" si="0"/>
        <v>21</v>
      </c>
      <c r="B32" s="98" t="s">
        <v>203</v>
      </c>
      <c r="E32" s="101" t="s">
        <v>204</v>
      </c>
      <c r="G32" s="685">
        <v>0</v>
      </c>
      <c r="H32" s="183"/>
      <c r="I32" s="218"/>
      <c r="J32" s="101">
        <f t="shared" si="1"/>
        <v>21</v>
      </c>
    </row>
    <row r="33" spans="1:12" ht="16.5" thickBot="1">
      <c r="A33" s="101">
        <f t="shared" si="0"/>
        <v>22</v>
      </c>
      <c r="B33" s="98" t="s">
        <v>205</v>
      </c>
      <c r="G33" s="219">
        <f>IFERROR((G32/G31),0)</f>
        <v>0</v>
      </c>
      <c r="H33" s="220"/>
      <c r="I33" s="217" t="str">
        <f>"Line "&amp;A32&amp;" / Line "&amp;A31</f>
        <v>Line 21 / Line 20</v>
      </c>
      <c r="J33" s="101">
        <f t="shared" si="1"/>
        <v>22</v>
      </c>
    </row>
    <row r="34" spans="1:12" ht="16.5" thickTop="1">
      <c r="A34" s="101">
        <f t="shared" si="0"/>
        <v>23</v>
      </c>
      <c r="I34" s="217"/>
      <c r="J34" s="101">
        <f t="shared" si="1"/>
        <v>23</v>
      </c>
    </row>
    <row r="35" spans="1:12">
      <c r="A35" s="101">
        <f t="shared" si="0"/>
        <v>24</v>
      </c>
      <c r="B35" s="199" t="s">
        <v>72</v>
      </c>
      <c r="I35" s="217"/>
      <c r="J35" s="101">
        <f t="shared" si="1"/>
        <v>24</v>
      </c>
    </row>
    <row r="36" spans="1:12">
      <c r="A36" s="101">
        <f t="shared" si="0"/>
        <v>25</v>
      </c>
      <c r="B36" s="98" t="s">
        <v>206</v>
      </c>
      <c r="E36" s="101" t="s">
        <v>207</v>
      </c>
      <c r="G36" s="184">
        <v>7099080.8731300002</v>
      </c>
      <c r="H36" s="183"/>
      <c r="I36" s="218"/>
      <c r="J36" s="101">
        <f t="shared" si="1"/>
        <v>25</v>
      </c>
      <c r="K36" s="177"/>
      <c r="L36" s="335"/>
    </row>
    <row r="37" spans="1:12">
      <c r="A37" s="101">
        <f t="shared" si="0"/>
        <v>26</v>
      </c>
      <c r="B37" s="98" t="s">
        <v>208</v>
      </c>
      <c r="E37" s="101" t="s">
        <v>202</v>
      </c>
      <c r="G37" s="221">
        <v>0</v>
      </c>
      <c r="H37" s="221"/>
      <c r="I37" s="217" t="str">
        <f>"Negative of Line "&amp;A31&amp;" Above"</f>
        <v>Negative of Line 20 Above</v>
      </c>
      <c r="J37" s="101">
        <f t="shared" si="1"/>
        <v>26</v>
      </c>
    </row>
    <row r="38" spans="1:12">
      <c r="A38" s="101">
        <f t="shared" si="0"/>
        <v>27</v>
      </c>
      <c r="B38" s="98" t="s">
        <v>209</v>
      </c>
      <c r="E38" s="101" t="s">
        <v>210</v>
      </c>
      <c r="G38" s="187">
        <v>0</v>
      </c>
      <c r="H38" s="183"/>
      <c r="I38" s="218"/>
      <c r="J38" s="101">
        <f t="shared" si="1"/>
        <v>27</v>
      </c>
    </row>
    <row r="39" spans="1:12">
      <c r="A39" s="101">
        <f t="shared" si="0"/>
        <v>28</v>
      </c>
      <c r="B39" s="98" t="s">
        <v>211</v>
      </c>
      <c r="E39" s="101" t="s">
        <v>212</v>
      </c>
      <c r="G39" s="187">
        <v>15874.048050000001</v>
      </c>
      <c r="H39" s="183"/>
      <c r="I39" s="218"/>
      <c r="J39" s="101">
        <f t="shared" si="1"/>
        <v>28</v>
      </c>
    </row>
    <row r="40" spans="1:12" ht="16.5" thickBot="1">
      <c r="A40" s="101">
        <f t="shared" si="0"/>
        <v>29</v>
      </c>
      <c r="B40" s="98" t="s">
        <v>213</v>
      </c>
      <c r="G40" s="686">
        <f>SUM(G36:G39)</f>
        <v>7114954.9211800005</v>
      </c>
      <c r="H40" s="222"/>
      <c r="I40" s="217" t="str">
        <f>"Sum Lines "&amp;A36&amp;" thru "&amp;A39</f>
        <v>Sum Lines 25 thru 28</v>
      </c>
      <c r="J40" s="101">
        <f t="shared" si="1"/>
        <v>29</v>
      </c>
    </row>
    <row r="41" spans="1:12" ht="17.25" thickTop="1" thickBot="1">
      <c r="A41" s="223">
        <f t="shared" si="0"/>
        <v>30</v>
      </c>
      <c r="B41" s="105"/>
      <c r="C41" s="105"/>
      <c r="D41" s="105"/>
      <c r="E41" s="105"/>
      <c r="F41" s="105"/>
      <c r="G41" s="105"/>
      <c r="H41" s="105"/>
      <c r="I41" s="224"/>
      <c r="J41" s="223">
        <f t="shared" si="1"/>
        <v>30</v>
      </c>
    </row>
    <row r="42" spans="1:12">
      <c r="A42" s="101">
        <f>A41+1</f>
        <v>31</v>
      </c>
      <c r="I42" s="217"/>
      <c r="J42" s="101">
        <f>J41+1</f>
        <v>31</v>
      </c>
    </row>
    <row r="43" spans="1:12" ht="19.5" thickBot="1">
      <c r="A43" s="101">
        <f>A42+1</f>
        <v>32</v>
      </c>
      <c r="B43" s="199" t="s">
        <v>395</v>
      </c>
      <c r="G43" s="225">
        <v>0.106</v>
      </c>
      <c r="H43" s="183"/>
      <c r="I43" s="101" t="s">
        <v>394</v>
      </c>
      <c r="J43" s="101">
        <f>J42+1</f>
        <v>32</v>
      </c>
    </row>
    <row r="44" spans="1:12" ht="16.5" thickTop="1">
      <c r="A44" s="101">
        <f t="shared" si="0"/>
        <v>33</v>
      </c>
      <c r="C44" s="191" t="s">
        <v>3</v>
      </c>
      <c r="D44" s="191" t="s">
        <v>4</v>
      </c>
      <c r="E44" s="191" t="s">
        <v>65</v>
      </c>
      <c r="F44" s="191"/>
      <c r="G44" s="191" t="s">
        <v>73</v>
      </c>
      <c r="H44" s="191"/>
      <c r="I44" s="217"/>
      <c r="J44" s="101">
        <f t="shared" si="1"/>
        <v>33</v>
      </c>
    </row>
    <row r="45" spans="1:12">
      <c r="A45" s="101">
        <f t="shared" si="0"/>
        <v>34</v>
      </c>
      <c r="D45" s="101" t="s">
        <v>74</v>
      </c>
      <c r="E45" s="101" t="s">
        <v>92</v>
      </c>
      <c r="F45" s="101"/>
      <c r="G45" s="101" t="s">
        <v>75</v>
      </c>
      <c r="H45" s="101"/>
      <c r="I45" s="217"/>
      <c r="J45" s="101">
        <f t="shared" si="1"/>
        <v>34</v>
      </c>
    </row>
    <row r="46" spans="1:12" ht="18.75">
      <c r="A46" s="101">
        <f t="shared" si="0"/>
        <v>35</v>
      </c>
      <c r="B46" s="199" t="s">
        <v>76</v>
      </c>
      <c r="C46" s="418" t="s">
        <v>237</v>
      </c>
      <c r="D46" s="418" t="s">
        <v>77</v>
      </c>
      <c r="E46" s="418" t="s">
        <v>93</v>
      </c>
      <c r="F46" s="418"/>
      <c r="G46" s="418" t="s">
        <v>78</v>
      </c>
      <c r="H46" s="101"/>
      <c r="I46" s="217"/>
      <c r="J46" s="101">
        <f t="shared" si="1"/>
        <v>35</v>
      </c>
    </row>
    <row r="47" spans="1:12">
      <c r="A47" s="101">
        <f t="shared" si="0"/>
        <v>36</v>
      </c>
      <c r="I47" s="217"/>
      <c r="J47" s="101">
        <f t="shared" si="1"/>
        <v>36</v>
      </c>
    </row>
    <row r="48" spans="1:12">
      <c r="A48" s="101">
        <f t="shared" si="0"/>
        <v>37</v>
      </c>
      <c r="B48" s="98" t="s">
        <v>79</v>
      </c>
      <c r="C48" s="210">
        <f>G18</f>
        <v>5128385.59999</v>
      </c>
      <c r="D48" s="226">
        <f>C48/C$51</f>
        <v>0.41887143391319476</v>
      </c>
      <c r="E48" s="227">
        <f>G28</f>
        <v>4.2778982149943599E-2</v>
      </c>
      <c r="G48" s="228">
        <f>D48*E48</f>
        <v>1.7918893594493838E-2</v>
      </c>
      <c r="H48" s="228"/>
      <c r="I48" s="217" t="str">
        <f>"Col. c = Line "&amp;A28&amp;" Above"</f>
        <v>Col. c = Line 17 Above</v>
      </c>
      <c r="J48" s="101">
        <f t="shared" si="1"/>
        <v>37</v>
      </c>
    </row>
    <row r="49" spans="1:10">
      <c r="A49" s="101">
        <f t="shared" si="0"/>
        <v>38</v>
      </c>
      <c r="B49" s="98" t="s">
        <v>80</v>
      </c>
      <c r="C49" s="229">
        <f>G31</f>
        <v>0</v>
      </c>
      <c r="D49" s="226">
        <f>C49/C$51</f>
        <v>0</v>
      </c>
      <c r="E49" s="227">
        <f>G33</f>
        <v>0</v>
      </c>
      <c r="G49" s="228">
        <f>D49*E49</f>
        <v>0</v>
      </c>
      <c r="H49" s="228"/>
      <c r="I49" s="217" t="str">
        <f>"Col. c = Line "&amp;A33&amp;" Above"</f>
        <v>Col. c = Line 22 Above</v>
      </c>
      <c r="J49" s="101">
        <f t="shared" si="1"/>
        <v>38</v>
      </c>
    </row>
    <row r="50" spans="1:10">
      <c r="A50" s="101">
        <f t="shared" si="0"/>
        <v>39</v>
      </c>
      <c r="B50" s="98" t="s">
        <v>81</v>
      </c>
      <c r="C50" s="229">
        <f>G40</f>
        <v>7114954.9211800005</v>
      </c>
      <c r="D50" s="687">
        <f>C50/C$51</f>
        <v>0.58112856608680519</v>
      </c>
      <c r="E50" s="230">
        <f>G43</f>
        <v>0.106</v>
      </c>
      <c r="G50" s="444">
        <f>D50*E50</f>
        <v>6.159962800520135E-2</v>
      </c>
      <c r="H50" s="220"/>
      <c r="I50" s="217" t="str">
        <f>"Col. c = Line "&amp;A43&amp;" Above"</f>
        <v>Col. c = Line 32 Above</v>
      </c>
      <c r="J50" s="101">
        <f t="shared" si="1"/>
        <v>39</v>
      </c>
    </row>
    <row r="51" spans="1:10" ht="16.5" thickBot="1">
      <c r="A51" s="101">
        <f t="shared" si="0"/>
        <v>40</v>
      </c>
      <c r="B51" s="98" t="s">
        <v>214</v>
      </c>
      <c r="C51" s="443">
        <f>SUM(C48:C50)</f>
        <v>12243340.521170001</v>
      </c>
      <c r="D51" s="231">
        <f>SUM(D48:D50)</f>
        <v>1</v>
      </c>
      <c r="G51" s="219">
        <f>SUM(G48:G50)</f>
        <v>7.9518521599695191E-2</v>
      </c>
      <c r="H51" s="220"/>
      <c r="I51" s="217" t="str">
        <f>"Sum Lines "&amp;A48&amp;" thru "&amp;A50</f>
        <v>Sum Lines 37 thru 39</v>
      </c>
      <c r="J51" s="101">
        <f t="shared" si="1"/>
        <v>40</v>
      </c>
    </row>
    <row r="52" spans="1:10" ht="16.5" thickTop="1">
      <c r="A52" s="101">
        <f t="shared" si="0"/>
        <v>41</v>
      </c>
      <c r="I52" s="217"/>
      <c r="J52" s="101">
        <f t="shared" si="1"/>
        <v>41</v>
      </c>
    </row>
    <row r="53" spans="1:10" ht="16.5" thickBot="1">
      <c r="A53" s="101">
        <f t="shared" si="0"/>
        <v>42</v>
      </c>
      <c r="B53" s="199" t="s">
        <v>94</v>
      </c>
      <c r="G53" s="219">
        <f>G49+G50</f>
        <v>6.159962800520135E-2</v>
      </c>
      <c r="H53" s="220"/>
      <c r="I53" s="217" t="str">
        <f>"Line "&amp;A49&amp;" + Line "&amp;A50&amp;"; Col. d"</f>
        <v>Line 38 + Line 39; Col. d</v>
      </c>
      <c r="J53" s="101">
        <f t="shared" si="1"/>
        <v>42</v>
      </c>
    </row>
    <row r="54" spans="1:10" ht="17.25" thickTop="1" thickBot="1">
      <c r="A54" s="223">
        <f t="shared" si="0"/>
        <v>43</v>
      </c>
      <c r="B54" s="441"/>
      <c r="C54" s="105"/>
      <c r="D54" s="105"/>
      <c r="E54" s="105"/>
      <c r="F54" s="105"/>
      <c r="G54" s="442"/>
      <c r="H54" s="442"/>
      <c r="I54" s="224"/>
      <c r="J54" s="223">
        <f t="shared" si="1"/>
        <v>43</v>
      </c>
    </row>
    <row r="55" spans="1:10">
      <c r="A55" s="101">
        <f t="shared" si="0"/>
        <v>44</v>
      </c>
      <c r="B55" s="199"/>
      <c r="G55" s="230"/>
      <c r="H55" s="230"/>
      <c r="I55" s="217"/>
      <c r="J55" s="101">
        <f t="shared" si="1"/>
        <v>44</v>
      </c>
    </row>
    <row r="56" spans="1:10" ht="16.5" thickBot="1">
      <c r="A56" s="101">
        <f t="shared" si="0"/>
        <v>45</v>
      </c>
      <c r="B56" s="199" t="s">
        <v>374</v>
      </c>
      <c r="G56" s="455">
        <v>0</v>
      </c>
      <c r="H56" s="230"/>
      <c r="I56" s="217" t="s">
        <v>23</v>
      </c>
      <c r="J56" s="101">
        <f t="shared" si="1"/>
        <v>45</v>
      </c>
    </row>
    <row r="57" spans="1:10" ht="16.5" thickTop="1">
      <c r="A57" s="101">
        <f t="shared" si="0"/>
        <v>46</v>
      </c>
      <c r="C57" s="191" t="s">
        <v>3</v>
      </c>
      <c r="D57" s="191" t="s">
        <v>4</v>
      </c>
      <c r="E57" s="191" t="s">
        <v>65</v>
      </c>
      <c r="F57" s="191"/>
      <c r="G57" s="191" t="s">
        <v>73</v>
      </c>
      <c r="H57" s="230"/>
      <c r="I57" s="217"/>
      <c r="J57" s="101">
        <f t="shared" si="1"/>
        <v>46</v>
      </c>
    </row>
    <row r="58" spans="1:10">
      <c r="A58" s="101">
        <f t="shared" si="0"/>
        <v>47</v>
      </c>
      <c r="D58" s="101" t="s">
        <v>74</v>
      </c>
      <c r="E58" s="101" t="s">
        <v>92</v>
      </c>
      <c r="F58" s="101"/>
      <c r="G58" s="101" t="s">
        <v>75</v>
      </c>
      <c r="H58" s="230"/>
      <c r="I58" s="217"/>
      <c r="J58" s="101">
        <f t="shared" si="1"/>
        <v>47</v>
      </c>
    </row>
    <row r="59" spans="1:10" ht="18.75">
      <c r="A59" s="101">
        <f t="shared" si="0"/>
        <v>48</v>
      </c>
      <c r="B59" s="199" t="s">
        <v>365</v>
      </c>
      <c r="C59" s="418" t="s">
        <v>237</v>
      </c>
      <c r="D59" s="418" t="s">
        <v>77</v>
      </c>
      <c r="E59" s="418" t="s">
        <v>93</v>
      </c>
      <c r="F59" s="418"/>
      <c r="G59" s="418" t="s">
        <v>78</v>
      </c>
      <c r="H59" s="230"/>
      <c r="I59" s="217"/>
      <c r="J59" s="101">
        <f t="shared" si="1"/>
        <v>48</v>
      </c>
    </row>
    <row r="60" spans="1:10">
      <c r="A60" s="101">
        <f t="shared" si="0"/>
        <v>49</v>
      </c>
      <c r="G60" s="230"/>
      <c r="H60" s="230"/>
      <c r="I60" s="217"/>
      <c r="J60" s="101">
        <f t="shared" si="1"/>
        <v>49</v>
      </c>
    </row>
    <row r="61" spans="1:10">
      <c r="A61" s="101">
        <f t="shared" si="0"/>
        <v>50</v>
      </c>
      <c r="B61" s="98" t="s">
        <v>79</v>
      </c>
      <c r="C61" s="456">
        <v>0</v>
      </c>
      <c r="D61" s="458">
        <v>0</v>
      </c>
      <c r="E61" s="460">
        <v>0</v>
      </c>
      <c r="G61" s="228">
        <f>D61*E61</f>
        <v>0</v>
      </c>
      <c r="H61" s="230"/>
      <c r="I61" s="217" t="s">
        <v>23</v>
      </c>
      <c r="J61" s="101">
        <f t="shared" si="1"/>
        <v>50</v>
      </c>
    </row>
    <row r="62" spans="1:10">
      <c r="A62" s="101">
        <f t="shared" si="0"/>
        <v>51</v>
      </c>
      <c r="B62" s="98" t="s">
        <v>80</v>
      </c>
      <c r="C62" s="457">
        <v>0</v>
      </c>
      <c r="D62" s="458">
        <v>0</v>
      </c>
      <c r="E62" s="460">
        <v>0</v>
      </c>
      <c r="G62" s="228">
        <f>D62*E62</f>
        <v>0</v>
      </c>
      <c r="H62" s="230"/>
      <c r="I62" s="217" t="s">
        <v>23</v>
      </c>
      <c r="J62" s="101">
        <f t="shared" si="1"/>
        <v>51</v>
      </c>
    </row>
    <row r="63" spans="1:10">
      <c r="A63" s="101">
        <f t="shared" si="0"/>
        <v>52</v>
      </c>
      <c r="B63" s="98" t="s">
        <v>81</v>
      </c>
      <c r="C63" s="457">
        <v>0</v>
      </c>
      <c r="D63" s="459">
        <v>0</v>
      </c>
      <c r="E63" s="461">
        <v>0</v>
      </c>
      <c r="G63" s="444">
        <f>D63*E63</f>
        <v>0</v>
      </c>
      <c r="H63" s="230"/>
      <c r="I63" s="217" t="s">
        <v>23</v>
      </c>
      <c r="J63" s="101">
        <f t="shared" si="1"/>
        <v>52</v>
      </c>
    </row>
    <row r="64" spans="1:10" ht="16.5" thickBot="1">
      <c r="A64" s="101">
        <f t="shared" si="0"/>
        <v>53</v>
      </c>
      <c r="B64" s="98" t="s">
        <v>214</v>
      </c>
      <c r="C64" s="443">
        <f>SUM(C61:C63)</f>
        <v>0</v>
      </c>
      <c r="D64" s="219">
        <f>SUM(D61:D63)</f>
        <v>0</v>
      </c>
      <c r="G64" s="219">
        <f>SUM(G61:G63)</f>
        <v>0</v>
      </c>
      <c r="H64" s="230"/>
      <c r="I64" s="217" t="str">
        <f>"Sum Lines "&amp;A61&amp;" thru "&amp;A63</f>
        <v>Sum Lines 50 thru 52</v>
      </c>
      <c r="J64" s="101">
        <f t="shared" si="1"/>
        <v>53</v>
      </c>
    </row>
    <row r="65" spans="1:10" ht="16.5" thickTop="1">
      <c r="A65" s="101">
        <f t="shared" si="0"/>
        <v>54</v>
      </c>
      <c r="H65" s="230"/>
      <c r="I65" s="217"/>
      <c r="J65" s="101">
        <f t="shared" si="1"/>
        <v>54</v>
      </c>
    </row>
    <row r="66" spans="1:10" ht="16.5" thickBot="1">
      <c r="A66" s="101">
        <f t="shared" si="0"/>
        <v>55</v>
      </c>
      <c r="B66" s="199" t="s">
        <v>366</v>
      </c>
      <c r="G66" s="219">
        <f>G62+G63</f>
        <v>0</v>
      </c>
      <c r="H66" s="230"/>
      <c r="I66" s="217" t="str">
        <f>"Line "&amp;A62&amp;" + Line "&amp;A63&amp;"; Col. d"</f>
        <v>Line 51 + Line 52; Col. d</v>
      </c>
      <c r="J66" s="101">
        <f t="shared" si="1"/>
        <v>55</v>
      </c>
    </row>
    <row r="67" spans="1:10" ht="16.5" thickTop="1">
      <c r="B67" s="199"/>
      <c r="G67" s="230"/>
      <c r="H67" s="230"/>
      <c r="I67" s="217"/>
      <c r="J67" s="101"/>
    </row>
    <row r="68" spans="1:10">
      <c r="B68" s="199"/>
      <c r="G68" s="230"/>
      <c r="H68" s="230"/>
      <c r="I68" s="217"/>
      <c r="J68" s="101"/>
    </row>
    <row r="69" spans="1:10" ht="18.75">
      <c r="A69" s="214">
        <v>1</v>
      </c>
      <c r="B69" s="1" t="s">
        <v>95</v>
      </c>
      <c r="G69" s="186"/>
      <c r="H69" s="186"/>
      <c r="J69" s="101" t="s">
        <v>7</v>
      </c>
    </row>
    <row r="70" spans="1:10" ht="18.75">
      <c r="A70" s="490"/>
      <c r="B70" s="397"/>
      <c r="G70" s="186"/>
      <c r="H70" s="186"/>
      <c r="J70" s="101"/>
    </row>
    <row r="71" spans="1:10" ht="18.75">
      <c r="A71" s="214"/>
      <c r="B71" s="1"/>
      <c r="D71" s="101"/>
      <c r="G71" s="186"/>
      <c r="H71" s="186"/>
      <c r="I71" s="688"/>
      <c r="J71" s="101"/>
    </row>
    <row r="72" spans="1:10">
      <c r="B72" s="784" t="s">
        <v>0</v>
      </c>
      <c r="C72" s="784"/>
      <c r="D72" s="784"/>
      <c r="E72" s="784"/>
      <c r="F72" s="784"/>
      <c r="G72" s="784"/>
      <c r="H72" s="784"/>
      <c r="I72" s="784"/>
      <c r="J72" s="101"/>
    </row>
    <row r="73" spans="1:10">
      <c r="B73" s="784" t="s">
        <v>66</v>
      </c>
      <c r="C73" s="784"/>
      <c r="D73" s="784"/>
      <c r="E73" s="784"/>
      <c r="F73" s="784"/>
      <c r="G73" s="784"/>
      <c r="H73" s="784"/>
      <c r="I73" s="784"/>
      <c r="J73" s="101"/>
    </row>
    <row r="74" spans="1:10">
      <c r="B74" s="784" t="s">
        <v>67</v>
      </c>
      <c r="C74" s="784"/>
      <c r="D74" s="784"/>
      <c r="E74" s="784"/>
      <c r="F74" s="784"/>
      <c r="G74" s="784"/>
      <c r="H74" s="784"/>
      <c r="I74" s="784"/>
      <c r="J74" s="101"/>
    </row>
    <row r="75" spans="1:10">
      <c r="B75" s="787" t="str">
        <f>B6</f>
        <v>Base Period &amp; True-Up Period 12 - Months Ending December 31, 2019</v>
      </c>
      <c r="C75" s="787"/>
      <c r="D75" s="787"/>
      <c r="E75" s="787"/>
      <c r="F75" s="787"/>
      <c r="G75" s="787"/>
      <c r="H75" s="787"/>
      <c r="I75" s="787"/>
      <c r="J75" s="101"/>
    </row>
    <row r="76" spans="1:10">
      <c r="B76" s="786" t="s">
        <v>1</v>
      </c>
      <c r="C76" s="788"/>
      <c r="D76" s="788"/>
      <c r="E76" s="788"/>
      <c r="F76" s="788"/>
      <c r="G76" s="788"/>
      <c r="H76" s="788"/>
      <c r="I76" s="788"/>
      <c r="J76" s="101"/>
    </row>
    <row r="77" spans="1:10">
      <c r="B77" s="101"/>
      <c r="C77" s="101"/>
      <c r="D77" s="101"/>
      <c r="E77" s="101"/>
      <c r="F77" s="101"/>
      <c r="G77" s="101"/>
      <c r="H77" s="101"/>
      <c r="I77" s="217"/>
      <c r="J77" s="101"/>
    </row>
    <row r="78" spans="1:10">
      <c r="A78" s="101" t="s">
        <v>2</v>
      </c>
      <c r="B78" s="183"/>
      <c r="C78" s="183"/>
      <c r="D78" s="183"/>
      <c r="E78" s="183"/>
      <c r="F78" s="183"/>
      <c r="G78" s="183"/>
      <c r="H78" s="183"/>
      <c r="I78" s="217"/>
      <c r="J78" s="101" t="s">
        <v>2</v>
      </c>
    </row>
    <row r="79" spans="1:10">
      <c r="A79" s="101" t="s">
        <v>14</v>
      </c>
      <c r="B79" s="101"/>
      <c r="C79" s="101"/>
      <c r="D79" s="101"/>
      <c r="E79" s="101"/>
      <c r="F79" s="101"/>
      <c r="G79" s="418" t="s">
        <v>21</v>
      </c>
      <c r="H79" s="183"/>
      <c r="I79" s="445" t="s">
        <v>6</v>
      </c>
      <c r="J79" s="101" t="s">
        <v>14</v>
      </c>
    </row>
    <row r="80" spans="1:10">
      <c r="G80" s="101"/>
      <c r="H80" s="101"/>
      <c r="I80" s="217"/>
      <c r="J80" s="101"/>
    </row>
    <row r="81" spans="1:13" ht="18.75">
      <c r="A81" s="101">
        <v>1</v>
      </c>
      <c r="B81" s="199" t="s">
        <v>82</v>
      </c>
      <c r="E81" s="183"/>
      <c r="F81" s="183"/>
      <c r="G81" s="185"/>
      <c r="H81" s="185"/>
      <c r="I81" s="217"/>
      <c r="J81" s="101">
        <v>1</v>
      </c>
    </row>
    <row r="82" spans="1:13">
      <c r="A82" s="101">
        <f>A81+1</f>
        <v>2</v>
      </c>
      <c r="B82" s="232"/>
      <c r="E82" s="183"/>
      <c r="F82" s="183"/>
      <c r="G82" s="185"/>
      <c r="H82" s="185"/>
      <c r="I82" s="217"/>
      <c r="J82" s="101">
        <f>J81+1</f>
        <v>2</v>
      </c>
    </row>
    <row r="83" spans="1:13">
      <c r="A83" s="101">
        <f>A82+1</f>
        <v>3</v>
      </c>
      <c r="B83" s="199" t="s">
        <v>83</v>
      </c>
      <c r="E83" s="183"/>
      <c r="F83" s="183"/>
      <c r="G83" s="185"/>
      <c r="H83" s="185"/>
      <c r="I83" s="217"/>
      <c r="J83" s="101">
        <f>J82+1</f>
        <v>3</v>
      </c>
    </row>
    <row r="84" spans="1:13">
      <c r="A84" s="101">
        <f>A83+1</f>
        <v>4</v>
      </c>
      <c r="B84" s="183"/>
      <c r="C84" s="183"/>
      <c r="D84" s="183"/>
      <c r="E84" s="183"/>
      <c r="F84" s="183"/>
      <c r="G84" s="185"/>
      <c r="H84" s="185"/>
      <c r="I84" s="217"/>
      <c r="J84" s="101">
        <f>J83+1</f>
        <v>4</v>
      </c>
    </row>
    <row r="85" spans="1:13">
      <c r="A85" s="101">
        <f t="shared" ref="A85:A111" si="2">A84+1</f>
        <v>5</v>
      </c>
      <c r="B85" s="194" t="s">
        <v>84</v>
      </c>
      <c r="C85" s="183"/>
      <c r="D85" s="183"/>
      <c r="E85" s="183"/>
      <c r="F85" s="183"/>
      <c r="G85" s="185"/>
      <c r="H85" s="185"/>
      <c r="I85" s="233"/>
      <c r="J85" s="101">
        <f t="shared" ref="J85:J111" si="3">J84+1</f>
        <v>5</v>
      </c>
    </row>
    <row r="86" spans="1:13">
      <c r="A86" s="101">
        <f t="shared" si="2"/>
        <v>6</v>
      </c>
      <c r="B86" s="98" t="s">
        <v>85</v>
      </c>
      <c r="D86" s="183"/>
      <c r="E86" s="183"/>
      <c r="F86" s="183"/>
      <c r="G86" s="234">
        <f>G53</f>
        <v>6.159962800520135E-2</v>
      </c>
      <c r="H86" s="183"/>
      <c r="I86" s="217" t="str">
        <f>"AV1; Line "&amp;A53</f>
        <v>AV1; Line 42</v>
      </c>
      <c r="J86" s="101">
        <f t="shared" si="3"/>
        <v>6</v>
      </c>
      <c r="L86" s="101"/>
    </row>
    <row r="87" spans="1:13">
      <c r="A87" s="101">
        <f t="shared" si="2"/>
        <v>7</v>
      </c>
      <c r="B87" s="98" t="s">
        <v>215</v>
      </c>
      <c r="D87" s="183"/>
      <c r="E87" s="183"/>
      <c r="F87" s="183"/>
      <c r="G87" s="235">
        <v>264.76299999999998</v>
      </c>
      <c r="H87" s="183"/>
      <c r="I87" s="217" t="s">
        <v>559</v>
      </c>
      <c r="J87" s="101">
        <f t="shared" si="3"/>
        <v>7</v>
      </c>
      <c r="L87" s="101"/>
    </row>
    <row r="88" spans="1:13" ht="18.75">
      <c r="A88" s="101">
        <f t="shared" si="2"/>
        <v>8</v>
      </c>
      <c r="B88" s="98" t="s">
        <v>222</v>
      </c>
      <c r="D88" s="183"/>
      <c r="E88" s="183"/>
      <c r="F88" s="183"/>
      <c r="G88" s="236">
        <v>7491.7360400000025</v>
      </c>
      <c r="H88" s="183"/>
      <c r="I88" s="216" t="s">
        <v>560</v>
      </c>
      <c r="J88" s="101">
        <f t="shared" si="3"/>
        <v>8</v>
      </c>
      <c r="L88" s="183"/>
    </row>
    <row r="89" spans="1:13">
      <c r="A89" s="101">
        <f t="shared" si="2"/>
        <v>9</v>
      </c>
      <c r="B89" s="98" t="s">
        <v>86</v>
      </c>
      <c r="D89" s="183"/>
      <c r="E89" s="237"/>
      <c r="F89" s="183"/>
      <c r="G89" s="672">
        <v>4272164.416601371</v>
      </c>
      <c r="H89" s="538" t="s">
        <v>417</v>
      </c>
      <c r="I89" s="216" t="s">
        <v>561</v>
      </c>
      <c r="J89" s="101">
        <f t="shared" si="3"/>
        <v>9</v>
      </c>
    </row>
    <row r="90" spans="1:13">
      <c r="A90" s="101">
        <f t="shared" si="2"/>
        <v>10</v>
      </c>
      <c r="B90" s="98" t="s">
        <v>216</v>
      </c>
      <c r="D90" s="238"/>
      <c r="E90" s="183"/>
      <c r="F90" s="183"/>
      <c r="G90" s="689">
        <v>0.21</v>
      </c>
      <c r="H90" s="183"/>
      <c r="I90" s="217" t="s">
        <v>87</v>
      </c>
      <c r="J90" s="101">
        <f t="shared" si="3"/>
        <v>10</v>
      </c>
      <c r="M90" s="239"/>
    </row>
    <row r="91" spans="1:13">
      <c r="A91" s="101">
        <f t="shared" si="2"/>
        <v>11</v>
      </c>
      <c r="G91" s="101"/>
      <c r="H91" s="101"/>
      <c r="J91" s="101">
        <f t="shared" si="3"/>
        <v>11</v>
      </c>
    </row>
    <row r="92" spans="1:13">
      <c r="A92" s="101">
        <f t="shared" si="2"/>
        <v>12</v>
      </c>
      <c r="B92" s="98" t="s">
        <v>217</v>
      </c>
      <c r="D92" s="183"/>
      <c r="E92" s="183"/>
      <c r="F92" s="183"/>
      <c r="G92" s="240">
        <f>(((G86)+(G88/G89))*G90-(G87/G89))/(1-G90)</f>
        <v>1.6762287692013475E-2</v>
      </c>
      <c r="H92" s="240"/>
      <c r="I92" s="217" t="s">
        <v>96</v>
      </c>
      <c r="J92" s="101">
        <f t="shared" si="3"/>
        <v>12</v>
      </c>
      <c r="M92" s="241"/>
    </row>
    <row r="93" spans="1:13">
      <c r="A93" s="101">
        <f t="shared" si="2"/>
        <v>13</v>
      </c>
      <c r="B93" s="242" t="s">
        <v>218</v>
      </c>
      <c r="G93" s="101"/>
      <c r="H93" s="101"/>
      <c r="J93" s="101">
        <f t="shared" si="3"/>
        <v>13</v>
      </c>
    </row>
    <row r="94" spans="1:13">
      <c r="A94" s="101">
        <f t="shared" si="2"/>
        <v>14</v>
      </c>
      <c r="G94" s="101"/>
      <c r="H94" s="101"/>
      <c r="J94" s="101">
        <f t="shared" si="3"/>
        <v>14</v>
      </c>
    </row>
    <row r="95" spans="1:13">
      <c r="A95" s="101">
        <f t="shared" si="2"/>
        <v>15</v>
      </c>
      <c r="B95" s="199" t="s">
        <v>88</v>
      </c>
      <c r="C95" s="183"/>
      <c r="D95" s="183"/>
      <c r="E95" s="183"/>
      <c r="F95" s="183"/>
      <c r="G95" s="243"/>
      <c r="H95" s="243"/>
      <c r="I95" s="244"/>
      <c r="J95" s="101">
        <f t="shared" si="3"/>
        <v>15</v>
      </c>
      <c r="L95" s="245"/>
    </row>
    <row r="96" spans="1:13">
      <c r="A96" s="101">
        <f t="shared" si="2"/>
        <v>16</v>
      </c>
      <c r="B96" s="203"/>
      <c r="C96" s="183"/>
      <c r="D96" s="183"/>
      <c r="E96" s="183"/>
      <c r="F96" s="183"/>
      <c r="G96" s="243"/>
      <c r="H96" s="243"/>
      <c r="I96" s="246"/>
      <c r="J96" s="101">
        <f t="shared" si="3"/>
        <v>16</v>
      </c>
      <c r="L96" s="183"/>
    </row>
    <row r="97" spans="1:13">
      <c r="A97" s="101">
        <f t="shared" si="2"/>
        <v>17</v>
      </c>
      <c r="B97" s="194" t="s">
        <v>84</v>
      </c>
      <c r="C97" s="183"/>
      <c r="D97" s="183"/>
      <c r="E97" s="183"/>
      <c r="F97" s="183"/>
      <c r="G97" s="243"/>
      <c r="H97" s="243"/>
      <c r="I97" s="246"/>
      <c r="J97" s="101">
        <f t="shared" si="3"/>
        <v>17</v>
      </c>
      <c r="L97" s="183"/>
    </row>
    <row r="98" spans="1:13">
      <c r="A98" s="101">
        <f t="shared" si="2"/>
        <v>18</v>
      </c>
      <c r="B98" s="98" t="s">
        <v>85</v>
      </c>
      <c r="D98" s="183"/>
      <c r="E98" s="183"/>
      <c r="F98" s="183"/>
      <c r="G98" s="226">
        <f>G86</f>
        <v>6.159962800520135E-2</v>
      </c>
      <c r="H98" s="226"/>
      <c r="I98" s="217" t="str">
        <f>"Line "&amp;A86&amp;" Above"</f>
        <v>Line 6 Above</v>
      </c>
      <c r="J98" s="101">
        <f t="shared" si="3"/>
        <v>18</v>
      </c>
      <c r="L98" s="101"/>
    </row>
    <row r="99" spans="1:13">
      <c r="A99" s="101">
        <f t="shared" si="2"/>
        <v>19</v>
      </c>
      <c r="B99" s="98" t="s">
        <v>97</v>
      </c>
      <c r="D99" s="183"/>
      <c r="E99" s="183"/>
      <c r="F99" s="183"/>
      <c r="G99" s="157">
        <f>G88</f>
        <v>7491.7360400000025</v>
      </c>
      <c r="H99" s="157"/>
      <c r="I99" s="217" t="str">
        <f>"Line "&amp;A88&amp;" Above"</f>
        <v>Line 8 Above</v>
      </c>
      <c r="J99" s="101">
        <f t="shared" si="3"/>
        <v>19</v>
      </c>
      <c r="L99" s="101"/>
    </row>
    <row r="100" spans="1:13">
      <c r="A100" s="101">
        <f t="shared" si="2"/>
        <v>20</v>
      </c>
      <c r="B100" s="98" t="s">
        <v>98</v>
      </c>
      <c r="D100" s="183"/>
      <c r="E100" s="183"/>
      <c r="F100" s="183"/>
      <c r="G100" s="690">
        <f>G89</f>
        <v>4272164.416601371</v>
      </c>
      <c r="H100" s="538" t="s">
        <v>417</v>
      </c>
      <c r="I100" s="217" t="str">
        <f>"Line "&amp;A89&amp;" Above"</f>
        <v>Line 9 Above</v>
      </c>
      <c r="J100" s="101">
        <f t="shared" si="3"/>
        <v>20</v>
      </c>
      <c r="L100" s="101"/>
    </row>
    <row r="101" spans="1:13">
      <c r="A101" s="101">
        <f t="shared" si="2"/>
        <v>21</v>
      </c>
      <c r="B101" s="98" t="s">
        <v>99</v>
      </c>
      <c r="D101" s="183"/>
      <c r="E101" s="183"/>
      <c r="F101" s="183"/>
      <c r="G101" s="248">
        <f>G92</f>
        <v>1.6762287692013475E-2</v>
      </c>
      <c r="H101" s="248"/>
      <c r="I101" s="217" t="str">
        <f>"Line "&amp;A92&amp;" Above"</f>
        <v>Line 12 Above</v>
      </c>
      <c r="J101" s="101">
        <f t="shared" si="3"/>
        <v>21</v>
      </c>
    </row>
    <row r="102" spans="1:13">
      <c r="A102" s="101">
        <f t="shared" si="2"/>
        <v>22</v>
      </c>
      <c r="B102" s="98" t="s">
        <v>219</v>
      </c>
      <c r="D102" s="183"/>
      <c r="E102" s="183"/>
      <c r="F102" s="183"/>
      <c r="G102" s="691" t="s">
        <v>143</v>
      </c>
      <c r="H102" s="183"/>
      <c r="I102" s="217" t="s">
        <v>89</v>
      </c>
      <c r="J102" s="101">
        <f t="shared" si="3"/>
        <v>22</v>
      </c>
    </row>
    <row r="103" spans="1:13">
      <c r="A103" s="101">
        <f t="shared" si="2"/>
        <v>23</v>
      </c>
      <c r="B103" s="100"/>
      <c r="D103" s="183"/>
      <c r="E103" s="183"/>
      <c r="F103" s="183"/>
      <c r="G103" s="249"/>
      <c r="H103" s="249"/>
      <c r="I103" s="246"/>
      <c r="J103" s="101">
        <f t="shared" si="3"/>
        <v>23</v>
      </c>
    </row>
    <row r="104" spans="1:13">
      <c r="A104" s="101">
        <f t="shared" si="2"/>
        <v>24</v>
      </c>
      <c r="B104" s="98" t="s">
        <v>220</v>
      </c>
      <c r="C104" s="101"/>
      <c r="D104" s="101"/>
      <c r="E104" s="183"/>
      <c r="F104" s="183"/>
      <c r="G104" s="450">
        <f>((G98)+(G99/G100)+G92)*G102/(1-G102)</f>
        <v>7.7689918883676228E-3</v>
      </c>
      <c r="H104" s="250"/>
      <c r="I104" s="217" t="s">
        <v>100</v>
      </c>
      <c r="J104" s="101">
        <f t="shared" si="3"/>
        <v>24</v>
      </c>
    </row>
    <row r="105" spans="1:13">
      <c r="A105" s="101">
        <f t="shared" si="2"/>
        <v>25</v>
      </c>
      <c r="B105" s="242" t="s">
        <v>221</v>
      </c>
      <c r="G105" s="101"/>
      <c r="H105" s="101"/>
      <c r="I105" s="217"/>
      <c r="J105" s="101">
        <f t="shared" si="3"/>
        <v>25</v>
      </c>
      <c r="L105" s="101"/>
    </row>
    <row r="106" spans="1:13">
      <c r="A106" s="101">
        <f t="shared" si="2"/>
        <v>26</v>
      </c>
      <c r="G106" s="101"/>
      <c r="H106" s="101"/>
      <c r="I106" s="217"/>
      <c r="J106" s="101">
        <f t="shared" si="3"/>
        <v>26</v>
      </c>
      <c r="L106" s="101"/>
    </row>
    <row r="107" spans="1:13">
      <c r="A107" s="101">
        <f t="shared" si="2"/>
        <v>27</v>
      </c>
      <c r="B107" s="199" t="s">
        <v>90</v>
      </c>
      <c r="G107" s="240">
        <f>G104+G92</f>
        <v>2.4531279580381097E-2</v>
      </c>
      <c r="H107" s="240"/>
      <c r="I107" s="217" t="str">
        <f>"Line "&amp;A92&amp;" + Line "&amp;A104</f>
        <v>Line 12 + Line 24</v>
      </c>
      <c r="J107" s="101">
        <f t="shared" si="3"/>
        <v>27</v>
      </c>
      <c r="L107" s="101"/>
    </row>
    <row r="108" spans="1:13">
      <c r="A108" s="101">
        <f t="shared" si="2"/>
        <v>28</v>
      </c>
      <c r="G108" s="101"/>
      <c r="H108" s="101"/>
      <c r="I108" s="217"/>
      <c r="J108" s="101">
        <f t="shared" si="3"/>
        <v>28</v>
      </c>
      <c r="L108" s="101"/>
    </row>
    <row r="109" spans="1:13">
      <c r="A109" s="101">
        <f t="shared" si="2"/>
        <v>29</v>
      </c>
      <c r="B109" s="199" t="s">
        <v>101</v>
      </c>
      <c r="G109" s="692">
        <f>G51</f>
        <v>7.9518521599695191E-2</v>
      </c>
      <c r="H109" s="183"/>
      <c r="I109" s="217" t="str">
        <f>"AV1; Line "&amp;A51</f>
        <v>AV1; Line 40</v>
      </c>
      <c r="J109" s="101">
        <f t="shared" si="3"/>
        <v>29</v>
      </c>
      <c r="L109" s="101"/>
    </row>
    <row r="110" spans="1:13">
      <c r="A110" s="101">
        <f t="shared" si="2"/>
        <v>30</v>
      </c>
      <c r="G110" s="226"/>
      <c r="H110" s="226"/>
      <c r="I110" s="217"/>
      <c r="J110" s="101">
        <f t="shared" si="3"/>
        <v>30</v>
      </c>
      <c r="L110" s="101"/>
    </row>
    <row r="111" spans="1:13" ht="19.5" thickBot="1">
      <c r="A111" s="101">
        <f t="shared" si="2"/>
        <v>31</v>
      </c>
      <c r="B111" s="199" t="s">
        <v>91</v>
      </c>
      <c r="G111" s="251">
        <f>G107+G109</f>
        <v>0.10404980118007628</v>
      </c>
      <c r="H111" s="250"/>
      <c r="I111" s="217" t="str">
        <f>"Line "&amp;A107&amp;" + Line "&amp;A109</f>
        <v>Line 27 + Line 29</v>
      </c>
      <c r="J111" s="101">
        <f t="shared" si="3"/>
        <v>31</v>
      </c>
      <c r="L111" s="252"/>
      <c r="M111" s="241"/>
    </row>
    <row r="112" spans="1:13" ht="16.5" thickTop="1">
      <c r="B112" s="199"/>
      <c r="G112" s="253"/>
      <c r="H112" s="253"/>
      <c r="I112" s="217"/>
      <c r="J112" s="101"/>
      <c r="L112" s="252"/>
      <c r="M112" s="241"/>
    </row>
    <row r="113" spans="1:13">
      <c r="A113" s="538" t="s">
        <v>417</v>
      </c>
      <c r="B113" s="5" t="s">
        <v>442</v>
      </c>
      <c r="G113" s="253"/>
      <c r="H113" s="253"/>
      <c r="I113" s="217"/>
      <c r="J113" s="101"/>
      <c r="L113" s="252"/>
      <c r="M113" s="241"/>
    </row>
    <row r="114" spans="1:13" ht="18.75">
      <c r="A114" s="190">
        <v>1</v>
      </c>
      <c r="B114" s="1" t="s">
        <v>397</v>
      </c>
      <c r="G114" s="253"/>
      <c r="H114" s="253"/>
      <c r="I114" s="217"/>
      <c r="J114" s="101"/>
      <c r="L114" s="252"/>
      <c r="M114" s="241"/>
    </row>
    <row r="115" spans="1:13" ht="18.75">
      <c r="A115" s="190"/>
      <c r="B115" s="1"/>
      <c r="G115" s="253"/>
      <c r="H115" s="253"/>
      <c r="I115" s="217"/>
      <c r="J115" s="101"/>
      <c r="L115" s="252"/>
      <c r="M115" s="241"/>
    </row>
    <row r="116" spans="1:13">
      <c r="A116" s="254"/>
      <c r="B116" s="100"/>
      <c r="C116" s="255"/>
      <c r="D116" s="255"/>
      <c r="E116" s="255"/>
      <c r="F116" s="255"/>
      <c r="G116" s="256"/>
      <c r="H116" s="256"/>
      <c r="I116" s="257"/>
      <c r="J116" s="101"/>
    </row>
    <row r="117" spans="1:13">
      <c r="B117" s="784" t="s">
        <v>12</v>
      </c>
      <c r="C117" s="784"/>
      <c r="D117" s="784"/>
      <c r="E117" s="784"/>
      <c r="F117" s="784"/>
      <c r="G117" s="784"/>
      <c r="H117" s="784"/>
      <c r="I117" s="784"/>
    </row>
    <row r="118" spans="1:13">
      <c r="B118" s="784" t="s">
        <v>66</v>
      </c>
      <c r="C118" s="784"/>
      <c r="D118" s="784"/>
      <c r="E118" s="784"/>
      <c r="F118" s="784"/>
      <c r="G118" s="784"/>
      <c r="H118" s="784"/>
      <c r="I118" s="784"/>
    </row>
    <row r="119" spans="1:13">
      <c r="B119" s="784" t="s">
        <v>67</v>
      </c>
      <c r="C119" s="784"/>
      <c r="D119" s="784"/>
      <c r="E119" s="784"/>
      <c r="F119" s="784"/>
      <c r="G119" s="784"/>
      <c r="H119" s="784"/>
      <c r="I119" s="784"/>
    </row>
    <row r="120" spans="1:13">
      <c r="B120" s="787" t="str">
        <f>B6</f>
        <v>Base Period &amp; True-Up Period 12 - Months Ending December 31, 2019</v>
      </c>
      <c r="C120" s="787"/>
      <c r="D120" s="787"/>
      <c r="E120" s="787"/>
      <c r="F120" s="787"/>
      <c r="G120" s="787"/>
      <c r="H120" s="787"/>
      <c r="I120" s="787"/>
    </row>
    <row r="121" spans="1:13">
      <c r="B121" s="786" t="s">
        <v>1</v>
      </c>
      <c r="C121" s="788"/>
      <c r="D121" s="788"/>
      <c r="E121" s="788"/>
      <c r="F121" s="788"/>
      <c r="G121" s="788"/>
      <c r="H121" s="788"/>
      <c r="I121" s="788"/>
    </row>
    <row r="123" spans="1:13">
      <c r="A123" s="101" t="s">
        <v>2</v>
      </c>
      <c r="B123" s="183"/>
      <c r="C123" s="183"/>
      <c r="D123" s="183"/>
      <c r="E123" s="183"/>
      <c r="F123" s="183"/>
      <c r="G123" s="183"/>
      <c r="H123" s="183"/>
      <c r="I123" s="217"/>
      <c r="J123" s="101" t="s">
        <v>2</v>
      </c>
    </row>
    <row r="124" spans="1:13">
      <c r="A124" s="101" t="s">
        <v>14</v>
      </c>
      <c r="B124" s="101"/>
      <c r="C124" s="101"/>
      <c r="D124" s="101"/>
      <c r="E124" s="101"/>
      <c r="F124" s="101"/>
      <c r="G124" s="418" t="s">
        <v>21</v>
      </c>
      <c r="H124" s="183"/>
      <c r="I124" s="445" t="s">
        <v>6</v>
      </c>
      <c r="J124" s="101" t="s">
        <v>14</v>
      </c>
    </row>
    <row r="126" spans="1:13" ht="18.75">
      <c r="A126" s="101">
        <v>1</v>
      </c>
      <c r="B126" s="199" t="s">
        <v>379</v>
      </c>
      <c r="J126" s="101">
        <v>1</v>
      </c>
    </row>
    <row r="127" spans="1:13">
      <c r="A127" s="101">
        <f>A126+1</f>
        <v>2</v>
      </c>
      <c r="B127" s="232"/>
      <c r="J127" s="101">
        <f>J126+1</f>
        <v>2</v>
      </c>
    </row>
    <row r="128" spans="1:13">
      <c r="A128" s="101">
        <f>A127+1</f>
        <v>3</v>
      </c>
      <c r="B128" s="199" t="s">
        <v>83</v>
      </c>
      <c r="J128" s="101">
        <f>J127+1</f>
        <v>3</v>
      </c>
    </row>
    <row r="129" spans="1:10">
      <c r="A129" s="101">
        <f>A128+1</f>
        <v>4</v>
      </c>
      <c r="B129" s="183"/>
      <c r="J129" s="101">
        <f>J128+1</f>
        <v>4</v>
      </c>
    </row>
    <row r="130" spans="1:10">
      <c r="A130" s="101">
        <f t="shared" ref="A130:A156" si="4">A129+1</f>
        <v>5</v>
      </c>
      <c r="B130" s="194" t="s">
        <v>84</v>
      </c>
      <c r="J130" s="101">
        <f t="shared" ref="J130:J156" si="5">J129+1</f>
        <v>5</v>
      </c>
    </row>
    <row r="131" spans="1:10">
      <c r="A131" s="101">
        <f t="shared" si="4"/>
        <v>6</v>
      </c>
      <c r="B131" s="98" t="str">
        <f>B86</f>
        <v xml:space="preserve">     A = Sum of Preferred Stock and Return on Equity Component</v>
      </c>
      <c r="G131" s="234">
        <f>G66</f>
        <v>0</v>
      </c>
      <c r="I131" s="217" t="str">
        <f>"AV1; Line "&amp;A66</f>
        <v>AV1; Line 55</v>
      </c>
      <c r="J131" s="101">
        <f t="shared" si="5"/>
        <v>6</v>
      </c>
    </row>
    <row r="132" spans="1:10">
      <c r="A132" s="101">
        <f t="shared" si="4"/>
        <v>7</v>
      </c>
      <c r="B132" s="98" t="str">
        <f>B87</f>
        <v xml:space="preserve">     B = Transmission Total Federal Tax Adjustments</v>
      </c>
      <c r="G132" s="446">
        <v>0</v>
      </c>
      <c r="I132" s="216" t="s">
        <v>23</v>
      </c>
      <c r="J132" s="101">
        <f t="shared" si="5"/>
        <v>7</v>
      </c>
    </row>
    <row r="133" spans="1:10">
      <c r="A133" s="101">
        <f t="shared" si="4"/>
        <v>8</v>
      </c>
      <c r="B133" s="98" t="s">
        <v>378</v>
      </c>
      <c r="G133" s="462">
        <v>0</v>
      </c>
      <c r="I133" s="216" t="s">
        <v>23</v>
      </c>
      <c r="J133" s="101">
        <f t="shared" si="5"/>
        <v>8</v>
      </c>
    </row>
    <row r="134" spans="1:10">
      <c r="A134" s="101">
        <f t="shared" si="4"/>
        <v>9</v>
      </c>
      <c r="B134" s="98" t="s">
        <v>367</v>
      </c>
      <c r="G134" s="462">
        <v>0</v>
      </c>
      <c r="I134" s="216" t="s">
        <v>23</v>
      </c>
      <c r="J134" s="101">
        <f t="shared" si="5"/>
        <v>9</v>
      </c>
    </row>
    <row r="135" spans="1:10">
      <c r="A135" s="101">
        <f t="shared" si="4"/>
        <v>10</v>
      </c>
      <c r="B135" s="98" t="str">
        <f>B90</f>
        <v xml:space="preserve">     FT = Federal Income Tax Rate for Rate Effective Period</v>
      </c>
      <c r="G135" s="447">
        <f>G90</f>
        <v>0.21</v>
      </c>
      <c r="I135" s="217" t="str">
        <f>"AV2; Line "&amp;A90</f>
        <v>AV2; Line 10</v>
      </c>
      <c r="J135" s="101">
        <f t="shared" si="5"/>
        <v>10</v>
      </c>
    </row>
    <row r="136" spans="1:10">
      <c r="A136" s="101">
        <f t="shared" si="4"/>
        <v>11</v>
      </c>
      <c r="G136" s="101"/>
      <c r="J136" s="101">
        <f t="shared" si="5"/>
        <v>11</v>
      </c>
    </row>
    <row r="137" spans="1:10">
      <c r="A137" s="101">
        <f t="shared" si="4"/>
        <v>12</v>
      </c>
      <c r="B137" s="98" t="s">
        <v>368</v>
      </c>
      <c r="G137" s="240">
        <f>IFERROR((((G131)+(G133/G134))*G135-(G132/G134))/(1-G135),0)</f>
        <v>0</v>
      </c>
      <c r="I137" s="217" t="s">
        <v>372</v>
      </c>
      <c r="J137" s="101">
        <f t="shared" si="5"/>
        <v>12</v>
      </c>
    </row>
    <row r="138" spans="1:10">
      <c r="A138" s="101">
        <f t="shared" si="4"/>
        <v>13</v>
      </c>
      <c r="B138" s="242" t="s">
        <v>218</v>
      </c>
      <c r="G138" s="448"/>
      <c r="J138" s="101">
        <f t="shared" si="5"/>
        <v>13</v>
      </c>
    </row>
    <row r="139" spans="1:10">
      <c r="A139" s="101">
        <f t="shared" si="4"/>
        <v>14</v>
      </c>
      <c r="G139" s="101"/>
      <c r="J139" s="101">
        <f t="shared" si="5"/>
        <v>14</v>
      </c>
    </row>
    <row r="140" spans="1:10">
      <c r="A140" s="101">
        <f t="shared" si="4"/>
        <v>15</v>
      </c>
      <c r="B140" s="199" t="s">
        <v>88</v>
      </c>
      <c r="G140" s="243"/>
      <c r="I140" s="244"/>
      <c r="J140" s="101">
        <f t="shared" si="5"/>
        <v>15</v>
      </c>
    </row>
    <row r="141" spans="1:10">
      <c r="A141" s="101">
        <f t="shared" si="4"/>
        <v>16</v>
      </c>
      <c r="B141" s="203"/>
      <c r="G141" s="243"/>
      <c r="I141" s="233"/>
      <c r="J141" s="101">
        <f t="shared" si="5"/>
        <v>16</v>
      </c>
    </row>
    <row r="142" spans="1:10">
      <c r="A142" s="101">
        <f t="shared" si="4"/>
        <v>17</v>
      </c>
      <c r="B142" s="194" t="s">
        <v>84</v>
      </c>
      <c r="G142" s="243"/>
      <c r="I142" s="233"/>
      <c r="J142" s="101">
        <f t="shared" si="5"/>
        <v>17</v>
      </c>
    </row>
    <row r="143" spans="1:10">
      <c r="A143" s="101">
        <f t="shared" si="4"/>
        <v>18</v>
      </c>
      <c r="B143" s="98" t="str">
        <f>B98</f>
        <v xml:space="preserve">     A = Sum of Preferred Stock and Return on Equity Component</v>
      </c>
      <c r="G143" s="226">
        <f>G131</f>
        <v>0</v>
      </c>
      <c r="I143" s="217" t="str">
        <f>"Line "&amp;A131&amp;" Above"</f>
        <v>Line 6 Above</v>
      </c>
      <c r="J143" s="101">
        <f t="shared" si="5"/>
        <v>18</v>
      </c>
    </row>
    <row r="144" spans="1:10">
      <c r="A144" s="101">
        <f t="shared" si="4"/>
        <v>19</v>
      </c>
      <c r="B144" s="98" t="str">
        <f>B99</f>
        <v xml:space="preserve">     B = Equity AFUDC Component of Transmission Depreciation Expense</v>
      </c>
      <c r="G144" s="157">
        <f>G133</f>
        <v>0</v>
      </c>
      <c r="I144" s="217" t="str">
        <f>"Line "&amp;A133&amp;" Above"</f>
        <v>Line 8 Above</v>
      </c>
      <c r="J144" s="101">
        <f t="shared" si="5"/>
        <v>19</v>
      </c>
    </row>
    <row r="145" spans="1:10">
      <c r="A145" s="101">
        <f t="shared" si="4"/>
        <v>20</v>
      </c>
      <c r="B145" s="98" t="s">
        <v>369</v>
      </c>
      <c r="G145" s="157">
        <f>G134</f>
        <v>0</v>
      </c>
      <c r="I145" s="217" t="str">
        <f>"Line "&amp;A134&amp;" Above"</f>
        <v>Line 9 Above</v>
      </c>
      <c r="J145" s="101">
        <f t="shared" si="5"/>
        <v>20</v>
      </c>
    </row>
    <row r="146" spans="1:10">
      <c r="A146" s="101">
        <f t="shared" si="4"/>
        <v>21</v>
      </c>
      <c r="B146" s="98" t="str">
        <f>B101</f>
        <v xml:space="preserve">     FT = Federal Income Tax Expense</v>
      </c>
      <c r="G146" s="248">
        <f>G137</f>
        <v>0</v>
      </c>
      <c r="I146" s="217" t="str">
        <f>"Line "&amp;A137&amp;" Above"</f>
        <v>Line 12 Above</v>
      </c>
      <c r="J146" s="101">
        <f t="shared" si="5"/>
        <v>21</v>
      </c>
    </row>
    <row r="147" spans="1:10">
      <c r="A147" s="101">
        <f t="shared" si="4"/>
        <v>22</v>
      </c>
      <c r="B147" s="98" t="str">
        <f>B102</f>
        <v xml:space="preserve">     ST = State Income Tax Rate for Rate Effective Period</v>
      </c>
      <c r="G147" s="449" t="str">
        <f>G102</f>
        <v>8.84%</v>
      </c>
      <c r="I147" s="217" t="str">
        <f>"AV2; Line "&amp;A102</f>
        <v>AV2; Line 22</v>
      </c>
      <c r="J147" s="101">
        <f t="shared" si="5"/>
        <v>22</v>
      </c>
    </row>
    <row r="148" spans="1:10">
      <c r="A148" s="101">
        <f t="shared" si="4"/>
        <v>23</v>
      </c>
      <c r="B148" s="100"/>
      <c r="G148" s="249"/>
      <c r="I148" s="246"/>
      <c r="J148" s="101">
        <f t="shared" si="5"/>
        <v>23</v>
      </c>
    </row>
    <row r="149" spans="1:10">
      <c r="A149" s="101">
        <f t="shared" si="4"/>
        <v>24</v>
      </c>
      <c r="B149" s="98" t="s">
        <v>220</v>
      </c>
      <c r="G149" s="450">
        <f>IFERROR(((G143)+(G144/G145)+G137)*G147/(1-G147),0)</f>
        <v>0</v>
      </c>
      <c r="I149" s="217" t="s">
        <v>100</v>
      </c>
      <c r="J149" s="101">
        <f t="shared" si="5"/>
        <v>24</v>
      </c>
    </row>
    <row r="150" spans="1:10">
      <c r="A150" s="101">
        <f t="shared" si="4"/>
        <v>25</v>
      </c>
      <c r="B150" s="242" t="s">
        <v>221</v>
      </c>
      <c r="G150" s="101"/>
      <c r="I150" s="217"/>
      <c r="J150" s="101">
        <f t="shared" si="5"/>
        <v>25</v>
      </c>
    </row>
    <row r="151" spans="1:10">
      <c r="A151" s="101">
        <f t="shared" si="4"/>
        <v>26</v>
      </c>
      <c r="G151" s="101"/>
      <c r="I151" s="217"/>
      <c r="J151" s="101">
        <f t="shared" si="5"/>
        <v>26</v>
      </c>
    </row>
    <row r="152" spans="1:10">
      <c r="A152" s="101">
        <f t="shared" si="4"/>
        <v>27</v>
      </c>
      <c r="B152" s="199" t="s">
        <v>90</v>
      </c>
      <c r="G152" s="240">
        <f>G149+G137</f>
        <v>0</v>
      </c>
      <c r="I152" s="217" t="str">
        <f>"Line "&amp;A137&amp;" + Line "&amp;A149</f>
        <v>Line 12 + Line 24</v>
      </c>
      <c r="J152" s="101">
        <f t="shared" si="5"/>
        <v>27</v>
      </c>
    </row>
    <row r="153" spans="1:10">
      <c r="A153" s="101">
        <f t="shared" si="4"/>
        <v>28</v>
      </c>
      <c r="G153" s="101"/>
      <c r="I153" s="217"/>
      <c r="J153" s="101">
        <f t="shared" si="5"/>
        <v>28</v>
      </c>
    </row>
    <row r="154" spans="1:10">
      <c r="A154" s="101">
        <f t="shared" si="4"/>
        <v>29</v>
      </c>
      <c r="B154" s="199" t="s">
        <v>370</v>
      </c>
      <c r="G154" s="451">
        <f>G64</f>
        <v>0</v>
      </c>
      <c r="I154" s="217" t="str">
        <f>"AV1; Line "&amp;A64</f>
        <v>AV1; Line 53</v>
      </c>
      <c r="J154" s="101">
        <f t="shared" si="5"/>
        <v>29</v>
      </c>
    </row>
    <row r="155" spans="1:10">
      <c r="A155" s="101">
        <f t="shared" si="4"/>
        <v>30</v>
      </c>
      <c r="G155" s="101"/>
      <c r="I155" s="217"/>
      <c r="J155" s="101">
        <f t="shared" si="5"/>
        <v>30</v>
      </c>
    </row>
    <row r="156" spans="1:10" ht="19.5" thickBot="1">
      <c r="A156" s="101">
        <f t="shared" si="4"/>
        <v>31</v>
      </c>
      <c r="B156" s="199" t="s">
        <v>371</v>
      </c>
      <c r="G156" s="452">
        <f>G152+G154</f>
        <v>0</v>
      </c>
      <c r="I156" s="217" t="str">
        <f>"Line "&amp;A152&amp;" + Line "&amp;A154</f>
        <v>Line 27 + Line 29</v>
      </c>
      <c r="J156" s="101">
        <f t="shared" si="5"/>
        <v>31</v>
      </c>
    </row>
    <row r="157" spans="1:10" ht="16.5" thickTop="1"/>
    <row r="159" spans="1:10" ht="18.75">
      <c r="A159" s="214"/>
      <c r="B159" s="1"/>
    </row>
  </sheetData>
  <mergeCells count="15">
    <mergeCell ref="B72:I72"/>
    <mergeCell ref="B3:I3"/>
    <mergeCell ref="B4:I4"/>
    <mergeCell ref="B5:I5"/>
    <mergeCell ref="B6:I6"/>
    <mergeCell ref="B7:I7"/>
    <mergeCell ref="B119:I119"/>
    <mergeCell ref="B120:I120"/>
    <mergeCell ref="B121:I121"/>
    <mergeCell ref="B73:I73"/>
    <mergeCell ref="B74:I74"/>
    <mergeCell ref="B75:I75"/>
    <mergeCell ref="B76:I76"/>
    <mergeCell ref="B117:I117"/>
    <mergeCell ref="B118:I118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Roman,Bold"&amp;6AS FILED STMT AV WITH COST ADJ INCL. IN APPENDIX XII CYCLE 4 (ER22-133)</oddHeader>
    <oddFooter>&amp;L&amp;F&amp;CPage 11.&amp;P&amp;R&amp;A</oddFooter>
  </headerFooter>
  <rowBreaks count="2" manualBreakCount="2">
    <brk id="70" max="9" man="1"/>
    <brk id="115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FA4E-60D9-47B8-BAE2-3CE5092BB7CC}">
  <dimension ref="A1:H88"/>
  <sheetViews>
    <sheetView tabSelected="1" topLeftCell="A25" zoomScale="80" zoomScaleNormal="80" workbookViewId="0">
      <selection activeCell="J54" sqref="J54"/>
    </sheetView>
  </sheetViews>
  <sheetFormatPr defaultColWidth="8.85546875" defaultRowHeight="15.75"/>
  <cols>
    <col min="1" max="1" width="5.140625" style="78" customWidth="1"/>
    <col min="2" max="2" width="87.28515625" style="9" customWidth="1"/>
    <col min="3" max="3" width="22.42578125" style="9" customWidth="1"/>
    <col min="4" max="4" width="1.5703125" style="9" customWidth="1"/>
    <col min="5" max="5" width="47.42578125" style="9" customWidth="1"/>
    <col min="6" max="6" width="5.140625" style="78" customWidth="1"/>
    <col min="7" max="7" width="8.85546875" style="9"/>
    <col min="8" max="8" width="9.42578125" style="9" bestFit="1" customWidth="1"/>
    <col min="9" max="16384" width="8.85546875" style="9"/>
  </cols>
  <sheetData>
    <row r="1" spans="1:6">
      <c r="A1" s="84"/>
      <c r="B1" s="45"/>
      <c r="C1" s="47"/>
      <c r="D1" s="47"/>
      <c r="E1" s="585"/>
      <c r="F1" s="84"/>
    </row>
    <row r="2" spans="1:6">
      <c r="A2" s="84"/>
      <c r="B2" s="777" t="s">
        <v>12</v>
      </c>
      <c r="C2" s="798"/>
      <c r="D2" s="798"/>
      <c r="E2" s="798"/>
      <c r="F2" s="84"/>
    </row>
    <row r="3" spans="1:6">
      <c r="A3" s="84" t="s">
        <v>7</v>
      </c>
      <c r="B3" s="777" t="s">
        <v>118</v>
      </c>
      <c r="C3" s="798"/>
      <c r="D3" s="798"/>
      <c r="E3" s="798"/>
      <c r="F3" s="84" t="s">
        <v>7</v>
      </c>
    </row>
    <row r="4" spans="1:6">
      <c r="A4" s="84"/>
      <c r="B4" s="795" t="s">
        <v>445</v>
      </c>
      <c r="C4" s="796"/>
      <c r="D4" s="796"/>
      <c r="E4" s="796"/>
      <c r="F4" s="84"/>
    </row>
    <row r="5" spans="1:6">
      <c r="A5" s="84"/>
      <c r="B5" s="797" t="s">
        <v>1</v>
      </c>
      <c r="C5" s="798"/>
      <c r="D5" s="798"/>
      <c r="E5" s="798"/>
      <c r="F5" s="84"/>
    </row>
    <row r="6" spans="1:6">
      <c r="A6" s="84"/>
      <c r="B6" s="58"/>
      <c r="C6" s="45"/>
      <c r="D6" s="45"/>
      <c r="E6" s="45"/>
      <c r="F6" s="84"/>
    </row>
    <row r="7" spans="1:6">
      <c r="A7" s="84" t="s">
        <v>2</v>
      </c>
      <c r="B7" s="45"/>
      <c r="C7" s="48"/>
      <c r="D7" s="48"/>
      <c r="E7" s="55"/>
      <c r="F7" s="84" t="s">
        <v>2</v>
      </c>
    </row>
    <row r="8" spans="1:6">
      <c r="A8" s="84" t="s">
        <v>14</v>
      </c>
      <c r="B8" s="45" t="s">
        <v>7</v>
      </c>
      <c r="C8" s="693" t="s">
        <v>21</v>
      </c>
      <c r="D8" s="48"/>
      <c r="E8" s="694" t="s">
        <v>6</v>
      </c>
      <c r="F8" s="84" t="s">
        <v>14</v>
      </c>
    </row>
    <row r="9" spans="1:6">
      <c r="A9" s="84"/>
      <c r="B9" s="14" t="s">
        <v>119</v>
      </c>
      <c r="C9" s="50"/>
      <c r="D9" s="48"/>
      <c r="E9" s="55"/>
      <c r="F9" s="84"/>
    </row>
    <row r="10" spans="1:6">
      <c r="A10" s="84"/>
      <c r="B10" s="49"/>
      <c r="C10" s="50"/>
      <c r="D10" s="48"/>
      <c r="E10" s="55"/>
      <c r="F10" s="84"/>
    </row>
    <row r="11" spans="1:6">
      <c r="A11" s="84">
        <v>1</v>
      </c>
      <c r="B11" s="14" t="s">
        <v>120</v>
      </c>
      <c r="C11" s="50"/>
      <c r="D11" s="50"/>
      <c r="E11" s="55"/>
      <c r="F11" s="84">
        <f>A11</f>
        <v>1</v>
      </c>
    </row>
    <row r="12" spans="1:6">
      <c r="A12" s="84">
        <f>A11+1</f>
        <v>2</v>
      </c>
      <c r="B12" s="11" t="s">
        <v>19</v>
      </c>
      <c r="C12" s="320">
        <f>C78</f>
        <v>4947387.2084215386</v>
      </c>
      <c r="D12" s="538"/>
      <c r="E12" s="46" t="s">
        <v>449</v>
      </c>
      <c r="F12" s="84">
        <f>F11+1</f>
        <v>2</v>
      </c>
    </row>
    <row r="13" spans="1:6">
      <c r="A13" s="84">
        <f t="shared" ref="A13:A48" si="0">A12+1</f>
        <v>3</v>
      </c>
      <c r="B13" s="11" t="s">
        <v>9</v>
      </c>
      <c r="C13" s="174">
        <f>C79</f>
        <v>4191.7006084227396</v>
      </c>
      <c r="D13" s="538"/>
      <c r="E13" s="46" t="s">
        <v>563</v>
      </c>
      <c r="F13" s="84">
        <f t="shared" ref="F13:F48" si="1">F12+1</f>
        <v>3</v>
      </c>
    </row>
    <row r="14" spans="1:6">
      <c r="A14" s="84">
        <f t="shared" si="0"/>
        <v>4</v>
      </c>
      <c r="B14" s="11" t="s">
        <v>10</v>
      </c>
      <c r="C14" s="174">
        <f>C80</f>
        <v>29317.665249830297</v>
      </c>
      <c r="D14" s="538"/>
      <c r="E14" s="46" t="s">
        <v>564</v>
      </c>
      <c r="F14" s="84">
        <f t="shared" si="1"/>
        <v>4</v>
      </c>
    </row>
    <row r="15" spans="1:6">
      <c r="A15" s="84">
        <f t="shared" si="0"/>
        <v>5</v>
      </c>
      <c r="B15" s="11" t="s">
        <v>121</v>
      </c>
      <c r="C15" s="695">
        <f>C81</f>
        <v>55105.899285469299</v>
      </c>
      <c r="D15" s="538"/>
      <c r="E15" s="46" t="s">
        <v>565</v>
      </c>
      <c r="F15" s="84">
        <f t="shared" si="1"/>
        <v>5</v>
      </c>
    </row>
    <row r="16" spans="1:6">
      <c r="A16" s="84">
        <f t="shared" si="0"/>
        <v>6</v>
      </c>
      <c r="B16" s="11" t="s">
        <v>122</v>
      </c>
      <c r="C16" s="696">
        <f>SUM(C12:C15)</f>
        <v>5036002.4735652609</v>
      </c>
      <c r="D16" s="538"/>
      <c r="E16" s="46" t="s">
        <v>566</v>
      </c>
      <c r="F16" s="84">
        <f t="shared" si="1"/>
        <v>6</v>
      </c>
    </row>
    <row r="17" spans="1:8">
      <c r="A17" s="84">
        <f t="shared" si="0"/>
        <v>7</v>
      </c>
      <c r="B17" s="10"/>
      <c r="C17" s="321"/>
      <c r="D17" s="51"/>
      <c r="E17" s="55"/>
      <c r="F17" s="84">
        <f t="shared" si="1"/>
        <v>7</v>
      </c>
    </row>
    <row r="18" spans="1:8">
      <c r="A18" s="84">
        <f t="shared" si="0"/>
        <v>8</v>
      </c>
      <c r="B18" s="14" t="s">
        <v>123</v>
      </c>
      <c r="C18" s="321"/>
      <c r="D18" s="51"/>
      <c r="E18" s="55"/>
      <c r="F18" s="84">
        <f t="shared" si="1"/>
        <v>8</v>
      </c>
    </row>
    <row r="19" spans="1:8">
      <c r="A19" s="84">
        <f t="shared" si="0"/>
        <v>9</v>
      </c>
      <c r="B19" s="11" t="s">
        <v>124</v>
      </c>
      <c r="C19" s="322">
        <v>0</v>
      </c>
      <c r="D19" s="48"/>
      <c r="E19" s="46" t="s">
        <v>567</v>
      </c>
      <c r="F19" s="84">
        <f t="shared" si="1"/>
        <v>9</v>
      </c>
    </row>
    <row r="20" spans="1:8">
      <c r="A20" s="84">
        <f t="shared" si="0"/>
        <v>10</v>
      </c>
      <c r="B20" s="11" t="s">
        <v>125</v>
      </c>
      <c r="C20" s="420">
        <v>0</v>
      </c>
      <c r="D20" s="48"/>
      <c r="E20" s="46" t="s">
        <v>568</v>
      </c>
      <c r="F20" s="84">
        <f t="shared" si="1"/>
        <v>10</v>
      </c>
    </row>
    <row r="21" spans="1:8">
      <c r="A21" s="84">
        <f t="shared" si="0"/>
        <v>11</v>
      </c>
      <c r="B21" s="11" t="s">
        <v>126</v>
      </c>
      <c r="C21" s="697">
        <f>C19+C20</f>
        <v>0</v>
      </c>
      <c r="D21" s="271"/>
      <c r="E21" s="46" t="s">
        <v>569</v>
      </c>
      <c r="F21" s="84">
        <f t="shared" si="1"/>
        <v>11</v>
      </c>
    </row>
    <row r="22" spans="1:8">
      <c r="A22" s="84">
        <f t="shared" si="0"/>
        <v>12</v>
      </c>
      <c r="B22" s="11"/>
      <c r="C22" s="323"/>
      <c r="D22" s="47"/>
      <c r="E22" s="55"/>
      <c r="F22" s="84">
        <f t="shared" si="1"/>
        <v>12</v>
      </c>
    </row>
    <row r="23" spans="1:8">
      <c r="A23" s="84">
        <f t="shared" si="0"/>
        <v>13</v>
      </c>
      <c r="B23" s="14" t="s">
        <v>127</v>
      </c>
      <c r="C23" s="321"/>
      <c r="D23" s="51"/>
      <c r="E23" s="55"/>
      <c r="F23" s="84">
        <f t="shared" si="1"/>
        <v>13</v>
      </c>
    </row>
    <row r="24" spans="1:8">
      <c r="A24" s="84">
        <f t="shared" si="0"/>
        <v>14</v>
      </c>
      <c r="B24" s="10" t="s">
        <v>128</v>
      </c>
      <c r="C24" s="324">
        <v>-848762.15720450506</v>
      </c>
      <c r="D24" s="538"/>
      <c r="E24" s="46" t="s">
        <v>570</v>
      </c>
      <c r="F24" s="84">
        <f t="shared" si="1"/>
        <v>14</v>
      </c>
    </row>
    <row r="25" spans="1:8">
      <c r="A25" s="84">
        <f t="shared" si="0"/>
        <v>15</v>
      </c>
      <c r="B25" s="10" t="s">
        <v>129</v>
      </c>
      <c r="C25" s="325">
        <v>0</v>
      </c>
      <c r="D25" s="48"/>
      <c r="E25" s="46" t="s">
        <v>571</v>
      </c>
      <c r="F25" s="84">
        <f t="shared" si="1"/>
        <v>15</v>
      </c>
    </row>
    <row r="26" spans="1:8">
      <c r="A26" s="84">
        <f t="shared" si="0"/>
        <v>16</v>
      </c>
      <c r="B26" s="11" t="s">
        <v>130</v>
      </c>
      <c r="C26" s="696">
        <f>SUM(C24:C25)</f>
        <v>-848762.15720450506</v>
      </c>
      <c r="D26" s="538"/>
      <c r="E26" s="46" t="s">
        <v>572</v>
      </c>
      <c r="F26" s="84">
        <f t="shared" si="1"/>
        <v>16</v>
      </c>
    </row>
    <row r="27" spans="1:8">
      <c r="A27" s="84">
        <f t="shared" si="0"/>
        <v>17</v>
      </c>
      <c r="B27" s="45"/>
      <c r="C27" s="326"/>
      <c r="D27" s="52"/>
      <c r="E27" s="55"/>
      <c r="F27" s="84">
        <f t="shared" si="1"/>
        <v>17</v>
      </c>
    </row>
    <row r="28" spans="1:8">
      <c r="A28" s="84">
        <f t="shared" si="0"/>
        <v>18</v>
      </c>
      <c r="B28" s="14" t="s">
        <v>131</v>
      </c>
      <c r="C28" s="326"/>
      <c r="D28" s="52"/>
      <c r="E28" s="55"/>
      <c r="F28" s="84">
        <f t="shared" si="1"/>
        <v>18</v>
      </c>
    </row>
    <row r="29" spans="1:8">
      <c r="A29" s="84">
        <f t="shared" si="0"/>
        <v>19</v>
      </c>
      <c r="B29" s="11" t="s">
        <v>132</v>
      </c>
      <c r="C29" s="320">
        <f>'Pg9 Rev Stmt AL'!G15</f>
        <v>50559.74647056016</v>
      </c>
      <c r="D29" s="538"/>
      <c r="E29" s="46" t="s">
        <v>465</v>
      </c>
      <c r="F29" s="84">
        <f t="shared" si="1"/>
        <v>19</v>
      </c>
    </row>
    <row r="30" spans="1:8">
      <c r="A30" s="84">
        <f t="shared" si="0"/>
        <v>20</v>
      </c>
      <c r="B30" s="11" t="s">
        <v>133</v>
      </c>
      <c r="C30" s="174">
        <f>'Pg9 Rev Stmt AL'!G19</f>
        <v>25324.807208075756</v>
      </c>
      <c r="D30" s="538"/>
      <c r="E30" s="46" t="s">
        <v>466</v>
      </c>
      <c r="F30" s="84">
        <f t="shared" si="1"/>
        <v>20</v>
      </c>
    </row>
    <row r="31" spans="1:8">
      <c r="A31" s="84">
        <f t="shared" si="0"/>
        <v>21</v>
      </c>
      <c r="B31" s="11" t="s">
        <v>134</v>
      </c>
      <c r="C31" s="698">
        <f>'Pg9 Rev Stmt AL'!E29</f>
        <v>9063.8389724746121</v>
      </c>
      <c r="D31" s="538"/>
      <c r="E31" s="46" t="s">
        <v>634</v>
      </c>
      <c r="F31" s="84">
        <f t="shared" si="1"/>
        <v>21</v>
      </c>
    </row>
    <row r="32" spans="1:8">
      <c r="A32" s="84">
        <f t="shared" si="0"/>
        <v>22</v>
      </c>
      <c r="B32" s="11" t="s">
        <v>236</v>
      </c>
      <c r="C32" s="699">
        <f>SUM(C29:C31)</f>
        <v>84948.392651110524</v>
      </c>
      <c r="D32" s="538" t="s">
        <v>417</v>
      </c>
      <c r="E32" s="46" t="s">
        <v>573</v>
      </c>
      <c r="F32" s="84">
        <f t="shared" si="1"/>
        <v>22</v>
      </c>
      <c r="H32" s="770"/>
    </row>
    <row r="33" spans="1:8">
      <c r="A33" s="84">
        <f t="shared" si="0"/>
        <v>23</v>
      </c>
      <c r="B33" s="41"/>
      <c r="C33" s="327"/>
      <c r="D33" s="53"/>
      <c r="E33" s="55"/>
      <c r="F33" s="84">
        <f t="shared" si="1"/>
        <v>23</v>
      </c>
    </row>
    <row r="34" spans="1:8">
      <c r="A34" s="84">
        <f t="shared" si="0"/>
        <v>24</v>
      </c>
      <c r="B34" s="11" t="s">
        <v>135</v>
      </c>
      <c r="C34" s="700">
        <v>0</v>
      </c>
      <c r="D34" s="48"/>
      <c r="E34" s="46" t="s">
        <v>574</v>
      </c>
      <c r="F34" s="84">
        <f t="shared" si="1"/>
        <v>24</v>
      </c>
    </row>
    <row r="35" spans="1:8">
      <c r="A35" s="84">
        <f t="shared" si="0"/>
        <v>25</v>
      </c>
      <c r="B35" s="11"/>
      <c r="C35" s="327"/>
      <c r="D35" s="53"/>
      <c r="E35" s="55"/>
      <c r="F35" s="84">
        <f t="shared" si="1"/>
        <v>25</v>
      </c>
    </row>
    <row r="36" spans="1:8" ht="16.5" thickBot="1">
      <c r="A36" s="84">
        <f t="shared" si="0"/>
        <v>26</v>
      </c>
      <c r="B36" s="11" t="s">
        <v>235</v>
      </c>
      <c r="C36" s="701">
        <f>C16+C21+C26+C32+C34</f>
        <v>4272188.7090118667</v>
      </c>
      <c r="D36" s="538" t="s">
        <v>417</v>
      </c>
      <c r="E36" s="46" t="s">
        <v>575</v>
      </c>
      <c r="F36" s="84">
        <f t="shared" si="1"/>
        <v>26</v>
      </c>
      <c r="H36" s="770"/>
    </row>
    <row r="37" spans="1:8" ht="16.5" thickTop="1">
      <c r="A37" s="84">
        <f t="shared" si="0"/>
        <v>27</v>
      </c>
      <c r="B37" s="41"/>
      <c r="C37" s="328"/>
      <c r="D37" s="54"/>
      <c r="E37" s="55"/>
      <c r="F37" s="84">
        <f t="shared" si="1"/>
        <v>27</v>
      </c>
    </row>
    <row r="38" spans="1:8">
      <c r="A38" s="84">
        <f t="shared" si="0"/>
        <v>28</v>
      </c>
      <c r="B38" s="14" t="s">
        <v>375</v>
      </c>
      <c r="C38" s="328"/>
      <c r="D38" s="54"/>
      <c r="E38" s="55"/>
      <c r="F38" s="84">
        <f t="shared" si="1"/>
        <v>28</v>
      </c>
    </row>
    <row r="39" spans="1:8">
      <c r="A39" s="84">
        <f t="shared" si="0"/>
        <v>29</v>
      </c>
      <c r="B39" s="11" t="s">
        <v>359</v>
      </c>
      <c r="C39" s="439">
        <v>0</v>
      </c>
      <c r="D39" s="438"/>
      <c r="E39" s="46" t="s">
        <v>23</v>
      </c>
      <c r="F39" s="84">
        <f t="shared" si="1"/>
        <v>29</v>
      </c>
    </row>
    <row r="40" spans="1:8">
      <c r="A40" s="84">
        <f t="shared" si="0"/>
        <v>30</v>
      </c>
      <c r="B40" s="11" t="s">
        <v>360</v>
      </c>
      <c r="C40" s="463">
        <v>0</v>
      </c>
      <c r="D40" s="48"/>
      <c r="E40" s="46" t="s">
        <v>23</v>
      </c>
      <c r="F40" s="84">
        <f t="shared" si="1"/>
        <v>30</v>
      </c>
    </row>
    <row r="41" spans="1:8">
      <c r="A41" s="84">
        <f t="shared" si="0"/>
        <v>31</v>
      </c>
      <c r="B41" s="10" t="s">
        <v>361</v>
      </c>
      <c r="C41" s="699">
        <f>C39+C40</f>
        <v>0</v>
      </c>
      <c r="D41" s="54"/>
      <c r="E41" s="46" t="s">
        <v>576</v>
      </c>
      <c r="F41" s="84">
        <f t="shared" si="1"/>
        <v>31</v>
      </c>
    </row>
    <row r="42" spans="1:8">
      <c r="A42" s="84">
        <f t="shared" si="0"/>
        <v>32</v>
      </c>
      <c r="B42" s="41"/>
      <c r="C42" s="328"/>
      <c r="D42" s="54"/>
      <c r="E42" s="55"/>
      <c r="F42" s="84">
        <f t="shared" si="1"/>
        <v>32</v>
      </c>
    </row>
    <row r="43" spans="1:8">
      <c r="A43" s="84">
        <f t="shared" si="0"/>
        <v>33</v>
      </c>
      <c r="B43" s="14" t="s">
        <v>376</v>
      </c>
      <c r="C43" s="328"/>
      <c r="D43" s="54"/>
      <c r="E43" s="55"/>
      <c r="F43" s="84">
        <f t="shared" si="1"/>
        <v>33</v>
      </c>
    </row>
    <row r="44" spans="1:8">
      <c r="A44" s="84">
        <f t="shared" si="0"/>
        <v>34</v>
      </c>
      <c r="B44" s="11" t="s">
        <v>362</v>
      </c>
      <c r="C44" s="439">
        <v>0</v>
      </c>
      <c r="D44" s="48"/>
      <c r="E44" s="46" t="s">
        <v>23</v>
      </c>
      <c r="F44" s="84">
        <f t="shared" si="1"/>
        <v>34</v>
      </c>
    </row>
    <row r="45" spans="1:8">
      <c r="A45" s="84">
        <f t="shared" si="0"/>
        <v>35</v>
      </c>
      <c r="B45" s="10" t="s">
        <v>363</v>
      </c>
      <c r="C45" s="464">
        <v>0</v>
      </c>
      <c r="D45" s="48"/>
      <c r="E45" s="46" t="s">
        <v>23</v>
      </c>
      <c r="F45" s="84">
        <f t="shared" si="1"/>
        <v>35</v>
      </c>
    </row>
    <row r="46" spans="1:8">
      <c r="A46" s="84">
        <f t="shared" si="0"/>
        <v>36</v>
      </c>
      <c r="B46" s="10" t="s">
        <v>364</v>
      </c>
      <c r="C46" s="699">
        <f>C44+C45</f>
        <v>0</v>
      </c>
      <c r="D46" s="54"/>
      <c r="E46" s="46" t="s">
        <v>577</v>
      </c>
      <c r="F46" s="84">
        <f t="shared" si="1"/>
        <v>36</v>
      </c>
    </row>
    <row r="47" spans="1:8">
      <c r="A47" s="84">
        <f t="shared" si="0"/>
        <v>37</v>
      </c>
      <c r="B47" s="41"/>
      <c r="C47" s="328"/>
      <c r="D47" s="54"/>
      <c r="E47" s="55"/>
      <c r="F47" s="84">
        <f t="shared" si="1"/>
        <v>37</v>
      </c>
    </row>
    <row r="48" spans="1:8" ht="16.5" thickBot="1">
      <c r="A48" s="84">
        <f t="shared" si="0"/>
        <v>38</v>
      </c>
      <c r="B48" s="14" t="s">
        <v>377</v>
      </c>
      <c r="C48" s="440">
        <v>0</v>
      </c>
      <c r="D48" s="48"/>
      <c r="E48" s="46" t="s">
        <v>23</v>
      </c>
      <c r="F48" s="84">
        <f t="shared" si="1"/>
        <v>38</v>
      </c>
    </row>
    <row r="49" spans="1:8" ht="16.5" thickTop="1">
      <c r="A49" s="84"/>
      <c r="B49" s="41"/>
      <c r="C49" s="328"/>
      <c r="D49" s="54"/>
      <c r="E49" s="55"/>
      <c r="F49" s="84"/>
    </row>
    <row r="50" spans="1:8">
      <c r="A50" s="84"/>
      <c r="B50" s="41"/>
      <c r="C50" s="328"/>
      <c r="D50" s="54"/>
      <c r="E50" s="55"/>
      <c r="F50" s="84"/>
    </row>
    <row r="51" spans="1:8">
      <c r="A51" s="538" t="s">
        <v>417</v>
      </c>
      <c r="B51" s="5" t="str">
        <f>'Pg2 App XII C3 Comparison'!B57</f>
        <v xml:space="preserve">Items in bold have changed due to A&amp;G adj. on WMPMA exclusion reversal compared to the original SX-PQ Appendix XII Cycle 3 filing per ER21-320 and cost adjustments </v>
      </c>
      <c r="C51" s="45"/>
      <c r="D51" s="45"/>
      <c r="E51" s="45"/>
      <c r="F51" s="84"/>
    </row>
    <row r="52" spans="1:8">
      <c r="B52" s="5" t="str">
        <f>'Pg2 App XII C3 Comparison'!B58</f>
        <v xml:space="preserve">included in Appendix XII Cycle 4 per ER22-133.  </v>
      </c>
      <c r="C52" s="45"/>
      <c r="D52" s="45"/>
      <c r="E52" s="45"/>
      <c r="F52" s="84"/>
    </row>
    <row r="53" spans="1:8">
      <c r="A53" s="538"/>
      <c r="B53" s="5"/>
      <c r="C53" s="45"/>
      <c r="D53" s="45"/>
      <c r="E53" s="45"/>
      <c r="F53" s="84"/>
    </row>
    <row r="54" spans="1:8">
      <c r="A54" s="84"/>
      <c r="B54" s="777" t="str">
        <f>B2</f>
        <v>SAN DIEGO GAS &amp; ELECTRIC COMPANY</v>
      </c>
      <c r="C54" s="798"/>
      <c r="D54" s="798"/>
      <c r="E54" s="798"/>
      <c r="F54" s="84"/>
    </row>
    <row r="55" spans="1:8">
      <c r="A55" s="84"/>
      <c r="B55" s="777" t="str">
        <f>B3</f>
        <v xml:space="preserve">Derivation of End Use Transmission Rate Base </v>
      </c>
      <c r="C55" s="798"/>
      <c r="D55" s="798"/>
      <c r="E55" s="798"/>
      <c r="F55" s="84"/>
    </row>
    <row r="56" spans="1:8">
      <c r="A56" s="84"/>
      <c r="B56" s="795" t="str">
        <f>B4</f>
        <v>Base Period &amp; True-Up Period 12 - Months Ending December 31, 2019</v>
      </c>
      <c r="C56" s="796"/>
      <c r="D56" s="796"/>
      <c r="E56" s="796"/>
      <c r="F56" s="84"/>
    </row>
    <row r="57" spans="1:8">
      <c r="A57" s="84"/>
      <c r="B57" s="797" t="s">
        <v>1</v>
      </c>
      <c r="C57" s="798"/>
      <c r="D57" s="798"/>
      <c r="E57" s="798"/>
      <c r="F57" s="84"/>
    </row>
    <row r="58" spans="1:8">
      <c r="A58" s="84"/>
      <c r="B58" s="58"/>
      <c r="C58" s="45"/>
      <c r="D58" s="45"/>
      <c r="E58" s="45"/>
      <c r="F58" s="84"/>
    </row>
    <row r="59" spans="1:8">
      <c r="A59" s="84" t="s">
        <v>2</v>
      </c>
      <c r="B59" s="58"/>
      <c r="C59" s="45"/>
      <c r="D59" s="45"/>
      <c r="E59" s="45"/>
      <c r="F59" s="84"/>
    </row>
    <row r="60" spans="1:8">
      <c r="A60" s="84" t="s">
        <v>14</v>
      </c>
      <c r="B60" s="58"/>
      <c r="C60" s="45"/>
      <c r="D60" s="45"/>
      <c r="E60" s="45"/>
      <c r="F60" s="84"/>
    </row>
    <row r="61" spans="1:8">
      <c r="A61" s="84"/>
      <c r="B61" s="14" t="s">
        <v>354</v>
      </c>
      <c r="C61" s="45"/>
      <c r="D61" s="45"/>
      <c r="E61" s="45"/>
      <c r="F61" s="84"/>
    </row>
    <row r="62" spans="1:8">
      <c r="A62" s="84"/>
      <c r="B62" s="49"/>
      <c r="C62" s="48"/>
      <c r="D62" s="48"/>
      <c r="E62" s="55"/>
      <c r="F62" s="84"/>
    </row>
    <row r="63" spans="1:8">
      <c r="A63" s="84">
        <v>1</v>
      </c>
      <c r="B63" s="14" t="s">
        <v>136</v>
      </c>
      <c r="C63" s="48"/>
      <c r="D63" s="48"/>
      <c r="E63" s="55"/>
      <c r="F63" s="84">
        <f t="shared" ref="F63:F87" si="2">A63</f>
        <v>1</v>
      </c>
    </row>
    <row r="64" spans="1:8">
      <c r="A64" s="84">
        <v>2</v>
      </c>
      <c r="B64" s="11" t="s">
        <v>19</v>
      </c>
      <c r="C64" s="329">
        <v>6197907.0110930772</v>
      </c>
      <c r="D64" s="538"/>
      <c r="E64" s="46" t="s">
        <v>578</v>
      </c>
      <c r="F64" s="84">
        <f t="shared" si="2"/>
        <v>2</v>
      </c>
      <c r="G64" s="79"/>
      <c r="H64" s="80"/>
    </row>
    <row r="65" spans="1:8">
      <c r="A65" s="84">
        <v>3</v>
      </c>
      <c r="B65" s="11" t="s">
        <v>137</v>
      </c>
      <c r="C65" s="330">
        <v>18119.008106850244</v>
      </c>
      <c r="D65" s="538"/>
      <c r="E65" s="46" t="s">
        <v>579</v>
      </c>
      <c r="F65" s="84">
        <f t="shared" si="2"/>
        <v>3</v>
      </c>
      <c r="G65" s="79"/>
      <c r="H65" s="80"/>
    </row>
    <row r="66" spans="1:8">
      <c r="A66" s="84">
        <v>4</v>
      </c>
      <c r="B66" s="11" t="s">
        <v>10</v>
      </c>
      <c r="C66" s="330">
        <v>46899.099622544018</v>
      </c>
      <c r="D66" s="538"/>
      <c r="E66" s="46" t="s">
        <v>519</v>
      </c>
      <c r="F66" s="84">
        <f t="shared" si="2"/>
        <v>4</v>
      </c>
      <c r="G66" s="79"/>
      <c r="H66" s="81"/>
    </row>
    <row r="67" spans="1:8">
      <c r="A67" s="84">
        <v>5</v>
      </c>
      <c r="B67" s="11" t="s">
        <v>121</v>
      </c>
      <c r="C67" s="702">
        <v>105080.18864726061</v>
      </c>
      <c r="D67" s="538"/>
      <c r="E67" s="46" t="s">
        <v>520</v>
      </c>
      <c r="F67" s="84">
        <f t="shared" si="2"/>
        <v>5</v>
      </c>
      <c r="G67" s="80"/>
      <c r="H67" s="80"/>
    </row>
    <row r="68" spans="1:8">
      <c r="A68" s="84">
        <v>6</v>
      </c>
      <c r="B68" s="11" t="s">
        <v>138</v>
      </c>
      <c r="C68" s="696">
        <f>SUM(C64:C67)</f>
        <v>6368005.3074697321</v>
      </c>
      <c r="D68" s="538"/>
      <c r="E68" s="46" t="s">
        <v>566</v>
      </c>
      <c r="F68" s="84">
        <f t="shared" si="2"/>
        <v>6</v>
      </c>
      <c r="G68" s="79"/>
      <c r="H68" s="80"/>
    </row>
    <row r="69" spans="1:8">
      <c r="A69" s="84">
        <v>7</v>
      </c>
      <c r="B69" s="10"/>
      <c r="C69" s="771"/>
      <c r="D69" s="48"/>
      <c r="E69" s="55"/>
      <c r="F69" s="84">
        <f t="shared" si="2"/>
        <v>7</v>
      </c>
      <c r="G69" s="80"/>
      <c r="H69" s="80"/>
    </row>
    <row r="70" spans="1:8">
      <c r="A70" s="84">
        <v>8</v>
      </c>
      <c r="B70" s="13" t="s">
        <v>139</v>
      </c>
      <c r="C70" s="771"/>
      <c r="D70" s="48"/>
      <c r="E70" s="55"/>
      <c r="F70" s="84">
        <f t="shared" si="2"/>
        <v>8</v>
      </c>
      <c r="G70" s="80"/>
      <c r="H70" s="80"/>
    </row>
    <row r="71" spans="1:8">
      <c r="A71" s="84">
        <v>9</v>
      </c>
      <c r="B71" s="10" t="s">
        <v>140</v>
      </c>
      <c r="C71" s="329">
        <v>1250519.8026715387</v>
      </c>
      <c r="D71" s="538"/>
      <c r="E71" s="46" t="s">
        <v>580</v>
      </c>
      <c r="F71" s="84">
        <f t="shared" si="2"/>
        <v>9</v>
      </c>
      <c r="G71" s="80"/>
      <c r="H71" s="80"/>
    </row>
    <row r="72" spans="1:8">
      <c r="A72" s="84">
        <v>10</v>
      </c>
      <c r="B72" s="10" t="s">
        <v>18</v>
      </c>
      <c r="C72" s="330">
        <v>13927.307498427504</v>
      </c>
      <c r="D72" s="48"/>
      <c r="E72" s="46" t="s">
        <v>581</v>
      </c>
      <c r="F72" s="84">
        <f t="shared" si="2"/>
        <v>10</v>
      </c>
      <c r="G72" s="80"/>
      <c r="H72" s="80"/>
    </row>
    <row r="73" spans="1:8">
      <c r="A73" s="84">
        <v>11</v>
      </c>
      <c r="B73" s="10" t="s">
        <v>141</v>
      </c>
      <c r="C73" s="330">
        <v>17581.43437271372</v>
      </c>
      <c r="D73" s="538"/>
      <c r="E73" s="46" t="s">
        <v>582</v>
      </c>
      <c r="F73" s="84">
        <f t="shared" si="2"/>
        <v>11</v>
      </c>
      <c r="G73" s="80"/>
      <c r="H73" s="80"/>
    </row>
    <row r="74" spans="1:8">
      <c r="A74" s="84">
        <v>12</v>
      </c>
      <c r="B74" s="10" t="s">
        <v>142</v>
      </c>
      <c r="C74" s="702">
        <v>49974.289361791314</v>
      </c>
      <c r="D74" s="538"/>
      <c r="E74" s="46" t="s">
        <v>583</v>
      </c>
      <c r="F74" s="84">
        <f t="shared" si="2"/>
        <v>12</v>
      </c>
      <c r="G74" s="80"/>
      <c r="H74" s="80"/>
    </row>
    <row r="75" spans="1:8">
      <c r="A75" s="84">
        <v>13</v>
      </c>
      <c r="B75" s="273" t="s">
        <v>17</v>
      </c>
      <c r="C75" s="696">
        <f>SUM(C71:C74)</f>
        <v>1332002.8339044712</v>
      </c>
      <c r="D75" s="538"/>
      <c r="E75" s="46" t="s">
        <v>584</v>
      </c>
      <c r="F75" s="84">
        <f t="shared" si="2"/>
        <v>13</v>
      </c>
      <c r="G75" s="80"/>
      <c r="H75" s="80"/>
    </row>
    <row r="76" spans="1:8">
      <c r="A76" s="84">
        <v>14</v>
      </c>
      <c r="B76" s="273"/>
      <c r="C76" s="333"/>
      <c r="D76" s="52"/>
      <c r="E76" s="55"/>
      <c r="F76" s="84">
        <f t="shared" si="2"/>
        <v>14</v>
      </c>
      <c r="G76" s="80"/>
      <c r="H76" s="80"/>
    </row>
    <row r="77" spans="1:8">
      <c r="A77" s="84">
        <v>15</v>
      </c>
      <c r="B77" s="14" t="s">
        <v>120</v>
      </c>
      <c r="C77" s="333"/>
      <c r="D77" s="52"/>
      <c r="E77" s="55"/>
      <c r="F77" s="84">
        <f t="shared" si="2"/>
        <v>15</v>
      </c>
      <c r="G77" s="80"/>
      <c r="H77" s="80"/>
    </row>
    <row r="78" spans="1:8">
      <c r="A78" s="84">
        <v>16</v>
      </c>
      <c r="B78" s="11" t="s">
        <v>19</v>
      </c>
      <c r="C78" s="332">
        <f>C64-C71</f>
        <v>4947387.2084215386</v>
      </c>
      <c r="D78" s="538"/>
      <c r="E78" s="46" t="str">
        <f>"Line "&amp;A64&amp;" Minus Line "&amp;A71</f>
        <v>Line 2 Minus Line 9</v>
      </c>
      <c r="F78" s="84">
        <f t="shared" si="2"/>
        <v>16</v>
      </c>
      <c r="G78" s="80"/>
      <c r="H78" s="80"/>
    </row>
    <row r="79" spans="1:8">
      <c r="A79" s="84">
        <v>17</v>
      </c>
      <c r="B79" s="11" t="s">
        <v>9</v>
      </c>
      <c r="C79" s="333">
        <f>C65-C72</f>
        <v>4191.7006084227396</v>
      </c>
      <c r="D79" s="538"/>
      <c r="E79" s="46" t="str">
        <f>"Line "&amp;A65&amp;" Minus Line "&amp;A72</f>
        <v>Line 3 Minus Line 10</v>
      </c>
      <c r="F79" s="84">
        <f t="shared" si="2"/>
        <v>17</v>
      </c>
      <c r="G79" s="80"/>
      <c r="H79" s="80"/>
    </row>
    <row r="80" spans="1:8">
      <c r="A80" s="84">
        <v>18</v>
      </c>
      <c r="B80" s="11" t="s">
        <v>10</v>
      </c>
      <c r="C80" s="333">
        <f>C66-C73</f>
        <v>29317.665249830297</v>
      </c>
      <c r="D80" s="538"/>
      <c r="E80" s="46" t="str">
        <f>"Line "&amp;A66&amp;" Minus Line "&amp;A73</f>
        <v>Line 4 Minus Line 11</v>
      </c>
      <c r="F80" s="84">
        <f t="shared" si="2"/>
        <v>18</v>
      </c>
    </row>
    <row r="81" spans="1:6">
      <c r="A81" s="84">
        <v>19</v>
      </c>
      <c r="B81" s="11" t="s">
        <v>121</v>
      </c>
      <c r="C81" s="703">
        <f>C67-C74</f>
        <v>55105.899285469299</v>
      </c>
      <c r="D81" s="538"/>
      <c r="E81" s="46" t="str">
        <f>"Line "&amp;A67&amp;" Minus Line "&amp;A74</f>
        <v>Line 5 Minus Line 12</v>
      </c>
      <c r="F81" s="84">
        <f t="shared" si="2"/>
        <v>19</v>
      </c>
    </row>
    <row r="82" spans="1:6" ht="16.5" thickBot="1">
      <c r="A82" s="84">
        <v>20</v>
      </c>
      <c r="B82" s="10" t="s">
        <v>122</v>
      </c>
      <c r="C82" s="704">
        <f>SUM(C78:C81)</f>
        <v>5036002.4735652609</v>
      </c>
      <c r="D82" s="538"/>
      <c r="E82" s="46" t="str">
        <f>"Sum Lines "&amp;A78&amp;" thru "&amp;A81</f>
        <v>Sum Lines 16 thru 19</v>
      </c>
      <c r="F82" s="84">
        <f t="shared" si="2"/>
        <v>20</v>
      </c>
    </row>
    <row r="83" spans="1:6" ht="16.5" thickTop="1">
      <c r="A83" s="84">
        <v>21</v>
      </c>
      <c r="B83" s="41"/>
      <c r="C83" s="54"/>
      <c r="D83" s="54"/>
      <c r="E83" s="55"/>
      <c r="F83" s="84">
        <f t="shared" si="2"/>
        <v>21</v>
      </c>
    </row>
    <row r="84" spans="1:6">
      <c r="A84" s="84">
        <v>22</v>
      </c>
      <c r="B84" s="14" t="s">
        <v>358</v>
      </c>
      <c r="C84" s="54"/>
      <c r="D84" s="54"/>
      <c r="E84" s="55"/>
      <c r="F84" s="84">
        <f t="shared" si="2"/>
        <v>22</v>
      </c>
    </row>
    <row r="85" spans="1:6">
      <c r="A85" s="84">
        <v>23</v>
      </c>
      <c r="B85" s="11" t="s">
        <v>355</v>
      </c>
      <c r="C85" s="439">
        <v>0</v>
      </c>
      <c r="D85" s="54"/>
      <c r="E85" s="46" t="s">
        <v>23</v>
      </c>
      <c r="F85" s="84">
        <f t="shared" si="2"/>
        <v>23</v>
      </c>
    </row>
    <row r="86" spans="1:6">
      <c r="A86" s="84">
        <v>24</v>
      </c>
      <c r="B86" s="10" t="s">
        <v>356</v>
      </c>
      <c r="C86" s="464">
        <v>0</v>
      </c>
      <c r="D86" s="54"/>
      <c r="E86" s="46" t="s">
        <v>23</v>
      </c>
      <c r="F86" s="84">
        <f t="shared" si="2"/>
        <v>24</v>
      </c>
    </row>
    <row r="87" spans="1:6" ht="16.5" thickBot="1">
      <c r="A87" s="84">
        <v>25</v>
      </c>
      <c r="B87" s="11" t="s">
        <v>357</v>
      </c>
      <c r="C87" s="437">
        <f>C85-C86</f>
        <v>0</v>
      </c>
      <c r="D87" s="54"/>
      <c r="E87" s="46" t="str">
        <f>"Line "&amp;A85&amp;" Minus Line "&amp;A86</f>
        <v>Line 23 Minus Line 24</v>
      </c>
      <c r="F87" s="84">
        <f t="shared" si="2"/>
        <v>25</v>
      </c>
    </row>
    <row r="88" spans="1:6" ht="16.5" thickTop="1">
      <c r="A88" s="84"/>
    </row>
  </sheetData>
  <mergeCells count="8">
    <mergeCell ref="B56:E56"/>
    <mergeCell ref="B57:E57"/>
    <mergeCell ref="B2:E2"/>
    <mergeCell ref="B3:E3"/>
    <mergeCell ref="B4:E4"/>
    <mergeCell ref="B5:E5"/>
    <mergeCell ref="B54:E54"/>
    <mergeCell ref="B55:E55"/>
  </mergeCells>
  <printOptions horizontalCentered="1"/>
  <pageMargins left="0.5" right="0.5" top="0.5" bottom="0.5" header="0.35" footer="0.25"/>
  <pageSetup scale="57" orientation="portrait" r:id="rId1"/>
  <headerFooter scaleWithDoc="0" alignWithMargins="0">
    <oddHeader>&amp;C&amp;"Times New Roman,Bold"&amp;7REVISED</oddHeader>
    <oddFooter>&amp;L&amp;F&amp;CPage 12.&amp;P&amp;R&amp;A</oddFooter>
  </headerFooter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5F16-A423-4557-80D5-9564D93FB1C3}">
  <dimension ref="A1:H88"/>
  <sheetViews>
    <sheetView zoomScale="80" zoomScaleNormal="80" workbookViewId="0"/>
  </sheetViews>
  <sheetFormatPr defaultColWidth="8.85546875" defaultRowHeight="15.75"/>
  <cols>
    <col min="1" max="1" width="5.140625" style="78" customWidth="1"/>
    <col min="2" max="2" width="83" style="9" customWidth="1"/>
    <col min="3" max="3" width="16.85546875" style="9" customWidth="1"/>
    <col min="4" max="4" width="1.5703125" style="9" customWidth="1"/>
    <col min="5" max="5" width="38.85546875" style="9" customWidth="1"/>
    <col min="6" max="6" width="5.140625" style="78" customWidth="1"/>
    <col min="7" max="16384" width="8.85546875" style="9"/>
  </cols>
  <sheetData>
    <row r="1" spans="1:6">
      <c r="A1" s="605" t="s">
        <v>585</v>
      </c>
    </row>
    <row r="2" spans="1:6">
      <c r="A2" s="84"/>
      <c r="B2" s="45"/>
      <c r="C2" s="47"/>
      <c r="D2" s="47"/>
      <c r="E2" s="585"/>
      <c r="F2" s="84"/>
    </row>
    <row r="3" spans="1:6">
      <c r="A3" s="84"/>
      <c r="B3" s="777" t="s">
        <v>12</v>
      </c>
      <c r="C3" s="798"/>
      <c r="D3" s="798"/>
      <c r="E3" s="798"/>
      <c r="F3" s="84"/>
    </row>
    <row r="4" spans="1:6">
      <c r="A4" s="84" t="s">
        <v>7</v>
      </c>
      <c r="B4" s="777" t="s">
        <v>118</v>
      </c>
      <c r="C4" s="798"/>
      <c r="D4" s="798"/>
      <c r="E4" s="798"/>
      <c r="F4" s="84" t="s">
        <v>7</v>
      </c>
    </row>
    <row r="5" spans="1:6">
      <c r="A5" s="84"/>
      <c r="B5" s="795" t="s">
        <v>445</v>
      </c>
      <c r="C5" s="796"/>
      <c r="D5" s="796"/>
      <c r="E5" s="796"/>
      <c r="F5" s="84"/>
    </row>
    <row r="6" spans="1:6">
      <c r="A6" s="84"/>
      <c r="B6" s="797" t="s">
        <v>1</v>
      </c>
      <c r="C6" s="798"/>
      <c r="D6" s="798"/>
      <c r="E6" s="798"/>
      <c r="F6" s="84"/>
    </row>
    <row r="7" spans="1:6">
      <c r="A7" s="84"/>
      <c r="B7" s="58"/>
      <c r="C7" s="45"/>
      <c r="D7" s="45"/>
      <c r="E7" s="45"/>
      <c r="F7" s="84"/>
    </row>
    <row r="8" spans="1:6">
      <c r="A8" s="84" t="s">
        <v>2</v>
      </c>
      <c r="B8" s="45"/>
      <c r="C8" s="48"/>
      <c r="D8" s="48"/>
      <c r="E8" s="55"/>
      <c r="F8" s="84" t="s">
        <v>2</v>
      </c>
    </row>
    <row r="9" spans="1:6">
      <c r="A9" s="84" t="s">
        <v>14</v>
      </c>
      <c r="B9" s="45" t="s">
        <v>7</v>
      </c>
      <c r="C9" s="693" t="s">
        <v>21</v>
      </c>
      <c r="D9" s="48"/>
      <c r="E9" s="694" t="s">
        <v>6</v>
      </c>
      <c r="F9" s="84" t="s">
        <v>14</v>
      </c>
    </row>
    <row r="10" spans="1:6">
      <c r="A10" s="84"/>
      <c r="B10" s="14" t="s">
        <v>119</v>
      </c>
      <c r="C10" s="50"/>
      <c r="D10" s="48"/>
      <c r="E10" s="55"/>
      <c r="F10" s="84"/>
    </row>
    <row r="11" spans="1:6">
      <c r="A11" s="84"/>
      <c r="B11" s="49"/>
      <c r="C11" s="50"/>
      <c r="D11" s="48"/>
      <c r="E11" s="55"/>
      <c r="F11" s="84"/>
    </row>
    <row r="12" spans="1:6">
      <c r="A12" s="84">
        <v>1</v>
      </c>
      <c r="B12" s="14" t="s">
        <v>120</v>
      </c>
      <c r="C12" s="50"/>
      <c r="D12" s="50"/>
      <c r="E12" s="55"/>
      <c r="F12" s="84">
        <f>A12</f>
        <v>1</v>
      </c>
    </row>
    <row r="13" spans="1:6">
      <c r="A13" s="84">
        <f>A12+1</f>
        <v>2</v>
      </c>
      <c r="B13" s="11" t="s">
        <v>19</v>
      </c>
      <c r="C13" s="320">
        <f>C78</f>
        <v>4947387.2084215386</v>
      </c>
      <c r="D13" s="35"/>
      <c r="E13" s="46" t="s">
        <v>449</v>
      </c>
      <c r="F13" s="84">
        <f>F12+1</f>
        <v>2</v>
      </c>
    </row>
    <row r="14" spans="1:6">
      <c r="A14" s="84">
        <f t="shared" ref="A14:A49" si="0">A13+1</f>
        <v>3</v>
      </c>
      <c r="B14" s="11" t="s">
        <v>9</v>
      </c>
      <c r="C14" s="174">
        <f>C79</f>
        <v>4191.7006084227396</v>
      </c>
      <c r="D14" s="267"/>
      <c r="E14" s="46" t="s">
        <v>563</v>
      </c>
      <c r="F14" s="84">
        <f t="shared" ref="F14:F49" si="1">F13+1</f>
        <v>3</v>
      </c>
    </row>
    <row r="15" spans="1:6">
      <c r="A15" s="84">
        <f t="shared" si="0"/>
        <v>4</v>
      </c>
      <c r="B15" s="11" t="s">
        <v>10</v>
      </c>
      <c r="C15" s="174">
        <f>C80</f>
        <v>29317.665249830297</v>
      </c>
      <c r="D15" s="267"/>
      <c r="E15" s="46" t="s">
        <v>564</v>
      </c>
      <c r="F15" s="84">
        <f t="shared" si="1"/>
        <v>4</v>
      </c>
    </row>
    <row r="16" spans="1:6">
      <c r="A16" s="84">
        <f t="shared" si="0"/>
        <v>5</v>
      </c>
      <c r="B16" s="11" t="s">
        <v>121</v>
      </c>
      <c r="C16" s="695">
        <f>C81</f>
        <v>55105.899285469299</v>
      </c>
      <c r="D16" s="267"/>
      <c r="E16" s="46" t="s">
        <v>565</v>
      </c>
      <c r="F16" s="84">
        <f t="shared" si="1"/>
        <v>5</v>
      </c>
    </row>
    <row r="17" spans="1:6">
      <c r="A17" s="84">
        <f t="shared" si="0"/>
        <v>6</v>
      </c>
      <c r="B17" s="11" t="s">
        <v>122</v>
      </c>
      <c r="C17" s="696">
        <f>SUM(C13:C16)</f>
        <v>5036002.4735652609</v>
      </c>
      <c r="D17" s="54"/>
      <c r="E17" s="46" t="s">
        <v>566</v>
      </c>
      <c r="F17" s="84">
        <f t="shared" si="1"/>
        <v>6</v>
      </c>
    </row>
    <row r="18" spans="1:6">
      <c r="A18" s="84">
        <f t="shared" si="0"/>
        <v>7</v>
      </c>
      <c r="B18" s="10"/>
      <c r="C18" s="321"/>
      <c r="D18" s="51"/>
      <c r="E18" s="55"/>
      <c r="F18" s="84">
        <f t="shared" si="1"/>
        <v>7</v>
      </c>
    </row>
    <row r="19" spans="1:6">
      <c r="A19" s="84">
        <f t="shared" si="0"/>
        <v>8</v>
      </c>
      <c r="B19" s="14" t="s">
        <v>123</v>
      </c>
      <c r="C19" s="321"/>
      <c r="D19" s="51"/>
      <c r="E19" s="55"/>
      <c r="F19" s="84">
        <f t="shared" si="1"/>
        <v>8</v>
      </c>
    </row>
    <row r="20" spans="1:6">
      <c r="A20" s="84">
        <f t="shared" si="0"/>
        <v>9</v>
      </c>
      <c r="B20" s="11" t="s">
        <v>124</v>
      </c>
      <c r="C20" s="322">
        <v>0</v>
      </c>
      <c r="D20" s="48"/>
      <c r="E20" s="46" t="s">
        <v>567</v>
      </c>
      <c r="F20" s="84">
        <f t="shared" si="1"/>
        <v>9</v>
      </c>
    </row>
    <row r="21" spans="1:6">
      <c r="A21" s="84">
        <f t="shared" si="0"/>
        <v>10</v>
      </c>
      <c r="B21" s="11" t="s">
        <v>125</v>
      </c>
      <c r="C21" s="420">
        <v>0</v>
      </c>
      <c r="D21" s="48"/>
      <c r="E21" s="46" t="s">
        <v>568</v>
      </c>
      <c r="F21" s="84">
        <f t="shared" si="1"/>
        <v>10</v>
      </c>
    </row>
    <row r="22" spans="1:6">
      <c r="A22" s="84">
        <f t="shared" si="0"/>
        <v>11</v>
      </c>
      <c r="B22" s="11" t="s">
        <v>126</v>
      </c>
      <c r="C22" s="697">
        <f>C20+C21</f>
        <v>0</v>
      </c>
      <c r="D22" s="271"/>
      <c r="E22" s="46" t="s">
        <v>569</v>
      </c>
      <c r="F22" s="84">
        <f t="shared" si="1"/>
        <v>11</v>
      </c>
    </row>
    <row r="23" spans="1:6">
      <c r="A23" s="84">
        <f t="shared" si="0"/>
        <v>12</v>
      </c>
      <c r="B23" s="11"/>
      <c r="C23" s="323"/>
      <c r="D23" s="47"/>
      <c r="E23" s="55"/>
      <c r="F23" s="84">
        <f t="shared" si="1"/>
        <v>12</v>
      </c>
    </row>
    <row r="24" spans="1:6">
      <c r="A24" s="84">
        <f t="shared" si="0"/>
        <v>13</v>
      </c>
      <c r="B24" s="14" t="s">
        <v>127</v>
      </c>
      <c r="C24" s="321"/>
      <c r="D24" s="51"/>
      <c r="E24" s="55"/>
      <c r="F24" s="84">
        <f t="shared" si="1"/>
        <v>13</v>
      </c>
    </row>
    <row r="25" spans="1:6">
      <c r="A25" s="84">
        <f t="shared" si="0"/>
        <v>14</v>
      </c>
      <c r="B25" s="10" t="s">
        <v>128</v>
      </c>
      <c r="C25" s="324">
        <v>-848762.15720450506</v>
      </c>
      <c r="D25" s="48"/>
      <c r="E25" s="46" t="s">
        <v>570</v>
      </c>
      <c r="F25" s="84">
        <f t="shared" si="1"/>
        <v>14</v>
      </c>
    </row>
    <row r="26" spans="1:6">
      <c r="A26" s="84">
        <f t="shared" si="0"/>
        <v>15</v>
      </c>
      <c r="B26" s="10" t="s">
        <v>129</v>
      </c>
      <c r="C26" s="325">
        <v>0</v>
      </c>
      <c r="D26" s="48"/>
      <c r="E26" s="46" t="s">
        <v>571</v>
      </c>
      <c r="F26" s="84">
        <f t="shared" si="1"/>
        <v>15</v>
      </c>
    </row>
    <row r="27" spans="1:6">
      <c r="A27" s="84">
        <f t="shared" si="0"/>
        <v>16</v>
      </c>
      <c r="B27" s="11" t="s">
        <v>130</v>
      </c>
      <c r="C27" s="696">
        <f>SUM(C25:C26)</f>
        <v>-848762.15720450506</v>
      </c>
      <c r="D27" s="54"/>
      <c r="E27" s="46" t="s">
        <v>572</v>
      </c>
      <c r="F27" s="84">
        <f t="shared" si="1"/>
        <v>16</v>
      </c>
    </row>
    <row r="28" spans="1:6">
      <c r="A28" s="84">
        <f t="shared" si="0"/>
        <v>17</v>
      </c>
      <c r="B28" s="45"/>
      <c r="C28" s="326"/>
      <c r="D28" s="52"/>
      <c r="E28" s="55"/>
      <c r="F28" s="84">
        <f t="shared" si="1"/>
        <v>17</v>
      </c>
    </row>
    <row r="29" spans="1:6">
      <c r="A29" s="84">
        <f t="shared" si="0"/>
        <v>18</v>
      </c>
      <c r="B29" s="14" t="s">
        <v>131</v>
      </c>
      <c r="C29" s="326"/>
      <c r="D29" s="52"/>
      <c r="E29" s="55"/>
      <c r="F29" s="84">
        <f t="shared" si="1"/>
        <v>18</v>
      </c>
    </row>
    <row r="30" spans="1:6">
      <c r="A30" s="84">
        <f t="shared" si="0"/>
        <v>19</v>
      </c>
      <c r="B30" s="11" t="s">
        <v>132</v>
      </c>
      <c r="C30" s="320">
        <v>50559.74647056016</v>
      </c>
      <c r="D30" s="48"/>
      <c r="E30" s="46" t="s">
        <v>465</v>
      </c>
      <c r="F30" s="84">
        <f t="shared" si="1"/>
        <v>19</v>
      </c>
    </row>
    <row r="31" spans="1:6">
      <c r="A31" s="84">
        <f t="shared" si="0"/>
        <v>20</v>
      </c>
      <c r="B31" s="11" t="s">
        <v>133</v>
      </c>
      <c r="C31" s="174">
        <v>25324.807208075756</v>
      </c>
      <c r="D31" s="48"/>
      <c r="E31" s="46" t="s">
        <v>466</v>
      </c>
      <c r="F31" s="84">
        <f t="shared" si="1"/>
        <v>20</v>
      </c>
    </row>
    <row r="32" spans="1:6">
      <c r="A32" s="84">
        <f t="shared" si="0"/>
        <v>21</v>
      </c>
      <c r="B32" s="11" t="s">
        <v>134</v>
      </c>
      <c r="C32" s="698">
        <v>9039.5465619796687</v>
      </c>
      <c r="D32" s="538" t="s">
        <v>417</v>
      </c>
      <c r="E32" s="46" t="s">
        <v>467</v>
      </c>
      <c r="F32" s="84">
        <f t="shared" si="1"/>
        <v>21</v>
      </c>
    </row>
    <row r="33" spans="1:6">
      <c r="A33" s="84">
        <f t="shared" si="0"/>
        <v>22</v>
      </c>
      <c r="B33" s="11" t="s">
        <v>236</v>
      </c>
      <c r="C33" s="699">
        <f>SUM(C30:C32)</f>
        <v>84924.100240615589</v>
      </c>
      <c r="D33" s="538" t="s">
        <v>417</v>
      </c>
      <c r="E33" s="46" t="s">
        <v>573</v>
      </c>
      <c r="F33" s="84">
        <f t="shared" si="1"/>
        <v>22</v>
      </c>
    </row>
    <row r="34" spans="1:6">
      <c r="A34" s="84">
        <f t="shared" si="0"/>
        <v>23</v>
      </c>
      <c r="B34" s="41"/>
      <c r="C34" s="327"/>
      <c r="D34" s="53"/>
      <c r="E34" s="55"/>
      <c r="F34" s="84">
        <f t="shared" si="1"/>
        <v>23</v>
      </c>
    </row>
    <row r="35" spans="1:6">
      <c r="A35" s="84">
        <f t="shared" si="0"/>
        <v>24</v>
      </c>
      <c r="B35" s="11" t="s">
        <v>135</v>
      </c>
      <c r="C35" s="700">
        <v>0</v>
      </c>
      <c r="D35" s="48"/>
      <c r="E35" s="46" t="s">
        <v>574</v>
      </c>
      <c r="F35" s="84">
        <f t="shared" si="1"/>
        <v>24</v>
      </c>
    </row>
    <row r="36" spans="1:6">
      <c r="A36" s="84">
        <f t="shared" si="0"/>
        <v>25</v>
      </c>
      <c r="B36" s="11"/>
      <c r="C36" s="327"/>
      <c r="D36" s="53"/>
      <c r="E36" s="55"/>
      <c r="F36" s="84">
        <f t="shared" si="1"/>
        <v>25</v>
      </c>
    </row>
    <row r="37" spans="1:6" ht="16.5" thickBot="1">
      <c r="A37" s="84">
        <f t="shared" si="0"/>
        <v>26</v>
      </c>
      <c r="B37" s="11" t="s">
        <v>235</v>
      </c>
      <c r="C37" s="701">
        <f>C17+C22+C27+C33+C35</f>
        <v>4272164.416601371</v>
      </c>
      <c r="D37" s="538" t="s">
        <v>417</v>
      </c>
      <c r="E37" s="46" t="s">
        <v>575</v>
      </c>
      <c r="F37" s="84">
        <f t="shared" si="1"/>
        <v>26</v>
      </c>
    </row>
    <row r="38" spans="1:6" ht="16.5" thickTop="1">
      <c r="A38" s="84">
        <f t="shared" si="0"/>
        <v>27</v>
      </c>
      <c r="B38" s="41"/>
      <c r="C38" s="328"/>
      <c r="D38" s="54"/>
      <c r="E38" s="55"/>
      <c r="F38" s="84">
        <f t="shared" si="1"/>
        <v>27</v>
      </c>
    </row>
    <row r="39" spans="1:6">
      <c r="A39" s="84">
        <f t="shared" si="0"/>
        <v>28</v>
      </c>
      <c r="B39" s="14" t="s">
        <v>375</v>
      </c>
      <c r="C39" s="328"/>
      <c r="D39" s="54"/>
      <c r="E39" s="55"/>
      <c r="F39" s="84">
        <f t="shared" si="1"/>
        <v>28</v>
      </c>
    </row>
    <row r="40" spans="1:6">
      <c r="A40" s="84">
        <f t="shared" si="0"/>
        <v>29</v>
      </c>
      <c r="B40" s="11" t="s">
        <v>359</v>
      </c>
      <c r="C40" s="439">
        <v>0</v>
      </c>
      <c r="D40" s="438"/>
      <c r="E40" s="46" t="s">
        <v>23</v>
      </c>
      <c r="F40" s="84">
        <f t="shared" si="1"/>
        <v>29</v>
      </c>
    </row>
    <row r="41" spans="1:6">
      <c r="A41" s="84">
        <f t="shared" si="0"/>
        <v>30</v>
      </c>
      <c r="B41" s="11" t="s">
        <v>360</v>
      </c>
      <c r="C41" s="463">
        <v>0</v>
      </c>
      <c r="D41" s="48"/>
      <c r="E41" s="46" t="s">
        <v>23</v>
      </c>
      <c r="F41" s="84">
        <f t="shared" si="1"/>
        <v>30</v>
      </c>
    </row>
    <row r="42" spans="1:6">
      <c r="A42" s="84">
        <f t="shared" si="0"/>
        <v>31</v>
      </c>
      <c r="B42" s="10" t="s">
        <v>361</v>
      </c>
      <c r="C42" s="699">
        <f>C40+C41</f>
        <v>0</v>
      </c>
      <c r="D42" s="54"/>
      <c r="E42" s="46" t="s">
        <v>576</v>
      </c>
      <c r="F42" s="84">
        <f t="shared" si="1"/>
        <v>31</v>
      </c>
    </row>
    <row r="43" spans="1:6">
      <c r="A43" s="84">
        <f t="shared" si="0"/>
        <v>32</v>
      </c>
      <c r="B43" s="41"/>
      <c r="C43" s="328"/>
      <c r="D43" s="54"/>
      <c r="E43" s="55"/>
      <c r="F43" s="84">
        <f t="shared" si="1"/>
        <v>32</v>
      </c>
    </row>
    <row r="44" spans="1:6">
      <c r="A44" s="84">
        <f t="shared" si="0"/>
        <v>33</v>
      </c>
      <c r="B44" s="14" t="s">
        <v>376</v>
      </c>
      <c r="C44" s="328"/>
      <c r="D44" s="54"/>
      <c r="E44" s="55"/>
      <c r="F44" s="84">
        <f t="shared" si="1"/>
        <v>33</v>
      </c>
    </row>
    <row r="45" spans="1:6">
      <c r="A45" s="84">
        <f t="shared" si="0"/>
        <v>34</v>
      </c>
      <c r="B45" s="11" t="s">
        <v>362</v>
      </c>
      <c r="C45" s="439">
        <v>0</v>
      </c>
      <c r="D45" s="48"/>
      <c r="E45" s="46" t="s">
        <v>23</v>
      </c>
      <c r="F45" s="84">
        <f t="shared" si="1"/>
        <v>34</v>
      </c>
    </row>
    <row r="46" spans="1:6">
      <c r="A46" s="84">
        <f t="shared" si="0"/>
        <v>35</v>
      </c>
      <c r="B46" s="10" t="s">
        <v>363</v>
      </c>
      <c r="C46" s="464">
        <v>0</v>
      </c>
      <c r="D46" s="48"/>
      <c r="E46" s="46" t="s">
        <v>23</v>
      </c>
      <c r="F46" s="84">
        <f t="shared" si="1"/>
        <v>35</v>
      </c>
    </row>
    <row r="47" spans="1:6">
      <c r="A47" s="84">
        <f t="shared" si="0"/>
        <v>36</v>
      </c>
      <c r="B47" s="10" t="s">
        <v>364</v>
      </c>
      <c r="C47" s="699">
        <f>C45+C46</f>
        <v>0</v>
      </c>
      <c r="D47" s="54"/>
      <c r="E47" s="46" t="s">
        <v>577</v>
      </c>
      <c r="F47" s="84">
        <f t="shared" si="1"/>
        <v>36</v>
      </c>
    </row>
    <row r="48" spans="1:6">
      <c r="A48" s="84">
        <f t="shared" si="0"/>
        <v>37</v>
      </c>
      <c r="B48" s="41"/>
      <c r="C48" s="328"/>
      <c r="D48" s="54"/>
      <c r="E48" s="55"/>
      <c r="F48" s="84">
        <f t="shared" si="1"/>
        <v>37</v>
      </c>
    </row>
    <row r="49" spans="1:8" ht="16.5" thickBot="1">
      <c r="A49" s="84">
        <f t="shared" si="0"/>
        <v>38</v>
      </c>
      <c r="B49" s="14" t="s">
        <v>377</v>
      </c>
      <c r="C49" s="440">
        <v>0</v>
      </c>
      <c r="D49" s="48"/>
      <c r="E49" s="46" t="s">
        <v>23</v>
      </c>
      <c r="F49" s="84">
        <f t="shared" si="1"/>
        <v>38</v>
      </c>
    </row>
    <row r="50" spans="1:8" ht="16.5" thickTop="1">
      <c r="A50" s="84"/>
      <c r="B50" s="41"/>
      <c r="C50" s="328"/>
      <c r="D50" s="54"/>
      <c r="E50" s="55"/>
      <c r="F50" s="84"/>
    </row>
    <row r="51" spans="1:8">
      <c r="A51" s="538" t="s">
        <v>417</v>
      </c>
      <c r="B51" s="5" t="s">
        <v>442</v>
      </c>
      <c r="C51" s="45"/>
      <c r="D51" s="45"/>
      <c r="E51" s="45"/>
      <c r="F51" s="84"/>
    </row>
    <row r="52" spans="1:8">
      <c r="A52" s="538"/>
      <c r="B52" s="5"/>
      <c r="C52" s="45"/>
      <c r="D52" s="45"/>
      <c r="E52" s="45"/>
      <c r="F52" s="84"/>
    </row>
    <row r="53" spans="1:8">
      <c r="A53" s="538"/>
      <c r="B53" s="5"/>
      <c r="C53" s="45"/>
      <c r="D53" s="45"/>
      <c r="E53" s="45"/>
      <c r="F53" s="84"/>
    </row>
    <row r="54" spans="1:8">
      <c r="A54" s="84"/>
      <c r="B54" s="777" t="str">
        <f>B3</f>
        <v>SAN DIEGO GAS &amp; ELECTRIC COMPANY</v>
      </c>
      <c r="C54" s="798"/>
      <c r="D54" s="798"/>
      <c r="E54" s="798"/>
      <c r="F54" s="84"/>
    </row>
    <row r="55" spans="1:8">
      <c r="A55" s="84"/>
      <c r="B55" s="777" t="str">
        <f>B4</f>
        <v xml:space="preserve">Derivation of End Use Transmission Rate Base </v>
      </c>
      <c r="C55" s="798"/>
      <c r="D55" s="798"/>
      <c r="E55" s="798"/>
      <c r="F55" s="84"/>
    </row>
    <row r="56" spans="1:8">
      <c r="A56" s="84"/>
      <c r="B56" s="795" t="str">
        <f>B5</f>
        <v>Base Period &amp; True-Up Period 12 - Months Ending December 31, 2019</v>
      </c>
      <c r="C56" s="796"/>
      <c r="D56" s="796"/>
      <c r="E56" s="796"/>
      <c r="F56" s="84"/>
    </row>
    <row r="57" spans="1:8">
      <c r="A57" s="84"/>
      <c r="B57" s="797" t="s">
        <v>1</v>
      </c>
      <c r="C57" s="798"/>
      <c r="D57" s="798"/>
      <c r="E57" s="798"/>
      <c r="F57" s="84"/>
    </row>
    <row r="58" spans="1:8">
      <c r="A58" s="84"/>
      <c r="B58" s="58"/>
      <c r="C58" s="45"/>
      <c r="D58" s="45"/>
      <c r="E58" s="45"/>
      <c r="F58" s="84"/>
    </row>
    <row r="59" spans="1:8">
      <c r="A59" s="84" t="s">
        <v>2</v>
      </c>
      <c r="B59" s="58"/>
      <c r="C59" s="45"/>
      <c r="D59" s="45"/>
      <c r="E59" s="45"/>
      <c r="F59" s="84"/>
    </row>
    <row r="60" spans="1:8">
      <c r="A60" s="84" t="s">
        <v>14</v>
      </c>
      <c r="B60" s="58"/>
      <c r="C60" s="45"/>
      <c r="D60" s="45"/>
      <c r="E60" s="45"/>
      <c r="F60" s="84"/>
    </row>
    <row r="61" spans="1:8">
      <c r="A61" s="84"/>
      <c r="B61" s="14" t="s">
        <v>354</v>
      </c>
      <c r="C61" s="45"/>
      <c r="D61" s="45"/>
      <c r="E61" s="45"/>
      <c r="F61" s="84"/>
    </row>
    <row r="62" spans="1:8">
      <c r="A62" s="84"/>
      <c r="B62" s="49"/>
      <c r="C62" s="48"/>
      <c r="D62" s="48"/>
      <c r="E62" s="55"/>
      <c r="F62" s="84"/>
    </row>
    <row r="63" spans="1:8">
      <c r="A63" s="84">
        <v>1</v>
      </c>
      <c r="B63" s="14" t="s">
        <v>136</v>
      </c>
      <c r="C63" s="48"/>
      <c r="D63" s="48"/>
      <c r="E63" s="55"/>
      <c r="F63" s="84">
        <f t="shared" ref="F63:F87" si="2">A63</f>
        <v>1</v>
      </c>
    </row>
    <row r="64" spans="1:8">
      <c r="A64" s="84">
        <v>2</v>
      </c>
      <c r="B64" s="11" t="s">
        <v>19</v>
      </c>
      <c r="C64" s="329">
        <v>6197907.0110930772</v>
      </c>
      <c r="D64" s="48"/>
      <c r="E64" s="46" t="s">
        <v>578</v>
      </c>
      <c r="F64" s="84">
        <f t="shared" si="2"/>
        <v>2</v>
      </c>
      <c r="G64" s="79"/>
      <c r="H64" s="80"/>
    </row>
    <row r="65" spans="1:8">
      <c r="A65" s="84">
        <v>3</v>
      </c>
      <c r="B65" s="11" t="s">
        <v>137</v>
      </c>
      <c r="C65" s="330">
        <v>18119.008106850244</v>
      </c>
      <c r="D65" s="48"/>
      <c r="E65" s="46" t="s">
        <v>579</v>
      </c>
      <c r="F65" s="84">
        <f t="shared" si="2"/>
        <v>3</v>
      </c>
      <c r="G65" s="79"/>
      <c r="H65" s="80"/>
    </row>
    <row r="66" spans="1:8">
      <c r="A66" s="84">
        <v>4</v>
      </c>
      <c r="B66" s="11" t="s">
        <v>10</v>
      </c>
      <c r="C66" s="330">
        <v>46899.099622544018</v>
      </c>
      <c r="D66" s="48"/>
      <c r="E66" s="46" t="s">
        <v>519</v>
      </c>
      <c r="F66" s="84">
        <f t="shared" si="2"/>
        <v>4</v>
      </c>
      <c r="G66" s="79"/>
      <c r="H66" s="81"/>
    </row>
    <row r="67" spans="1:8">
      <c r="A67" s="84">
        <v>5</v>
      </c>
      <c r="B67" s="11" t="s">
        <v>121</v>
      </c>
      <c r="C67" s="702">
        <v>105080.18864726061</v>
      </c>
      <c r="D67" s="48"/>
      <c r="E67" s="46" t="s">
        <v>520</v>
      </c>
      <c r="F67" s="84">
        <f t="shared" si="2"/>
        <v>5</v>
      </c>
      <c r="G67" s="80"/>
      <c r="H67" s="80"/>
    </row>
    <row r="68" spans="1:8">
      <c r="A68" s="84">
        <v>6</v>
      </c>
      <c r="B68" s="11" t="s">
        <v>138</v>
      </c>
      <c r="C68" s="696">
        <f>SUM(C64:C67)</f>
        <v>6368005.3074697321</v>
      </c>
      <c r="D68" s="54"/>
      <c r="E68" s="46" t="s">
        <v>566</v>
      </c>
      <c r="F68" s="84">
        <f t="shared" si="2"/>
        <v>6</v>
      </c>
      <c r="G68" s="79"/>
      <c r="H68" s="80"/>
    </row>
    <row r="69" spans="1:8">
      <c r="A69" s="84">
        <v>7</v>
      </c>
      <c r="B69" s="10"/>
      <c r="C69" s="331"/>
      <c r="D69" s="48"/>
      <c r="E69" s="55"/>
      <c r="F69" s="84">
        <f t="shared" si="2"/>
        <v>7</v>
      </c>
      <c r="G69" s="80"/>
      <c r="H69" s="80"/>
    </row>
    <row r="70" spans="1:8">
      <c r="A70" s="84">
        <v>8</v>
      </c>
      <c r="B70" s="13" t="s">
        <v>139</v>
      </c>
      <c r="C70" s="331"/>
      <c r="D70" s="48"/>
      <c r="E70" s="55"/>
      <c r="F70" s="84">
        <f t="shared" si="2"/>
        <v>8</v>
      </c>
      <c r="G70" s="80"/>
      <c r="H70" s="80"/>
    </row>
    <row r="71" spans="1:8">
      <c r="A71" s="84">
        <v>9</v>
      </c>
      <c r="B71" s="10" t="s">
        <v>140</v>
      </c>
      <c r="C71" s="329">
        <v>1250519.8026715387</v>
      </c>
      <c r="D71" s="48"/>
      <c r="E71" s="46" t="s">
        <v>580</v>
      </c>
      <c r="F71" s="84">
        <f t="shared" si="2"/>
        <v>9</v>
      </c>
      <c r="G71" s="80"/>
      <c r="H71" s="80"/>
    </row>
    <row r="72" spans="1:8">
      <c r="A72" s="84">
        <v>10</v>
      </c>
      <c r="B72" s="10" t="s">
        <v>18</v>
      </c>
      <c r="C72" s="330">
        <v>13927.307498427504</v>
      </c>
      <c r="D72" s="48"/>
      <c r="E72" s="46" t="s">
        <v>581</v>
      </c>
      <c r="F72" s="84">
        <f t="shared" si="2"/>
        <v>10</v>
      </c>
      <c r="G72" s="80"/>
      <c r="H72" s="80"/>
    </row>
    <row r="73" spans="1:8">
      <c r="A73" s="84">
        <v>11</v>
      </c>
      <c r="B73" s="10" t="s">
        <v>141</v>
      </c>
      <c r="C73" s="330">
        <v>17581.43437271372</v>
      </c>
      <c r="D73" s="48"/>
      <c r="E73" s="46" t="s">
        <v>582</v>
      </c>
      <c r="F73" s="84">
        <f t="shared" si="2"/>
        <v>11</v>
      </c>
      <c r="G73" s="80"/>
      <c r="H73" s="80"/>
    </row>
    <row r="74" spans="1:8">
      <c r="A74" s="84">
        <v>12</v>
      </c>
      <c r="B74" s="10" t="s">
        <v>142</v>
      </c>
      <c r="C74" s="702">
        <v>49974.289361791314</v>
      </c>
      <c r="D74" s="48"/>
      <c r="E74" s="46" t="s">
        <v>583</v>
      </c>
      <c r="F74" s="84">
        <f t="shared" si="2"/>
        <v>12</v>
      </c>
      <c r="G74" s="80"/>
      <c r="H74" s="80"/>
    </row>
    <row r="75" spans="1:8">
      <c r="A75" s="84">
        <v>13</v>
      </c>
      <c r="B75" s="273" t="s">
        <v>17</v>
      </c>
      <c r="C75" s="696">
        <f>SUM(C71:C74)</f>
        <v>1332002.8339044712</v>
      </c>
      <c r="D75" s="54"/>
      <c r="E75" s="46" t="s">
        <v>584</v>
      </c>
      <c r="F75" s="84">
        <f t="shared" si="2"/>
        <v>13</v>
      </c>
      <c r="G75" s="80"/>
      <c r="H75" s="80"/>
    </row>
    <row r="76" spans="1:8">
      <c r="A76" s="84">
        <v>14</v>
      </c>
      <c r="B76" s="273"/>
      <c r="C76" s="326"/>
      <c r="D76" s="52"/>
      <c r="E76" s="55"/>
      <c r="F76" s="84">
        <f t="shared" si="2"/>
        <v>14</v>
      </c>
      <c r="G76" s="80"/>
      <c r="H76" s="80"/>
    </row>
    <row r="77" spans="1:8">
      <c r="A77" s="84">
        <v>15</v>
      </c>
      <c r="B77" s="14" t="s">
        <v>120</v>
      </c>
      <c r="C77" s="326"/>
      <c r="D77" s="52"/>
      <c r="E77" s="55"/>
      <c r="F77" s="84">
        <f t="shared" si="2"/>
        <v>15</v>
      </c>
      <c r="G77" s="80"/>
      <c r="H77" s="80"/>
    </row>
    <row r="78" spans="1:8">
      <c r="A78" s="84">
        <v>16</v>
      </c>
      <c r="B78" s="11" t="s">
        <v>19</v>
      </c>
      <c r="C78" s="332">
        <f>C64-C71</f>
        <v>4947387.2084215386</v>
      </c>
      <c r="D78" s="56"/>
      <c r="E78" s="46" t="str">
        <f>"Line "&amp;A64&amp;" Minus Line "&amp;A71</f>
        <v>Line 2 Minus Line 9</v>
      </c>
      <c r="F78" s="84">
        <f t="shared" si="2"/>
        <v>16</v>
      </c>
      <c r="G78" s="80"/>
      <c r="H78" s="80"/>
    </row>
    <row r="79" spans="1:8">
      <c r="A79" s="84">
        <v>17</v>
      </c>
      <c r="B79" s="11" t="s">
        <v>9</v>
      </c>
      <c r="C79" s="333">
        <f>C65-C72</f>
        <v>4191.7006084227396</v>
      </c>
      <c r="D79" s="57"/>
      <c r="E79" s="46" t="str">
        <f>"Line "&amp;A65&amp;" Minus Line "&amp;A72</f>
        <v>Line 3 Minus Line 10</v>
      </c>
      <c r="F79" s="84">
        <f t="shared" si="2"/>
        <v>17</v>
      </c>
      <c r="G79" s="80"/>
      <c r="H79" s="80"/>
    </row>
    <row r="80" spans="1:8">
      <c r="A80" s="84">
        <v>18</v>
      </c>
      <c r="B80" s="11" t="s">
        <v>10</v>
      </c>
      <c r="C80" s="333">
        <f>C66-C73</f>
        <v>29317.665249830297</v>
      </c>
      <c r="D80" s="57"/>
      <c r="E80" s="46" t="str">
        <f>"Line "&amp;A66&amp;" Minus Line "&amp;A73</f>
        <v>Line 4 Minus Line 11</v>
      </c>
      <c r="F80" s="84">
        <f t="shared" si="2"/>
        <v>18</v>
      </c>
    </row>
    <row r="81" spans="1:6">
      <c r="A81" s="84">
        <v>19</v>
      </c>
      <c r="B81" s="11" t="s">
        <v>121</v>
      </c>
      <c r="C81" s="703">
        <f>C67-C74</f>
        <v>55105.899285469299</v>
      </c>
      <c r="D81" s="272"/>
      <c r="E81" s="46" t="str">
        <f>"Line "&amp;A67&amp;" Minus Line "&amp;A74</f>
        <v>Line 5 Minus Line 12</v>
      </c>
      <c r="F81" s="84">
        <f t="shared" si="2"/>
        <v>19</v>
      </c>
    </row>
    <row r="82" spans="1:6" ht="16.5" thickBot="1">
      <c r="A82" s="84">
        <v>20</v>
      </c>
      <c r="B82" s="10" t="s">
        <v>122</v>
      </c>
      <c r="C82" s="704">
        <f>SUM(C78:C81)</f>
        <v>5036002.4735652609</v>
      </c>
      <c r="D82" s="54"/>
      <c r="E82" s="46" t="str">
        <f>"Sum Lines "&amp;A78&amp;" thru "&amp;A81</f>
        <v>Sum Lines 16 thru 19</v>
      </c>
      <c r="F82" s="84">
        <f t="shared" si="2"/>
        <v>20</v>
      </c>
    </row>
    <row r="83" spans="1:6" ht="16.5" thickTop="1">
      <c r="A83" s="84">
        <v>21</v>
      </c>
      <c r="B83" s="41"/>
      <c r="C83" s="54"/>
      <c r="D83" s="54"/>
      <c r="E83" s="55"/>
      <c r="F83" s="84">
        <f t="shared" si="2"/>
        <v>21</v>
      </c>
    </row>
    <row r="84" spans="1:6">
      <c r="A84" s="84">
        <v>22</v>
      </c>
      <c r="B84" s="14" t="s">
        <v>358</v>
      </c>
      <c r="C84" s="54"/>
      <c r="D84" s="54"/>
      <c r="E84" s="55"/>
      <c r="F84" s="84">
        <f t="shared" si="2"/>
        <v>22</v>
      </c>
    </row>
    <row r="85" spans="1:6">
      <c r="A85" s="84">
        <v>23</v>
      </c>
      <c r="B85" s="11" t="s">
        <v>355</v>
      </c>
      <c r="C85" s="439">
        <v>0</v>
      </c>
      <c r="D85" s="54"/>
      <c r="E85" s="46" t="s">
        <v>23</v>
      </c>
      <c r="F85" s="84">
        <f t="shared" si="2"/>
        <v>23</v>
      </c>
    </row>
    <row r="86" spans="1:6">
      <c r="A86" s="84">
        <v>24</v>
      </c>
      <c r="B86" s="10" t="s">
        <v>356</v>
      </c>
      <c r="C86" s="464">
        <v>0</v>
      </c>
      <c r="D86" s="54"/>
      <c r="E86" s="46" t="s">
        <v>23</v>
      </c>
      <c r="F86" s="84">
        <f t="shared" si="2"/>
        <v>24</v>
      </c>
    </row>
    <row r="87" spans="1:6" ht="16.5" thickBot="1">
      <c r="A87" s="84">
        <v>25</v>
      </c>
      <c r="B87" s="11" t="s">
        <v>357</v>
      </c>
      <c r="C87" s="437">
        <f>C85-C86</f>
        <v>0</v>
      </c>
      <c r="D87" s="54"/>
      <c r="E87" s="46" t="str">
        <f>"Line "&amp;A85&amp;" Minus Line "&amp;A86</f>
        <v>Line 23 Minus Line 24</v>
      </c>
      <c r="F87" s="84">
        <f t="shared" si="2"/>
        <v>25</v>
      </c>
    </row>
    <row r="88" spans="1:6" ht="16.5" thickTop="1">
      <c r="A88" s="84"/>
    </row>
  </sheetData>
  <mergeCells count="8">
    <mergeCell ref="B56:E56"/>
    <mergeCell ref="B57:E57"/>
    <mergeCell ref="B3:E3"/>
    <mergeCell ref="B4:E4"/>
    <mergeCell ref="B5:E5"/>
    <mergeCell ref="B6:E6"/>
    <mergeCell ref="B54:E54"/>
    <mergeCell ref="B55:E55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Roman,Bold"&amp;7AS FILED AV-4 WITH COST ADJ INCL. IN APPENDIX XII CYCLE 4 (ER22-133)</oddHeader>
    <oddFooter>&amp;L&amp;F&amp;CPage 13.&amp;P&amp;R&amp;A</oddFooter>
  </headerFooter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318A-364E-456A-B32C-BDE1CECC3F2E}">
  <sheetPr>
    <pageSetUpPr fitToPage="1"/>
  </sheetPr>
  <dimension ref="A1:M58"/>
  <sheetViews>
    <sheetView topLeftCell="A30" zoomScale="80" zoomScaleNormal="80" workbookViewId="0">
      <selection activeCell="B57" sqref="B57"/>
    </sheetView>
  </sheetViews>
  <sheetFormatPr defaultColWidth="8.85546875" defaultRowHeight="15.75"/>
  <cols>
    <col min="1" max="1" width="5.140625" style="101" customWidth="1"/>
    <col min="2" max="2" width="70.5703125" style="1" customWidth="1"/>
    <col min="3" max="3" width="15.140625" style="1" customWidth="1"/>
    <col min="4" max="4" width="1.5703125" style="1" customWidth="1"/>
    <col min="5" max="5" width="21.28515625" style="1" customWidth="1"/>
    <col min="6" max="6" width="1.5703125" style="1" customWidth="1"/>
    <col min="7" max="7" width="12.5703125" style="1" customWidth="1"/>
    <col min="8" max="8" width="40.5703125" style="1" customWidth="1"/>
    <col min="9" max="9" width="5.140625" style="101" customWidth="1"/>
    <col min="10" max="16384" width="8.85546875" style="1"/>
  </cols>
  <sheetData>
    <row r="1" spans="1:11">
      <c r="A1" s="520"/>
      <c r="B1" s="55"/>
      <c r="C1" s="55"/>
      <c r="D1" s="55"/>
      <c r="E1" s="55"/>
      <c r="F1" s="55"/>
      <c r="G1" s="55"/>
      <c r="H1" s="55"/>
      <c r="I1" s="520"/>
    </row>
    <row r="2" spans="1:11">
      <c r="A2" s="520"/>
      <c r="B2" s="777" t="s">
        <v>12</v>
      </c>
      <c r="C2" s="777"/>
      <c r="D2" s="777"/>
      <c r="E2" s="777"/>
      <c r="F2" s="777"/>
      <c r="G2" s="777"/>
      <c r="H2" s="777"/>
      <c r="I2" s="55"/>
    </row>
    <row r="3" spans="1:11">
      <c r="B3" s="777" t="s">
        <v>380</v>
      </c>
      <c r="C3" s="777"/>
      <c r="D3" s="777"/>
      <c r="E3" s="777"/>
      <c r="F3" s="777"/>
      <c r="G3" s="777"/>
      <c r="H3" s="777"/>
      <c r="I3" s="82"/>
    </row>
    <row r="4" spans="1:11">
      <c r="B4" s="777" t="s">
        <v>604</v>
      </c>
      <c r="C4" s="777"/>
      <c r="D4" s="777"/>
      <c r="E4" s="777"/>
      <c r="F4" s="777"/>
      <c r="G4" s="777"/>
      <c r="H4" s="777"/>
      <c r="I4" s="82"/>
    </row>
    <row r="5" spans="1:11">
      <c r="B5" s="777" t="s">
        <v>410</v>
      </c>
      <c r="C5" s="777"/>
      <c r="D5" s="777"/>
      <c r="E5" s="777"/>
      <c r="F5" s="777"/>
      <c r="G5" s="777"/>
      <c r="H5" s="777"/>
      <c r="I5" s="82"/>
    </row>
    <row r="6" spans="1:11">
      <c r="B6" s="778" t="s">
        <v>1</v>
      </c>
      <c r="C6" s="777"/>
      <c r="D6" s="777"/>
      <c r="E6" s="777"/>
      <c r="F6" s="777"/>
      <c r="G6" s="777"/>
      <c r="H6" s="777"/>
      <c r="I6" s="82"/>
    </row>
    <row r="7" spans="1:11">
      <c r="A7" s="520"/>
      <c r="B7" s="55"/>
      <c r="C7" s="45"/>
      <c r="D7" s="45"/>
      <c r="E7" s="45"/>
      <c r="F7" s="45"/>
      <c r="G7" s="45"/>
      <c r="H7" s="45"/>
      <c r="I7" s="520"/>
    </row>
    <row r="8" spans="1:11" ht="16.5" thickBot="1">
      <c r="A8" s="520"/>
      <c r="B8" s="55"/>
      <c r="C8" s="521" t="s">
        <v>411</v>
      </c>
      <c r="D8" s="522"/>
      <c r="E8" s="521" t="s">
        <v>412</v>
      </c>
      <c r="F8" s="522"/>
      <c r="G8" s="521" t="s">
        <v>413</v>
      </c>
      <c r="H8" s="45"/>
      <c r="I8" s="520"/>
    </row>
    <row r="9" spans="1:11" ht="94.5">
      <c r="A9" s="523" t="s">
        <v>2</v>
      </c>
      <c r="B9" s="524"/>
      <c r="C9" s="525" t="s">
        <v>432</v>
      </c>
      <c r="D9" s="55"/>
      <c r="E9" s="526" t="s">
        <v>600</v>
      </c>
      <c r="F9" s="527"/>
      <c r="G9" s="528" t="s">
        <v>414</v>
      </c>
      <c r="H9" s="529"/>
      <c r="I9" s="530" t="s">
        <v>2</v>
      </c>
    </row>
    <row r="10" spans="1:11">
      <c r="A10" s="275" t="s">
        <v>14</v>
      </c>
      <c r="B10" s="531" t="s">
        <v>296</v>
      </c>
      <c r="C10" s="531" t="s">
        <v>21</v>
      </c>
      <c r="D10" s="531"/>
      <c r="E10" s="531" t="s">
        <v>21</v>
      </c>
      <c r="F10" s="531"/>
      <c r="G10" s="532" t="s">
        <v>415</v>
      </c>
      <c r="H10" s="531" t="s">
        <v>6</v>
      </c>
      <c r="I10" s="276" t="s">
        <v>14</v>
      </c>
    </row>
    <row r="11" spans="1:11">
      <c r="A11" s="275"/>
      <c r="B11" s="533"/>
      <c r="C11" s="534"/>
      <c r="D11" s="535"/>
      <c r="E11" s="535"/>
      <c r="F11" s="535"/>
      <c r="G11" s="535"/>
      <c r="H11" s="534"/>
      <c r="I11" s="276"/>
    </row>
    <row r="12" spans="1:11">
      <c r="A12" s="275">
        <v>1</v>
      </c>
      <c r="B12" s="11" t="s">
        <v>103</v>
      </c>
      <c r="C12" s="536">
        <f>'Pg3 Rev App XII C3'!C11</f>
        <v>0</v>
      </c>
      <c r="D12" s="536"/>
      <c r="E12" s="536">
        <f>'Pg4 App XII C3-Cost Adj'!C12</f>
        <v>0</v>
      </c>
      <c r="F12" s="536"/>
      <c r="G12" s="536">
        <f>C12-E12</f>
        <v>0</v>
      </c>
      <c r="H12" s="2" t="s">
        <v>416</v>
      </c>
      <c r="I12" s="276">
        <f>A12</f>
        <v>1</v>
      </c>
      <c r="K12" s="355"/>
    </row>
    <row r="13" spans="1:11">
      <c r="A13" s="275">
        <f>A12+1</f>
        <v>2</v>
      </c>
      <c r="B13" s="10"/>
      <c r="C13" s="537"/>
      <c r="D13" s="537"/>
      <c r="E13" s="537"/>
      <c r="F13" s="537"/>
      <c r="G13" s="537"/>
      <c r="H13" s="55"/>
      <c r="I13" s="276">
        <f>I12+1</f>
        <v>2</v>
      </c>
    </row>
    <row r="14" spans="1:11">
      <c r="A14" s="275">
        <f t="shared" ref="A14:A29" si="0">A13+1</f>
        <v>3</v>
      </c>
      <c r="B14" s="11" t="s">
        <v>104</v>
      </c>
      <c r="C14" s="721">
        <f>'Pg3 Rev App XII C3'!C13</f>
        <v>827.65188493136407</v>
      </c>
      <c r="D14" s="538" t="s">
        <v>417</v>
      </c>
      <c r="E14" s="735">
        <f>'Pg4 App XII C3-Cost Adj'!C14</f>
        <v>826.58556167020424</v>
      </c>
      <c r="F14" s="539"/>
      <c r="G14" s="540">
        <f>C14-E14</f>
        <v>1.0663232611598232</v>
      </c>
      <c r="H14" s="2" t="s">
        <v>418</v>
      </c>
      <c r="I14" s="276">
        <f t="shared" ref="I14:I29" si="1">I13+1</f>
        <v>3</v>
      </c>
      <c r="K14" s="356"/>
    </row>
    <row r="15" spans="1:11">
      <c r="A15" s="275">
        <f t="shared" si="0"/>
        <v>4</v>
      </c>
      <c r="B15" s="10"/>
      <c r="C15" s="537"/>
      <c r="D15" s="537"/>
      <c r="E15" s="537"/>
      <c r="F15" s="537"/>
      <c r="G15" s="537"/>
      <c r="H15" s="541"/>
      <c r="I15" s="276">
        <f t="shared" si="1"/>
        <v>4</v>
      </c>
    </row>
    <row r="16" spans="1:11">
      <c r="A16" s="275">
        <f t="shared" si="0"/>
        <v>5</v>
      </c>
      <c r="B16" s="11" t="s">
        <v>105</v>
      </c>
      <c r="C16" s="349">
        <f>'Pg3 Rev App XII C3'!C15</f>
        <v>7.6948476412275824</v>
      </c>
      <c r="D16" s="344"/>
      <c r="E16" s="349">
        <f>'Pg4 App XII C3-Cost Adj'!C16</f>
        <v>7.6948476412275824</v>
      </c>
      <c r="F16" s="344"/>
      <c r="G16" s="349">
        <f>C16-E16</f>
        <v>0</v>
      </c>
      <c r="H16" s="2" t="s">
        <v>419</v>
      </c>
      <c r="I16" s="276">
        <f t="shared" si="1"/>
        <v>5</v>
      </c>
      <c r="K16" s="356"/>
    </row>
    <row r="17" spans="1:13">
      <c r="A17" s="275">
        <f t="shared" si="0"/>
        <v>6</v>
      </c>
      <c r="B17" s="41"/>
      <c r="C17" s="344"/>
      <c r="D17" s="344"/>
      <c r="E17" s="344"/>
      <c r="F17" s="344"/>
      <c r="G17" s="344"/>
      <c r="H17" s="334"/>
      <c r="I17" s="276">
        <f t="shared" si="1"/>
        <v>6</v>
      </c>
      <c r="K17" s="356"/>
    </row>
    <row r="18" spans="1:13">
      <c r="A18" s="275">
        <f t="shared" si="0"/>
        <v>7</v>
      </c>
      <c r="B18" s="542" t="s">
        <v>420</v>
      </c>
      <c r="C18" s="543">
        <f>C12+C14+C16</f>
        <v>835.34673257259169</v>
      </c>
      <c r="D18" s="538" t="s">
        <v>417</v>
      </c>
      <c r="E18" s="343">
        <f>E12+E14+E16</f>
        <v>834.28040931143187</v>
      </c>
      <c r="F18" s="539"/>
      <c r="G18" s="543">
        <f>G12+G14+G16</f>
        <v>1.0663232611598232</v>
      </c>
      <c r="H18" s="70" t="str">
        <f>"Sum Lines "&amp;A12&amp;", "&amp;A14&amp;", "&amp;A16</f>
        <v>Sum Lines 1, 3, 5</v>
      </c>
      <c r="I18" s="276">
        <f t="shared" si="1"/>
        <v>7</v>
      </c>
      <c r="K18" s="356"/>
    </row>
    <row r="19" spans="1:13">
      <c r="A19" s="275">
        <f t="shared" si="0"/>
        <v>8</v>
      </c>
      <c r="B19" s="41"/>
      <c r="C19" s="537"/>
      <c r="D19" s="537"/>
      <c r="E19" s="537"/>
      <c r="F19" s="537"/>
      <c r="G19" s="537"/>
      <c r="H19" s="417"/>
      <c r="I19" s="276">
        <f t="shared" si="1"/>
        <v>8</v>
      </c>
    </row>
    <row r="20" spans="1:13">
      <c r="A20" s="275">
        <f t="shared" si="0"/>
        <v>9</v>
      </c>
      <c r="B20" s="11" t="s">
        <v>234</v>
      </c>
      <c r="C20" s="721">
        <f>'Pg3 Rev App XII C3'!C19</f>
        <v>-44.168808664247578</v>
      </c>
      <c r="D20" s="538" t="s">
        <v>417</v>
      </c>
      <c r="E20" s="736">
        <f>'Pg4 App XII C3-Cost Adj'!C20</f>
        <v>-44.800881593981615</v>
      </c>
      <c r="F20" s="539"/>
      <c r="G20" s="540">
        <f>C20-E20</f>
        <v>0.63207292973403639</v>
      </c>
      <c r="H20" s="2" t="s">
        <v>421</v>
      </c>
      <c r="I20" s="276">
        <f t="shared" si="1"/>
        <v>9</v>
      </c>
    </row>
    <row r="21" spans="1:13">
      <c r="A21" s="275">
        <f t="shared" si="0"/>
        <v>10</v>
      </c>
      <c r="B21" s="11"/>
      <c r="C21" s="537"/>
      <c r="D21" s="537"/>
      <c r="E21" s="537"/>
      <c r="F21" s="537"/>
      <c r="G21" s="537"/>
      <c r="H21" s="544"/>
      <c r="I21" s="276">
        <f t="shared" si="1"/>
        <v>10</v>
      </c>
    </row>
    <row r="22" spans="1:13">
      <c r="A22" s="275">
        <f t="shared" si="0"/>
        <v>11</v>
      </c>
      <c r="B22" s="11" t="s">
        <v>106</v>
      </c>
      <c r="C22" s="349">
        <f>'Pg3 Rev App XII C3'!C21</f>
        <v>0</v>
      </c>
      <c r="D22" s="344"/>
      <c r="E22" s="349">
        <f>'Pg4 App XII C3-Cost Adj'!C22</f>
        <v>0</v>
      </c>
      <c r="F22" s="344"/>
      <c r="G22" s="349">
        <f>C22-E22</f>
        <v>0</v>
      </c>
      <c r="H22" s="2" t="s">
        <v>422</v>
      </c>
      <c r="I22" s="276">
        <f t="shared" si="1"/>
        <v>11</v>
      </c>
    </row>
    <row r="23" spans="1:13">
      <c r="A23" s="275">
        <f t="shared" si="0"/>
        <v>12</v>
      </c>
      <c r="B23" s="41"/>
      <c r="C23" s="90"/>
      <c r="D23" s="90"/>
      <c r="E23" s="90"/>
      <c r="F23" s="90"/>
      <c r="G23" s="90"/>
      <c r="H23" s="70"/>
      <c r="I23" s="276">
        <f t="shared" si="1"/>
        <v>12</v>
      </c>
    </row>
    <row r="24" spans="1:13">
      <c r="A24" s="275">
        <f t="shared" si="0"/>
        <v>13</v>
      </c>
      <c r="B24" s="41" t="s">
        <v>297</v>
      </c>
      <c r="C24" s="545">
        <f>C18+C20+C22</f>
        <v>791.17792390834416</v>
      </c>
      <c r="D24" s="538" t="s">
        <v>417</v>
      </c>
      <c r="E24" s="285">
        <f>E18+E20+E22</f>
        <v>789.47952771745031</v>
      </c>
      <c r="F24" s="539"/>
      <c r="G24" s="545">
        <f>G18+G20+G22</f>
        <v>1.6983961908938596</v>
      </c>
      <c r="H24" s="70" t="str">
        <f>"Sum Lines "&amp;A18&amp;", "&amp;A20&amp;", "&amp;A22</f>
        <v>Sum Lines 7, 9, 11</v>
      </c>
      <c r="I24" s="276">
        <f t="shared" si="1"/>
        <v>13</v>
      </c>
      <c r="K24" s="356"/>
    </row>
    <row r="25" spans="1:13">
      <c r="A25" s="275">
        <f t="shared" si="0"/>
        <v>14</v>
      </c>
      <c r="B25" s="386"/>
      <c r="C25" s="103"/>
      <c r="D25" s="103"/>
      <c r="E25" s="103"/>
      <c r="F25" s="103"/>
      <c r="G25" s="103"/>
      <c r="H25" s="70"/>
      <c r="I25" s="276">
        <f t="shared" si="1"/>
        <v>14</v>
      </c>
      <c r="K25" s="356"/>
    </row>
    <row r="26" spans="1:13">
      <c r="A26" s="275">
        <f t="shared" si="0"/>
        <v>15</v>
      </c>
      <c r="B26" s="11" t="s">
        <v>298</v>
      </c>
      <c r="C26" s="286">
        <f>'Pg3 Rev App XII C3'!C25</f>
        <v>0</v>
      </c>
      <c r="D26" s="103"/>
      <c r="E26" s="286">
        <f>'Pg4 App XII C3-Cost Adj'!C26</f>
        <v>0</v>
      </c>
      <c r="F26" s="103"/>
      <c r="G26" s="286"/>
      <c r="H26" s="2" t="s">
        <v>423</v>
      </c>
      <c r="I26" s="276">
        <f t="shared" si="1"/>
        <v>15</v>
      </c>
      <c r="K26" s="356"/>
    </row>
    <row r="27" spans="1:13">
      <c r="A27" s="275">
        <f t="shared" si="0"/>
        <v>16</v>
      </c>
      <c r="B27" s="45"/>
      <c r="C27" s="546"/>
      <c r="D27" s="546"/>
      <c r="E27" s="546"/>
      <c r="F27" s="546"/>
      <c r="G27" s="547"/>
      <c r="H27" s="70"/>
      <c r="I27" s="276">
        <f t="shared" si="1"/>
        <v>16</v>
      </c>
    </row>
    <row r="28" spans="1:13" ht="16.5" thickBot="1">
      <c r="A28" s="275">
        <f t="shared" si="0"/>
        <v>17</v>
      </c>
      <c r="B28" s="542" t="s">
        <v>299</v>
      </c>
      <c r="C28" s="548">
        <f>C24+C26</f>
        <v>791.17792390834416</v>
      </c>
      <c r="D28" s="538" t="s">
        <v>417</v>
      </c>
      <c r="E28" s="549">
        <f>E24+E26</f>
        <v>789.47952771745031</v>
      </c>
      <c r="F28" s="539"/>
      <c r="G28" s="550">
        <f>C28-E28</f>
        <v>1.6983961908938454</v>
      </c>
      <c r="H28" s="70" t="str">
        <f>"Line "&amp;A24&amp;" + Line "&amp;A26</f>
        <v>Line 13 + Line 15</v>
      </c>
      <c r="I28" s="276">
        <f t="shared" si="1"/>
        <v>17</v>
      </c>
      <c r="L28" s="355"/>
      <c r="M28" s="357"/>
    </row>
    <row r="29" spans="1:13" ht="17.25" thickTop="1" thickBot="1">
      <c r="A29" s="275">
        <f t="shared" si="0"/>
        <v>18</v>
      </c>
      <c r="B29" s="551"/>
      <c r="C29" s="552"/>
      <c r="D29" s="551"/>
      <c r="E29" s="551"/>
      <c r="F29" s="551"/>
      <c r="G29" s="551"/>
      <c r="H29" s="551"/>
      <c r="I29" s="276">
        <f t="shared" si="1"/>
        <v>18</v>
      </c>
    </row>
    <row r="31" spans="1:13" ht="16.5" thickBot="1">
      <c r="A31" s="520"/>
      <c r="B31" s="182"/>
      <c r="C31" s="553"/>
      <c r="D31" s="553"/>
      <c r="E31" s="553"/>
      <c r="F31" s="553"/>
      <c r="G31" s="553"/>
      <c r="H31" s="553"/>
      <c r="I31" s="520"/>
    </row>
    <row r="32" spans="1:13" ht="94.5">
      <c r="A32" s="523" t="s">
        <v>2</v>
      </c>
      <c r="B32" s="55"/>
      <c r="C32" s="554" t="str">
        <f>C9</f>
        <v>Revised - Appendix XII Cycle 3</v>
      </c>
      <c r="D32" s="55"/>
      <c r="E32" s="555" t="str">
        <f>E9</f>
        <v>As Filed - Appendix XII Cycle 3 per ER21-320 and Cost Adj. incl. in Appendix XII Cycle 4 per ER22-133</v>
      </c>
      <c r="F32" s="55"/>
      <c r="G32" s="55" t="str">
        <f>G9</f>
        <v>Difference</v>
      </c>
      <c r="H32" s="55"/>
      <c r="I32" s="530" t="s">
        <v>2</v>
      </c>
    </row>
    <row r="33" spans="1:10">
      <c r="A33" s="275" t="s">
        <v>14</v>
      </c>
      <c r="B33" s="531" t="s">
        <v>300</v>
      </c>
      <c r="C33" s="531" t="str">
        <f>C10</f>
        <v>Amounts</v>
      </c>
      <c r="D33" s="531"/>
      <c r="E33" s="531" t="str">
        <f>E10</f>
        <v>Amounts</v>
      </c>
      <c r="F33" s="531"/>
      <c r="G33" s="531" t="str">
        <f>G10</f>
        <v>Incr (Decr)</v>
      </c>
      <c r="H33" s="531" t="str">
        <f>H10</f>
        <v>Reference</v>
      </c>
      <c r="I33" s="276" t="s">
        <v>14</v>
      </c>
    </row>
    <row r="34" spans="1:10">
      <c r="A34" s="275">
        <f>A29+1</f>
        <v>19</v>
      </c>
      <c r="B34" s="45"/>
      <c r="C34" s="534"/>
      <c r="D34" s="535"/>
      <c r="E34" s="535"/>
      <c r="F34" s="535"/>
      <c r="G34" s="535"/>
      <c r="H34" s="534"/>
      <c r="I34" s="276">
        <f>I29+1</f>
        <v>19</v>
      </c>
    </row>
    <row r="35" spans="1:10">
      <c r="A35" s="275">
        <f>A34+1</f>
        <v>20</v>
      </c>
      <c r="B35" s="11" t="str">
        <f>B12</f>
        <v>Section 1 - Direct Maintenance Expense Cost Component</v>
      </c>
      <c r="C35" s="556">
        <f>'Pg3 Rev App XII C3'!C34</f>
        <v>0</v>
      </c>
      <c r="D35" s="556"/>
      <c r="E35" s="556">
        <f>'Pg4 App XII C3-Cost Adj'!C35</f>
        <v>0</v>
      </c>
      <c r="F35" s="556"/>
      <c r="G35" s="556">
        <f>C35-E35</f>
        <v>0</v>
      </c>
      <c r="H35" s="2" t="s">
        <v>424</v>
      </c>
      <c r="I35" s="276">
        <f>I34+1</f>
        <v>20</v>
      </c>
    </row>
    <row r="36" spans="1:10">
      <c r="A36" s="275">
        <f t="shared" ref="A36:A54" si="2">A35+1</f>
        <v>21</v>
      </c>
      <c r="B36" s="10"/>
      <c r="C36" s="557"/>
      <c r="D36" s="557"/>
      <c r="E36" s="557"/>
      <c r="F36" s="557"/>
      <c r="G36" s="557"/>
      <c r="H36" s="46"/>
      <c r="I36" s="276">
        <f t="shared" ref="I36:I54" si="3">I35+1</f>
        <v>21</v>
      </c>
    </row>
    <row r="37" spans="1:10">
      <c r="A37" s="275">
        <f t="shared" si="2"/>
        <v>22</v>
      </c>
      <c r="B37" s="11" t="str">
        <f>B14</f>
        <v>Section 2 - Non-Direct Expense Cost Component</v>
      </c>
      <c r="C37" s="558">
        <f>'Pg3 Rev App XII C3'!C36</f>
        <v>68.97099041094701</v>
      </c>
      <c r="D37" s="538" t="s">
        <v>417</v>
      </c>
      <c r="E37" s="559">
        <f>'Pg4 App XII C3-Cost Adj'!C37</f>
        <v>68.882130139183687</v>
      </c>
      <c r="F37" s="539"/>
      <c r="G37" s="560">
        <f>C37-E37</f>
        <v>8.886027176332334E-2</v>
      </c>
      <c r="H37" s="2" t="s">
        <v>425</v>
      </c>
      <c r="I37" s="276">
        <f t="shared" si="3"/>
        <v>22</v>
      </c>
    </row>
    <row r="38" spans="1:10">
      <c r="A38" s="275">
        <f t="shared" si="2"/>
        <v>23</v>
      </c>
      <c r="B38" s="10"/>
      <c r="C38" s="262"/>
      <c r="D38" s="561"/>
      <c r="E38" s="561"/>
      <c r="F38" s="561"/>
      <c r="G38" s="561"/>
      <c r="H38" s="562"/>
      <c r="I38" s="276">
        <f t="shared" si="3"/>
        <v>23</v>
      </c>
    </row>
    <row r="39" spans="1:10">
      <c r="A39" s="275">
        <f t="shared" si="2"/>
        <v>24</v>
      </c>
      <c r="B39" s="11" t="str">
        <f>B16</f>
        <v>Section 3 - Cost Component Containing Other Specific Expenses</v>
      </c>
      <c r="C39" s="563">
        <f>'Pg3 Rev App XII C3'!C38</f>
        <v>0.6412373034356319</v>
      </c>
      <c r="D39" s="538"/>
      <c r="E39" s="563">
        <f>'Pg4 App XII C3-Cost Adj'!C39</f>
        <v>0.6412373034356319</v>
      </c>
      <c r="F39" s="564"/>
      <c r="G39" s="565">
        <f>C39-E39</f>
        <v>0</v>
      </c>
      <c r="H39" s="2" t="s">
        <v>426</v>
      </c>
      <c r="I39" s="276">
        <f t="shared" si="3"/>
        <v>24</v>
      </c>
    </row>
    <row r="40" spans="1:10">
      <c r="A40" s="275">
        <f t="shared" si="2"/>
        <v>25</v>
      </c>
      <c r="B40" s="41"/>
      <c r="C40" s="561"/>
      <c r="D40" s="561"/>
      <c r="E40" s="561"/>
      <c r="F40" s="561"/>
      <c r="G40" s="561"/>
      <c r="H40" s="334"/>
      <c r="I40" s="276">
        <f t="shared" si="3"/>
        <v>25</v>
      </c>
    </row>
    <row r="41" spans="1:10">
      <c r="A41" s="275">
        <f t="shared" si="2"/>
        <v>26</v>
      </c>
      <c r="B41" s="542" t="s">
        <v>427</v>
      </c>
      <c r="C41" s="566">
        <f>C35+C37+C39</f>
        <v>69.612227714382641</v>
      </c>
      <c r="D41" s="538" t="s">
        <v>417</v>
      </c>
      <c r="E41" s="567">
        <f>E35+E37+E39</f>
        <v>69.523367442619318</v>
      </c>
      <c r="F41" s="539"/>
      <c r="G41" s="568">
        <f>C41-E41</f>
        <v>8.886027176332334E-2</v>
      </c>
      <c r="H41" s="70" t="str">
        <f>"Sum Lines "&amp;A35&amp;", "&amp;A37&amp;", "&amp;A39</f>
        <v>Sum Lines 20, 22, 24</v>
      </c>
      <c r="I41" s="276">
        <f t="shared" si="3"/>
        <v>26</v>
      </c>
    </row>
    <row r="42" spans="1:10">
      <c r="A42" s="275">
        <f t="shared" si="2"/>
        <v>27</v>
      </c>
      <c r="B42" s="45"/>
      <c r="C42" s="262"/>
      <c r="D42" s="561"/>
      <c r="E42" s="561"/>
      <c r="F42" s="561"/>
      <c r="G42" s="561"/>
      <c r="H42" s="541"/>
      <c r="I42" s="276">
        <f t="shared" si="3"/>
        <v>27</v>
      </c>
    </row>
    <row r="43" spans="1:10">
      <c r="A43" s="275">
        <f t="shared" si="2"/>
        <v>28</v>
      </c>
      <c r="B43" s="11" t="str">
        <f>LEFT(B20,45)</f>
        <v>Section 4 - True-Up Adjustment Cost Component</v>
      </c>
      <c r="C43" s="558">
        <f>'Pg3 Rev App XII C3'!C42</f>
        <v>-3.6807340553539647</v>
      </c>
      <c r="D43" s="538" t="s">
        <v>417</v>
      </c>
      <c r="E43" s="569">
        <f>'Pg4 App XII C3-Cost Adj'!C43</f>
        <v>-3.7334067994984679</v>
      </c>
      <c r="F43" s="539"/>
      <c r="G43" s="560">
        <f>C43-E43</f>
        <v>5.2672744144503181E-2</v>
      </c>
      <c r="H43" s="2" t="s">
        <v>428</v>
      </c>
      <c r="I43" s="276">
        <f t="shared" si="3"/>
        <v>28</v>
      </c>
      <c r="J43" s="570"/>
    </row>
    <row r="44" spans="1:10">
      <c r="A44" s="275">
        <f t="shared" si="2"/>
        <v>29</v>
      </c>
      <c r="B44" s="11"/>
      <c r="C44" s="262"/>
      <c r="D44" s="561"/>
      <c r="E44" s="561"/>
      <c r="F44" s="561"/>
      <c r="G44" s="561"/>
      <c r="H44" s="571"/>
      <c r="I44" s="276">
        <f t="shared" si="3"/>
        <v>29</v>
      </c>
    </row>
    <row r="45" spans="1:10">
      <c r="A45" s="275">
        <f t="shared" si="2"/>
        <v>30</v>
      </c>
      <c r="B45" s="11" t="str">
        <f>B22</f>
        <v>Section 5 - Interest True-Up Adjustment Cost Component</v>
      </c>
      <c r="C45" s="564">
        <f>'Pg3 Rev App XII C3'!C44</f>
        <v>0</v>
      </c>
      <c r="D45" s="564"/>
      <c r="E45" s="564">
        <f>'Pg4 App XII C3-Cost Adj'!C45</f>
        <v>0</v>
      </c>
      <c r="F45" s="564"/>
      <c r="G45" s="564">
        <f>C45-E45</f>
        <v>0</v>
      </c>
      <c r="H45" s="2" t="s">
        <v>429</v>
      </c>
      <c r="I45" s="276">
        <f t="shared" si="3"/>
        <v>30</v>
      </c>
    </row>
    <row r="46" spans="1:10">
      <c r="A46" s="275">
        <f t="shared" si="2"/>
        <v>31</v>
      </c>
      <c r="B46" s="41"/>
      <c r="C46" s="8"/>
      <c r="D46" s="6"/>
      <c r="E46" s="6"/>
      <c r="F46" s="6"/>
      <c r="G46" s="6"/>
      <c r="H46" s="387"/>
      <c r="I46" s="276">
        <f t="shared" si="3"/>
        <v>31</v>
      </c>
    </row>
    <row r="47" spans="1:10">
      <c r="A47" s="275">
        <f t="shared" si="2"/>
        <v>32</v>
      </c>
      <c r="B47" s="11" t="str">
        <f>B26</f>
        <v>Other Adjustments</v>
      </c>
      <c r="C47" s="563">
        <f>'Pg3 Rev App XII C3'!C46</f>
        <v>0</v>
      </c>
      <c r="D47" s="564"/>
      <c r="E47" s="563">
        <f>'Pg4 App XII C3-Cost Adj'!C47</f>
        <v>0</v>
      </c>
      <c r="F47" s="564"/>
      <c r="G47" s="563">
        <f>C47-E47</f>
        <v>0</v>
      </c>
      <c r="H47" s="2" t="s">
        <v>430</v>
      </c>
      <c r="I47" s="276">
        <f t="shared" si="3"/>
        <v>32</v>
      </c>
    </row>
    <row r="48" spans="1:10">
      <c r="A48" s="275">
        <f t="shared" si="2"/>
        <v>33</v>
      </c>
      <c r="B48" s="41"/>
      <c r="C48" s="8"/>
      <c r="D48" s="6"/>
      <c r="E48" s="6"/>
      <c r="F48" s="6"/>
      <c r="G48" s="6"/>
      <c r="H48" s="387"/>
      <c r="I48" s="276">
        <f t="shared" si="3"/>
        <v>33</v>
      </c>
    </row>
    <row r="49" spans="1:9">
      <c r="A49" s="275">
        <f t="shared" si="2"/>
        <v>34</v>
      </c>
      <c r="B49" s="41" t="s">
        <v>301</v>
      </c>
      <c r="C49" s="572">
        <f>C41+C43+C45+C47</f>
        <v>65.931493659028675</v>
      </c>
      <c r="D49" s="538" t="s">
        <v>417</v>
      </c>
      <c r="E49" s="573">
        <f>E41+E43+E45+E47</f>
        <v>65.78996064312085</v>
      </c>
      <c r="F49" s="539"/>
      <c r="G49" s="572">
        <f>G41+G43+G45+G47</f>
        <v>0.14153301590782652</v>
      </c>
      <c r="H49" s="70" t="str">
        <f>"Sum Lines "&amp;A41&amp;", "&amp;A43&amp;", "&amp;A45&amp;", "&amp;A47</f>
        <v>Sum Lines 26, 28, 30, 32</v>
      </c>
      <c r="I49" s="276">
        <f t="shared" si="3"/>
        <v>34</v>
      </c>
    </row>
    <row r="50" spans="1:9">
      <c r="A50" s="275">
        <f t="shared" si="2"/>
        <v>35</v>
      </c>
      <c r="B50" s="45"/>
      <c r="C50" s="574"/>
      <c r="D50" s="575"/>
      <c r="E50" s="575"/>
      <c r="F50" s="575"/>
      <c r="G50" s="575"/>
      <c r="H50" s="576"/>
      <c r="I50" s="276">
        <f t="shared" si="3"/>
        <v>35</v>
      </c>
    </row>
    <row r="51" spans="1:9">
      <c r="A51" s="275">
        <f t="shared" si="2"/>
        <v>36</v>
      </c>
      <c r="B51" s="10" t="s">
        <v>245</v>
      </c>
      <c r="C51" s="578">
        <f>'Pg3 Rev App XII C3'!C50</f>
        <v>12</v>
      </c>
      <c r="D51" s="577"/>
      <c r="E51" s="578">
        <f>'Pg4 App XII C3-Cost Adj'!C51</f>
        <v>12</v>
      </c>
      <c r="F51" s="577"/>
      <c r="G51" s="578">
        <f>C51-E51</f>
        <v>0</v>
      </c>
      <c r="H51" s="2" t="s">
        <v>603</v>
      </c>
      <c r="I51" s="276">
        <f t="shared" si="3"/>
        <v>36</v>
      </c>
    </row>
    <row r="52" spans="1:9">
      <c r="A52" s="275">
        <f t="shared" si="2"/>
        <v>37</v>
      </c>
      <c r="B52" s="45"/>
      <c r="C52" s="574"/>
      <c r="D52" s="575"/>
      <c r="E52" s="575"/>
      <c r="F52" s="575"/>
      <c r="G52" s="575"/>
      <c r="H52" s="579"/>
      <c r="I52" s="276">
        <f t="shared" si="3"/>
        <v>37</v>
      </c>
    </row>
    <row r="53" spans="1:9" ht="16.5" thickBot="1">
      <c r="A53" s="275">
        <f t="shared" si="2"/>
        <v>38</v>
      </c>
      <c r="B53" s="542" t="str">
        <f>B28</f>
        <v>Total Annual Costs</v>
      </c>
      <c r="C53" s="580">
        <f>C49*C51</f>
        <v>791.17792390834416</v>
      </c>
      <c r="D53" s="538" t="s">
        <v>417</v>
      </c>
      <c r="E53" s="581">
        <f>E49*E51</f>
        <v>789.4795277174502</v>
      </c>
      <c r="F53" s="539"/>
      <c r="G53" s="550">
        <f>C53-E53</f>
        <v>1.6983961908939591</v>
      </c>
      <c r="H53" s="2" t="s">
        <v>431</v>
      </c>
      <c r="I53" s="276">
        <f t="shared" si="3"/>
        <v>38</v>
      </c>
    </row>
    <row r="54" spans="1:9" ht="17.25" thickTop="1" thickBot="1">
      <c r="A54" s="275">
        <f t="shared" si="2"/>
        <v>39</v>
      </c>
      <c r="B54" s="551"/>
      <c r="C54" s="582"/>
      <c r="D54" s="583"/>
      <c r="E54" s="583"/>
      <c r="F54" s="583"/>
      <c r="G54" s="583"/>
      <c r="H54" s="584"/>
      <c r="I54" s="276">
        <f t="shared" si="3"/>
        <v>39</v>
      </c>
    </row>
    <row r="57" spans="1:9">
      <c r="A57" s="538" t="s">
        <v>417</v>
      </c>
      <c r="B57" s="5" t="s">
        <v>628</v>
      </c>
    </row>
    <row r="58" spans="1:9">
      <c r="B58" s="5" t="s">
        <v>629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55" orientation="portrait" r:id="rId1"/>
  <headerFooter scaleWithDoc="0" alignWithMargins="0">
    <oddFooter>&amp;L&amp;F&amp;CPage 2&amp;R&amp;A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E3A6-6CB7-4A2A-B554-3BD8340E36E2}">
  <sheetPr>
    <pageSetUpPr fitToPage="1"/>
  </sheetPr>
  <dimension ref="A1:J83"/>
  <sheetViews>
    <sheetView zoomScale="80" zoomScaleNormal="80" workbookViewId="0"/>
  </sheetViews>
  <sheetFormatPr defaultColWidth="9.140625" defaultRowHeight="15.75"/>
  <cols>
    <col min="1" max="1" width="5.140625" style="78" customWidth="1"/>
    <col min="2" max="2" width="12.5703125" style="87" customWidth="1"/>
    <col min="3" max="3" width="20" style="87" customWidth="1"/>
    <col min="4" max="8" width="21.5703125" style="87" customWidth="1"/>
    <col min="9" max="9" width="5.140625" style="78" customWidth="1"/>
    <col min="10" max="10" width="13.5703125" style="87" customWidth="1"/>
    <col min="11" max="11" width="12.5703125" style="87" customWidth="1"/>
    <col min="12" max="16384" width="9.140625" style="87"/>
  </cols>
  <sheetData>
    <row r="1" spans="1:9">
      <c r="D1" s="706"/>
    </row>
    <row r="2" spans="1:9">
      <c r="B2" s="799" t="s">
        <v>12</v>
      </c>
      <c r="C2" s="799"/>
      <c r="D2" s="799"/>
      <c r="E2" s="799"/>
      <c r="F2" s="799"/>
      <c r="G2" s="799"/>
      <c r="H2" s="799"/>
      <c r="I2" s="339"/>
    </row>
    <row r="3" spans="1:9">
      <c r="B3" s="799" t="s">
        <v>380</v>
      </c>
      <c r="C3" s="799"/>
      <c r="D3" s="799"/>
      <c r="E3" s="799"/>
      <c r="F3" s="799"/>
      <c r="G3" s="799"/>
      <c r="H3" s="799"/>
      <c r="I3" s="339"/>
    </row>
    <row r="4" spans="1:9">
      <c r="B4" s="800" t="s">
        <v>602</v>
      </c>
      <c r="C4" s="800"/>
      <c r="D4" s="800"/>
      <c r="E4" s="800"/>
      <c r="F4" s="800"/>
      <c r="G4" s="800"/>
      <c r="H4" s="800"/>
      <c r="I4" s="339"/>
    </row>
    <row r="5" spans="1:9">
      <c r="B5" s="800" t="s">
        <v>595</v>
      </c>
      <c r="C5" s="800"/>
      <c r="D5" s="800"/>
      <c r="E5" s="800"/>
      <c r="F5" s="800"/>
      <c r="G5" s="800"/>
      <c r="H5" s="800"/>
      <c r="I5" s="339"/>
    </row>
    <row r="6" spans="1:9">
      <c r="B6" s="801" t="s">
        <v>1</v>
      </c>
      <c r="C6" s="801"/>
      <c r="D6" s="801"/>
      <c r="E6" s="801"/>
      <c r="F6" s="801"/>
      <c r="G6" s="801"/>
      <c r="H6" s="801"/>
      <c r="I6" s="339"/>
    </row>
    <row r="7" spans="1:9">
      <c r="A7" s="339"/>
      <c r="B7" s="339"/>
      <c r="C7" s="339"/>
      <c r="D7" s="339"/>
      <c r="E7" s="339"/>
      <c r="F7" s="339"/>
      <c r="G7" s="339"/>
      <c r="H7" s="339"/>
      <c r="I7" s="339"/>
    </row>
    <row r="8" spans="1:9">
      <c r="A8" s="101" t="s">
        <v>2</v>
      </c>
      <c r="B8" s="203"/>
      <c r="I8" s="101" t="s">
        <v>2</v>
      </c>
    </row>
    <row r="9" spans="1:9">
      <c r="A9" s="418" t="s">
        <v>14</v>
      </c>
      <c r="B9" s="203"/>
      <c r="I9" s="418" t="s">
        <v>14</v>
      </c>
    </row>
    <row r="10" spans="1:9">
      <c r="A10" s="101">
        <v>1</v>
      </c>
      <c r="C10" s="340" t="s">
        <v>246</v>
      </c>
      <c r="D10" s="340" t="s">
        <v>247</v>
      </c>
      <c r="E10" s="340" t="s">
        <v>248</v>
      </c>
      <c r="F10" s="340" t="s">
        <v>249</v>
      </c>
      <c r="G10" s="340" t="s">
        <v>250</v>
      </c>
      <c r="H10" s="340" t="s">
        <v>251</v>
      </c>
      <c r="I10" s="101">
        <v>1</v>
      </c>
    </row>
    <row r="11" spans="1:9">
      <c r="A11" s="101">
        <f t="shared" ref="A11:A69" si="0">A10+1</f>
        <v>2</v>
      </c>
      <c r="B11" s="707" t="s">
        <v>257</v>
      </c>
      <c r="C11" s="101"/>
      <c r="D11" s="191" t="s">
        <v>586</v>
      </c>
      <c r="E11" s="101"/>
      <c r="F11" s="101" t="s">
        <v>587</v>
      </c>
      <c r="G11" s="101" t="s">
        <v>588</v>
      </c>
      <c r="H11" s="191" t="s">
        <v>589</v>
      </c>
      <c r="I11" s="101">
        <f t="shared" ref="I11:I69" si="1">I10+1</f>
        <v>2</v>
      </c>
    </row>
    <row r="12" spans="1:9">
      <c r="A12" s="101">
        <f t="shared" si="0"/>
        <v>3</v>
      </c>
      <c r="C12" s="340"/>
      <c r="F12" s="183" t="s">
        <v>258</v>
      </c>
      <c r="H12" s="183" t="s">
        <v>258</v>
      </c>
      <c r="I12" s="101">
        <f t="shared" si="1"/>
        <v>3</v>
      </c>
    </row>
    <row r="13" spans="1:9">
      <c r="A13" s="101">
        <f t="shared" si="0"/>
        <v>4</v>
      </c>
      <c r="C13" s="340"/>
      <c r="D13" s="183" t="s">
        <v>259</v>
      </c>
      <c r="E13" s="183"/>
      <c r="F13" s="183" t="s">
        <v>260</v>
      </c>
      <c r="H13" s="183" t="s">
        <v>260</v>
      </c>
      <c r="I13" s="101">
        <f t="shared" si="1"/>
        <v>4</v>
      </c>
    </row>
    <row r="14" spans="1:9">
      <c r="A14" s="101">
        <f t="shared" si="0"/>
        <v>5</v>
      </c>
      <c r="C14" s="183"/>
      <c r="D14" s="183" t="s">
        <v>260</v>
      </c>
      <c r="E14" s="183" t="s">
        <v>259</v>
      </c>
      <c r="F14" s="183" t="s">
        <v>263</v>
      </c>
      <c r="H14" s="183" t="s">
        <v>263</v>
      </c>
      <c r="I14" s="101">
        <f t="shared" si="1"/>
        <v>5</v>
      </c>
    </row>
    <row r="15" spans="1:9">
      <c r="A15" s="101">
        <f t="shared" si="0"/>
        <v>6</v>
      </c>
      <c r="C15" s="183"/>
      <c r="D15" s="183" t="s">
        <v>263</v>
      </c>
      <c r="E15" s="183" t="s">
        <v>266</v>
      </c>
      <c r="F15" s="183" t="s">
        <v>267</v>
      </c>
      <c r="G15" s="183"/>
      <c r="H15" s="183" t="s">
        <v>267</v>
      </c>
      <c r="I15" s="101">
        <f t="shared" si="1"/>
        <v>6</v>
      </c>
    </row>
    <row r="16" spans="1:9" ht="18.75">
      <c r="A16" s="101">
        <f t="shared" si="0"/>
        <v>7</v>
      </c>
      <c r="B16" s="708" t="s">
        <v>13</v>
      </c>
      <c r="C16" s="708" t="s">
        <v>268</v>
      </c>
      <c r="D16" s="419" t="s">
        <v>267</v>
      </c>
      <c r="E16" s="419" t="s">
        <v>590</v>
      </c>
      <c r="F16" s="419" t="s">
        <v>273</v>
      </c>
      <c r="G16" s="709" t="s">
        <v>266</v>
      </c>
      <c r="H16" s="419" t="s">
        <v>274</v>
      </c>
      <c r="I16" s="101">
        <f t="shared" si="1"/>
        <v>7</v>
      </c>
    </row>
    <row r="17" spans="1:10">
      <c r="A17" s="101">
        <f t="shared" si="0"/>
        <v>8</v>
      </c>
      <c r="B17" s="710" t="s">
        <v>275</v>
      </c>
      <c r="C17" s="353">
        <v>2019</v>
      </c>
      <c r="D17" s="722">
        <f>'Pg2 App XII C3 Comparison'!G28/12</f>
        <v>0.14153301590782044</v>
      </c>
      <c r="E17" s="711">
        <v>4.4000000000000003E-3</v>
      </c>
      <c r="F17" s="725">
        <f>+D17</f>
        <v>0.14153301590782044</v>
      </c>
      <c r="G17" s="727">
        <f>(D17/2)*E17</f>
        <v>3.1137263499720496E-4</v>
      </c>
      <c r="H17" s="343">
        <f t="shared" ref="H17:H69" si="2">F17+G17</f>
        <v>0.14184438854281764</v>
      </c>
      <c r="I17" s="101">
        <f t="shared" si="1"/>
        <v>8</v>
      </c>
      <c r="J17" s="345"/>
    </row>
    <row r="18" spans="1:10">
      <c r="A18" s="101">
        <f t="shared" si="0"/>
        <v>9</v>
      </c>
      <c r="B18" s="710" t="s">
        <v>276</v>
      </c>
      <c r="C18" s="353">
        <f>C17</f>
        <v>2019</v>
      </c>
      <c r="D18" s="723">
        <f>D17</f>
        <v>0.14153301590782044</v>
      </c>
      <c r="E18" s="711">
        <v>4.0000000000000001E-3</v>
      </c>
      <c r="F18" s="725">
        <f t="shared" ref="F18:F69" si="3">H17+D18</f>
        <v>0.28337740445063808</v>
      </c>
      <c r="G18" s="728">
        <f t="shared" ref="G18:G67" si="4">(H17+F18)/2*E18</f>
        <v>8.5044358598691154E-4</v>
      </c>
      <c r="H18" s="344">
        <f t="shared" si="2"/>
        <v>0.28422784803662499</v>
      </c>
      <c r="I18" s="101">
        <f t="shared" si="1"/>
        <v>9</v>
      </c>
      <c r="J18" s="345"/>
    </row>
    <row r="19" spans="1:10">
      <c r="A19" s="101">
        <f t="shared" si="0"/>
        <v>10</v>
      </c>
      <c r="B19" s="710" t="s">
        <v>277</v>
      </c>
      <c r="C19" s="353">
        <f t="shared" ref="C19:D27" si="5">C18</f>
        <v>2019</v>
      </c>
      <c r="D19" s="723">
        <f t="shared" si="5"/>
        <v>0.14153301590782044</v>
      </c>
      <c r="E19" s="711">
        <v>4.4000000000000003E-3</v>
      </c>
      <c r="F19" s="725">
        <f t="shared" si="3"/>
        <v>0.42576086394444546</v>
      </c>
      <c r="G19" s="728">
        <f t="shared" si="4"/>
        <v>1.561975166358355E-3</v>
      </c>
      <c r="H19" s="344">
        <f t="shared" si="2"/>
        <v>0.42732283911080382</v>
      </c>
      <c r="I19" s="101">
        <f t="shared" si="1"/>
        <v>10</v>
      </c>
      <c r="J19" s="345"/>
    </row>
    <row r="20" spans="1:10">
      <c r="A20" s="101">
        <f t="shared" si="0"/>
        <v>11</v>
      </c>
      <c r="B20" s="710" t="s">
        <v>278</v>
      </c>
      <c r="C20" s="353">
        <f t="shared" si="5"/>
        <v>2019</v>
      </c>
      <c r="D20" s="723">
        <f t="shared" si="5"/>
        <v>0.14153301590782044</v>
      </c>
      <c r="E20" s="711">
        <v>4.4999999999999997E-3</v>
      </c>
      <c r="F20" s="725">
        <f t="shared" si="3"/>
        <v>0.56885585501862423</v>
      </c>
      <c r="G20" s="728">
        <f t="shared" si="4"/>
        <v>2.2414020617912127E-3</v>
      </c>
      <c r="H20" s="344">
        <f t="shared" si="2"/>
        <v>0.57109725708041548</v>
      </c>
      <c r="I20" s="101">
        <f t="shared" si="1"/>
        <v>11</v>
      </c>
      <c r="J20" s="345"/>
    </row>
    <row r="21" spans="1:10">
      <c r="A21" s="101">
        <f t="shared" si="0"/>
        <v>12</v>
      </c>
      <c r="B21" s="710" t="s">
        <v>279</v>
      </c>
      <c r="C21" s="353">
        <f t="shared" si="5"/>
        <v>2019</v>
      </c>
      <c r="D21" s="723">
        <f t="shared" si="5"/>
        <v>0.14153301590782044</v>
      </c>
      <c r="E21" s="711">
        <v>4.5999999999999999E-3</v>
      </c>
      <c r="F21" s="725">
        <f t="shared" si="3"/>
        <v>0.71263027298823589</v>
      </c>
      <c r="G21" s="728">
        <f t="shared" si="4"/>
        <v>2.9525733191578985E-3</v>
      </c>
      <c r="H21" s="344">
        <f t="shared" si="2"/>
        <v>0.71558284630739377</v>
      </c>
      <c r="I21" s="101">
        <f t="shared" si="1"/>
        <v>12</v>
      </c>
      <c r="J21" s="345"/>
    </row>
    <row r="22" spans="1:10">
      <c r="A22" s="101">
        <f t="shared" si="0"/>
        <v>13</v>
      </c>
      <c r="B22" s="710" t="s">
        <v>280</v>
      </c>
      <c r="C22" s="353">
        <f t="shared" si="5"/>
        <v>2019</v>
      </c>
      <c r="D22" s="723">
        <f t="shared" si="5"/>
        <v>0.14153301590782044</v>
      </c>
      <c r="E22" s="711">
        <v>4.4999999999999997E-3</v>
      </c>
      <c r="F22" s="725">
        <f t="shared" si="3"/>
        <v>0.85711586221521419</v>
      </c>
      <c r="G22" s="728">
        <f t="shared" si="4"/>
        <v>3.5385720941758679E-3</v>
      </c>
      <c r="H22" s="344">
        <f t="shared" si="2"/>
        <v>0.86065443430939004</v>
      </c>
      <c r="I22" s="101">
        <f t="shared" si="1"/>
        <v>13</v>
      </c>
      <c r="J22" s="345"/>
    </row>
    <row r="23" spans="1:10">
      <c r="A23" s="101">
        <f t="shared" si="0"/>
        <v>14</v>
      </c>
      <c r="B23" s="710" t="s">
        <v>281</v>
      </c>
      <c r="C23" s="353">
        <f t="shared" si="5"/>
        <v>2019</v>
      </c>
      <c r="D23" s="723">
        <f t="shared" si="5"/>
        <v>0.14153301590782044</v>
      </c>
      <c r="E23" s="711">
        <v>4.7000000000000002E-3</v>
      </c>
      <c r="F23" s="725">
        <f t="shared" si="3"/>
        <v>1.0021874502172106</v>
      </c>
      <c r="G23" s="728">
        <f t="shared" si="4"/>
        <v>4.3776784286375112E-3</v>
      </c>
      <c r="H23" s="344">
        <f t="shared" si="2"/>
        <v>1.0065651286458481</v>
      </c>
      <c r="I23" s="101">
        <f t="shared" si="1"/>
        <v>14</v>
      </c>
      <c r="J23" s="345"/>
    </row>
    <row r="24" spans="1:10">
      <c r="A24" s="101">
        <f t="shared" si="0"/>
        <v>15</v>
      </c>
      <c r="B24" s="710" t="s">
        <v>282</v>
      </c>
      <c r="C24" s="353">
        <f t="shared" si="5"/>
        <v>2019</v>
      </c>
      <c r="D24" s="723">
        <f t="shared" si="5"/>
        <v>0.14153301590782044</v>
      </c>
      <c r="E24" s="711">
        <v>4.7000000000000002E-3</v>
      </c>
      <c r="F24" s="725">
        <f t="shared" si="3"/>
        <v>1.1480981445536687</v>
      </c>
      <c r="G24" s="728">
        <f t="shared" si="4"/>
        <v>5.0634586920188639E-3</v>
      </c>
      <c r="H24" s="344">
        <f t="shared" si="2"/>
        <v>1.1531616032456875</v>
      </c>
      <c r="I24" s="101">
        <f t="shared" si="1"/>
        <v>15</v>
      </c>
      <c r="J24" s="345"/>
    </row>
    <row r="25" spans="1:10">
      <c r="A25" s="101">
        <f t="shared" si="0"/>
        <v>16</v>
      </c>
      <c r="B25" s="710" t="s">
        <v>283</v>
      </c>
      <c r="C25" s="353">
        <f t="shared" si="5"/>
        <v>2019</v>
      </c>
      <c r="D25" s="723">
        <f t="shared" si="5"/>
        <v>0.14153301590782044</v>
      </c>
      <c r="E25" s="711">
        <v>4.4999999999999997E-3</v>
      </c>
      <c r="F25" s="725">
        <f t="shared" si="3"/>
        <v>1.294694619153508</v>
      </c>
      <c r="G25" s="728">
        <f t="shared" si="4"/>
        <v>5.5076765003981903E-3</v>
      </c>
      <c r="H25" s="344">
        <f t="shared" si="2"/>
        <v>1.3002022956539063</v>
      </c>
      <c r="I25" s="101">
        <f t="shared" si="1"/>
        <v>16</v>
      </c>
      <c r="J25" s="345"/>
    </row>
    <row r="26" spans="1:10">
      <c r="A26" s="101">
        <f t="shared" si="0"/>
        <v>17</v>
      </c>
      <c r="B26" s="710" t="s">
        <v>284</v>
      </c>
      <c r="C26" s="353">
        <f t="shared" si="5"/>
        <v>2019</v>
      </c>
      <c r="D26" s="723">
        <f t="shared" si="5"/>
        <v>0.14153301590782044</v>
      </c>
      <c r="E26" s="711">
        <v>4.5999999999999999E-3</v>
      </c>
      <c r="F26" s="725">
        <f t="shared" si="3"/>
        <v>1.4417353115617269</v>
      </c>
      <c r="G26" s="728">
        <f t="shared" si="4"/>
        <v>6.3064564965959564E-3</v>
      </c>
      <c r="H26" s="344">
        <f t="shared" si="2"/>
        <v>1.4480417680583229</v>
      </c>
      <c r="I26" s="101">
        <f t="shared" si="1"/>
        <v>17</v>
      </c>
      <c r="J26" s="345"/>
    </row>
    <row r="27" spans="1:10">
      <c r="A27" s="101">
        <f t="shared" si="0"/>
        <v>18</v>
      </c>
      <c r="B27" s="710" t="s">
        <v>285</v>
      </c>
      <c r="C27" s="353">
        <f t="shared" si="5"/>
        <v>2019</v>
      </c>
      <c r="D27" s="723">
        <f t="shared" si="5"/>
        <v>0.14153301590782044</v>
      </c>
      <c r="E27" s="711">
        <v>4.4999999999999997E-3</v>
      </c>
      <c r="F27" s="725">
        <f t="shared" si="3"/>
        <v>1.5895747839661434</v>
      </c>
      <c r="G27" s="728">
        <f t="shared" si="4"/>
        <v>6.8346372420550481E-3</v>
      </c>
      <c r="H27" s="344">
        <f t="shared" si="2"/>
        <v>1.5964094212081985</v>
      </c>
      <c r="I27" s="101">
        <f t="shared" si="1"/>
        <v>18</v>
      </c>
      <c r="J27" s="345"/>
    </row>
    <row r="28" spans="1:10">
      <c r="A28" s="101">
        <f t="shared" si="0"/>
        <v>19</v>
      </c>
      <c r="B28" s="712" t="s">
        <v>286</v>
      </c>
      <c r="C28" s="354">
        <f>C27</f>
        <v>2019</v>
      </c>
      <c r="D28" s="724">
        <f>D27</f>
        <v>0.14153301590782044</v>
      </c>
      <c r="E28" s="713">
        <v>4.5999999999999999E-3</v>
      </c>
      <c r="F28" s="726">
        <f t="shared" si="3"/>
        <v>1.737942437116019</v>
      </c>
      <c r="G28" s="729">
        <f t="shared" si="4"/>
        <v>7.669009274145701E-3</v>
      </c>
      <c r="H28" s="349">
        <f t="shared" si="2"/>
        <v>1.7456114463901646</v>
      </c>
      <c r="I28" s="101">
        <f t="shared" si="1"/>
        <v>19</v>
      </c>
      <c r="J28" s="345"/>
    </row>
    <row r="29" spans="1:10">
      <c r="A29" s="101">
        <f t="shared" si="0"/>
        <v>20</v>
      </c>
      <c r="B29" s="710" t="s">
        <v>275</v>
      </c>
      <c r="C29" s="353">
        <f>C28+1</f>
        <v>2020</v>
      </c>
      <c r="D29" s="465"/>
      <c r="E29" s="711">
        <v>4.1999999999999997E-3</v>
      </c>
      <c r="F29" s="725">
        <f t="shared" si="3"/>
        <v>1.7456114463901646</v>
      </c>
      <c r="G29" s="728">
        <f t="shared" si="4"/>
        <v>7.3315680748386909E-3</v>
      </c>
      <c r="H29" s="344">
        <f t="shared" si="2"/>
        <v>1.7529430144650033</v>
      </c>
      <c r="I29" s="101">
        <f t="shared" si="1"/>
        <v>20</v>
      </c>
      <c r="J29" s="345"/>
    </row>
    <row r="30" spans="1:10">
      <c r="A30" s="101">
        <f t="shared" si="0"/>
        <v>21</v>
      </c>
      <c r="B30" s="710" t="s">
        <v>276</v>
      </c>
      <c r="C30" s="353">
        <f>C29</f>
        <v>2020</v>
      </c>
      <c r="D30" s="465"/>
      <c r="E30" s="711">
        <v>3.8999999999999998E-3</v>
      </c>
      <c r="F30" s="725">
        <f t="shared" si="3"/>
        <v>1.7529430144650033</v>
      </c>
      <c r="G30" s="728">
        <f t="shared" si="4"/>
        <v>6.8364777564135131E-3</v>
      </c>
      <c r="H30" s="344">
        <f t="shared" si="2"/>
        <v>1.7597794922214169</v>
      </c>
      <c r="I30" s="101">
        <f t="shared" si="1"/>
        <v>21</v>
      </c>
      <c r="J30" s="345"/>
    </row>
    <row r="31" spans="1:10">
      <c r="A31" s="101">
        <f t="shared" si="0"/>
        <v>22</v>
      </c>
      <c r="B31" s="710" t="s">
        <v>277</v>
      </c>
      <c r="C31" s="353">
        <f t="shared" ref="C31:C39" si="6">C30</f>
        <v>2020</v>
      </c>
      <c r="D31" s="465"/>
      <c r="E31" s="711">
        <v>4.1999999999999997E-3</v>
      </c>
      <c r="F31" s="725">
        <f t="shared" si="3"/>
        <v>1.7597794922214169</v>
      </c>
      <c r="G31" s="728">
        <f t="shared" si="4"/>
        <v>7.3910738673299507E-3</v>
      </c>
      <c r="H31" s="344">
        <f t="shared" si="2"/>
        <v>1.7671705660887469</v>
      </c>
      <c r="I31" s="101">
        <f t="shared" si="1"/>
        <v>22</v>
      </c>
      <c r="J31" s="345"/>
    </row>
    <row r="32" spans="1:10">
      <c r="A32" s="101">
        <f t="shared" si="0"/>
        <v>23</v>
      </c>
      <c r="B32" s="710" t="s">
        <v>278</v>
      </c>
      <c r="C32" s="353">
        <f t="shared" si="6"/>
        <v>2020</v>
      </c>
      <c r="D32" s="465"/>
      <c r="E32" s="711">
        <v>3.8999999999999998E-3</v>
      </c>
      <c r="F32" s="725">
        <f t="shared" si="3"/>
        <v>1.7671705660887469</v>
      </c>
      <c r="G32" s="728">
        <f t="shared" si="4"/>
        <v>6.8919652077461127E-3</v>
      </c>
      <c r="H32" s="344">
        <f t="shared" si="2"/>
        <v>1.7740625312964931</v>
      </c>
      <c r="I32" s="101">
        <f t="shared" si="1"/>
        <v>23</v>
      </c>
      <c r="J32" s="345"/>
    </row>
    <row r="33" spans="1:10">
      <c r="A33" s="101">
        <f t="shared" si="0"/>
        <v>24</v>
      </c>
      <c r="B33" s="710" t="s">
        <v>279</v>
      </c>
      <c r="C33" s="353">
        <f t="shared" si="6"/>
        <v>2020</v>
      </c>
      <c r="D33" s="465"/>
      <c r="E33" s="711">
        <v>4.0000000000000001E-3</v>
      </c>
      <c r="F33" s="725">
        <f t="shared" si="3"/>
        <v>1.7740625312964931</v>
      </c>
      <c r="G33" s="728">
        <f t="shared" si="4"/>
        <v>7.096250125185972E-3</v>
      </c>
      <c r="H33" s="344">
        <f t="shared" si="2"/>
        <v>1.7811587814216789</v>
      </c>
      <c r="I33" s="101">
        <f t="shared" si="1"/>
        <v>24</v>
      </c>
      <c r="J33" s="345"/>
    </row>
    <row r="34" spans="1:10">
      <c r="A34" s="101">
        <f t="shared" si="0"/>
        <v>25</v>
      </c>
      <c r="B34" s="710" t="s">
        <v>280</v>
      </c>
      <c r="C34" s="353">
        <f t="shared" si="6"/>
        <v>2020</v>
      </c>
      <c r="D34" s="465"/>
      <c r="E34" s="711">
        <v>3.8999999999999998E-3</v>
      </c>
      <c r="F34" s="725">
        <f t="shared" si="3"/>
        <v>1.7811587814216789</v>
      </c>
      <c r="G34" s="728">
        <f t="shared" si="4"/>
        <v>6.9465192475445473E-3</v>
      </c>
      <c r="H34" s="344">
        <f t="shared" si="2"/>
        <v>1.7881053006692236</v>
      </c>
      <c r="I34" s="101">
        <f t="shared" si="1"/>
        <v>25</v>
      </c>
      <c r="J34" s="345"/>
    </row>
    <row r="35" spans="1:10">
      <c r="A35" s="101">
        <f t="shared" si="0"/>
        <v>26</v>
      </c>
      <c r="B35" s="710" t="s">
        <v>281</v>
      </c>
      <c r="C35" s="353">
        <f t="shared" si="6"/>
        <v>2020</v>
      </c>
      <c r="D35" s="465"/>
      <c r="E35" s="711">
        <v>2.8999999999999998E-3</v>
      </c>
      <c r="F35" s="725">
        <f t="shared" si="3"/>
        <v>1.7881053006692236</v>
      </c>
      <c r="G35" s="728">
        <f t="shared" si="4"/>
        <v>5.1855053719407481E-3</v>
      </c>
      <c r="H35" s="344">
        <f t="shared" si="2"/>
        <v>1.7932908060411643</v>
      </c>
      <c r="I35" s="101">
        <f t="shared" si="1"/>
        <v>26</v>
      </c>
      <c r="J35" s="345"/>
    </row>
    <row r="36" spans="1:10">
      <c r="A36" s="101">
        <f t="shared" si="0"/>
        <v>27</v>
      </c>
      <c r="B36" s="710" t="s">
        <v>282</v>
      </c>
      <c r="C36" s="353">
        <f t="shared" si="6"/>
        <v>2020</v>
      </c>
      <c r="D36" s="465"/>
      <c r="E36" s="711">
        <v>2.8999999999999998E-3</v>
      </c>
      <c r="F36" s="725">
        <f t="shared" si="3"/>
        <v>1.7932908060411643</v>
      </c>
      <c r="G36" s="728">
        <f t="shared" si="4"/>
        <v>5.2005433375193763E-3</v>
      </c>
      <c r="H36" s="344">
        <f t="shared" si="2"/>
        <v>1.7984913493786836</v>
      </c>
      <c r="I36" s="101">
        <f t="shared" si="1"/>
        <v>27</v>
      </c>
      <c r="J36" s="345"/>
    </row>
    <row r="37" spans="1:10">
      <c r="A37" s="101">
        <f t="shared" si="0"/>
        <v>28</v>
      </c>
      <c r="B37" s="710" t="s">
        <v>283</v>
      </c>
      <c r="C37" s="353">
        <f t="shared" si="6"/>
        <v>2020</v>
      </c>
      <c r="D37" s="465"/>
      <c r="E37" s="711">
        <v>2.8E-3</v>
      </c>
      <c r="F37" s="725">
        <f t="shared" si="3"/>
        <v>1.7984913493786836</v>
      </c>
      <c r="G37" s="728">
        <f t="shared" si="4"/>
        <v>5.035775778260314E-3</v>
      </c>
      <c r="H37" s="344">
        <f t="shared" si="2"/>
        <v>1.803527125156944</v>
      </c>
      <c r="I37" s="101">
        <f t="shared" si="1"/>
        <v>28</v>
      </c>
      <c r="J37" s="345"/>
    </row>
    <row r="38" spans="1:10">
      <c r="A38" s="101">
        <f t="shared" si="0"/>
        <v>29</v>
      </c>
      <c r="B38" s="710" t="s">
        <v>284</v>
      </c>
      <c r="C38" s="353">
        <f t="shared" si="6"/>
        <v>2020</v>
      </c>
      <c r="D38" s="465"/>
      <c r="E38" s="711">
        <v>2.8E-3</v>
      </c>
      <c r="F38" s="725">
        <f t="shared" si="3"/>
        <v>1.803527125156944</v>
      </c>
      <c r="G38" s="728">
        <f t="shared" si="4"/>
        <v>5.049875950439443E-3</v>
      </c>
      <c r="H38" s="344">
        <f t="shared" si="2"/>
        <v>1.8085770011073834</v>
      </c>
      <c r="I38" s="101">
        <f t="shared" si="1"/>
        <v>29</v>
      </c>
      <c r="J38" s="345"/>
    </row>
    <row r="39" spans="1:10">
      <c r="A39" s="101">
        <f t="shared" si="0"/>
        <v>30</v>
      </c>
      <c r="B39" s="710" t="s">
        <v>285</v>
      </c>
      <c r="C39" s="353">
        <f t="shared" si="6"/>
        <v>2020</v>
      </c>
      <c r="D39" s="465"/>
      <c r="E39" s="711">
        <v>2.7000000000000001E-3</v>
      </c>
      <c r="F39" s="725">
        <f t="shared" si="3"/>
        <v>1.8085770011073834</v>
      </c>
      <c r="G39" s="728">
        <f t="shared" si="4"/>
        <v>4.8831579029899354E-3</v>
      </c>
      <c r="H39" s="344">
        <f t="shared" si="2"/>
        <v>1.8134601590103734</v>
      </c>
      <c r="I39" s="101">
        <f t="shared" si="1"/>
        <v>30</v>
      </c>
      <c r="J39" s="345"/>
    </row>
    <row r="40" spans="1:10">
      <c r="A40" s="101">
        <f t="shared" si="0"/>
        <v>31</v>
      </c>
      <c r="B40" s="712" t="s">
        <v>286</v>
      </c>
      <c r="C40" s="354">
        <f>C39</f>
        <v>2020</v>
      </c>
      <c r="D40" s="348"/>
      <c r="E40" s="713">
        <v>2.8E-3</v>
      </c>
      <c r="F40" s="726">
        <f t="shared" si="3"/>
        <v>1.8134601590103734</v>
      </c>
      <c r="G40" s="729">
        <f t="shared" si="4"/>
        <v>5.0776884452290458E-3</v>
      </c>
      <c r="H40" s="349">
        <f t="shared" si="2"/>
        <v>1.8185378474556024</v>
      </c>
      <c r="I40" s="101">
        <f t="shared" si="1"/>
        <v>31</v>
      </c>
      <c r="J40" s="345"/>
    </row>
    <row r="41" spans="1:10">
      <c r="A41" s="101">
        <f t="shared" si="0"/>
        <v>32</v>
      </c>
      <c r="B41" s="710" t="s">
        <v>275</v>
      </c>
      <c r="C41" s="353">
        <f>C40+1</f>
        <v>2021</v>
      </c>
      <c r="D41" s="465"/>
      <c r="E41" s="711">
        <v>2.8E-3</v>
      </c>
      <c r="F41" s="725">
        <f t="shared" si="3"/>
        <v>1.8185378474556024</v>
      </c>
      <c r="G41" s="728">
        <f t="shared" si="4"/>
        <v>5.091905972875687E-3</v>
      </c>
      <c r="H41" s="344">
        <f t="shared" si="2"/>
        <v>1.8236297534284782</v>
      </c>
      <c r="I41" s="101">
        <f t="shared" si="1"/>
        <v>32</v>
      </c>
      <c r="J41" s="345"/>
    </row>
    <row r="42" spans="1:10">
      <c r="A42" s="101">
        <f t="shared" si="0"/>
        <v>33</v>
      </c>
      <c r="B42" s="710" t="s">
        <v>276</v>
      </c>
      <c r="C42" s="353">
        <f>C41</f>
        <v>2021</v>
      </c>
      <c r="D42" s="465"/>
      <c r="E42" s="711">
        <v>2.5000000000000001E-3</v>
      </c>
      <c r="F42" s="725">
        <f t="shared" si="3"/>
        <v>1.8236297534284782</v>
      </c>
      <c r="G42" s="728">
        <f t="shared" si="4"/>
        <v>4.5590743835711954E-3</v>
      </c>
      <c r="H42" s="344">
        <f t="shared" si="2"/>
        <v>1.8281888278120495</v>
      </c>
      <c r="I42" s="101">
        <f t="shared" si="1"/>
        <v>33</v>
      </c>
      <c r="J42" s="345"/>
    </row>
    <row r="43" spans="1:10">
      <c r="A43" s="101">
        <f t="shared" si="0"/>
        <v>34</v>
      </c>
      <c r="B43" s="710" t="s">
        <v>277</v>
      </c>
      <c r="C43" s="353">
        <f t="shared" ref="C43:C51" si="7">C42</f>
        <v>2021</v>
      </c>
      <c r="D43" s="465"/>
      <c r="E43" s="711">
        <v>2.8E-3</v>
      </c>
      <c r="F43" s="725">
        <f t="shared" si="3"/>
        <v>1.8281888278120495</v>
      </c>
      <c r="G43" s="728">
        <f t="shared" si="4"/>
        <v>5.1189287178737388E-3</v>
      </c>
      <c r="H43" s="344">
        <f t="shared" si="2"/>
        <v>1.8333077565299232</v>
      </c>
      <c r="I43" s="101">
        <f t="shared" si="1"/>
        <v>34</v>
      </c>
      <c r="J43" s="345"/>
    </row>
    <row r="44" spans="1:10">
      <c r="A44" s="101">
        <f t="shared" si="0"/>
        <v>35</v>
      </c>
      <c r="B44" s="710" t="s">
        <v>278</v>
      </c>
      <c r="C44" s="353">
        <f t="shared" si="7"/>
        <v>2021</v>
      </c>
      <c r="D44" s="465"/>
      <c r="E44" s="711">
        <v>2.7000000000000001E-3</v>
      </c>
      <c r="F44" s="725">
        <f t="shared" si="3"/>
        <v>1.8333077565299232</v>
      </c>
      <c r="G44" s="728">
        <f t="shared" si="4"/>
        <v>4.9499309426307928E-3</v>
      </c>
      <c r="H44" s="344">
        <f t="shared" si="2"/>
        <v>1.838257687472554</v>
      </c>
      <c r="I44" s="101">
        <f t="shared" si="1"/>
        <v>35</v>
      </c>
      <c r="J44" s="345"/>
    </row>
    <row r="45" spans="1:10">
      <c r="A45" s="101">
        <f t="shared" si="0"/>
        <v>36</v>
      </c>
      <c r="B45" s="710" t="s">
        <v>279</v>
      </c>
      <c r="C45" s="353">
        <f t="shared" si="7"/>
        <v>2021</v>
      </c>
      <c r="D45" s="465"/>
      <c r="E45" s="711">
        <v>2.8E-3</v>
      </c>
      <c r="F45" s="725">
        <f t="shared" si="3"/>
        <v>1.838257687472554</v>
      </c>
      <c r="G45" s="728">
        <f t="shared" si="4"/>
        <v>5.1471215249231511E-3</v>
      </c>
      <c r="H45" s="344">
        <f t="shared" si="2"/>
        <v>1.8434048089974773</v>
      </c>
      <c r="I45" s="101">
        <f t="shared" si="1"/>
        <v>36</v>
      </c>
      <c r="J45" s="345"/>
    </row>
    <row r="46" spans="1:10">
      <c r="A46" s="101">
        <f t="shared" si="0"/>
        <v>37</v>
      </c>
      <c r="B46" s="710" t="s">
        <v>280</v>
      </c>
      <c r="C46" s="353">
        <f t="shared" si="7"/>
        <v>2021</v>
      </c>
      <c r="D46" s="465"/>
      <c r="E46" s="711">
        <v>2.7000000000000001E-3</v>
      </c>
      <c r="F46" s="725">
        <f t="shared" si="3"/>
        <v>1.8434048089974773</v>
      </c>
      <c r="G46" s="728">
        <f t="shared" si="4"/>
        <v>4.9771929842931887E-3</v>
      </c>
      <c r="H46" s="344">
        <f t="shared" si="2"/>
        <v>1.8483820019817705</v>
      </c>
      <c r="I46" s="101">
        <f t="shared" si="1"/>
        <v>37</v>
      </c>
      <c r="J46" s="345"/>
    </row>
    <row r="47" spans="1:10">
      <c r="A47" s="101">
        <f t="shared" si="0"/>
        <v>38</v>
      </c>
      <c r="B47" s="710" t="s">
        <v>281</v>
      </c>
      <c r="C47" s="353">
        <f t="shared" si="7"/>
        <v>2021</v>
      </c>
      <c r="D47" s="465"/>
      <c r="E47" s="711">
        <v>2.8E-3</v>
      </c>
      <c r="F47" s="725">
        <f t="shared" si="3"/>
        <v>1.8483820019817705</v>
      </c>
      <c r="G47" s="728">
        <f t="shared" si="4"/>
        <v>5.1754696055489576E-3</v>
      </c>
      <c r="H47" s="344">
        <f t="shared" si="2"/>
        <v>1.8535574715873195</v>
      </c>
      <c r="I47" s="101">
        <f t="shared" si="1"/>
        <v>38</v>
      </c>
      <c r="J47" s="345"/>
    </row>
    <row r="48" spans="1:10">
      <c r="A48" s="101">
        <f t="shared" si="0"/>
        <v>39</v>
      </c>
      <c r="B48" s="710" t="s">
        <v>282</v>
      </c>
      <c r="C48" s="353">
        <f t="shared" si="7"/>
        <v>2021</v>
      </c>
      <c r="D48" s="465"/>
      <c r="E48" s="711">
        <v>2.8E-3</v>
      </c>
      <c r="F48" s="725">
        <f t="shared" si="3"/>
        <v>1.8535574715873195</v>
      </c>
      <c r="G48" s="728">
        <f t="shared" si="4"/>
        <v>5.1899609204444945E-3</v>
      </c>
      <c r="H48" s="344">
        <f t="shared" si="2"/>
        <v>1.858747432507764</v>
      </c>
      <c r="I48" s="101">
        <f t="shared" si="1"/>
        <v>39</v>
      </c>
      <c r="J48" s="345"/>
    </row>
    <row r="49" spans="1:10">
      <c r="A49" s="101">
        <f t="shared" si="0"/>
        <v>40</v>
      </c>
      <c r="B49" s="710" t="s">
        <v>283</v>
      </c>
      <c r="C49" s="353">
        <f t="shared" si="7"/>
        <v>2021</v>
      </c>
      <c r="D49" s="465"/>
      <c r="E49" s="711">
        <v>2.7000000000000001E-3</v>
      </c>
      <c r="F49" s="725">
        <f t="shared" si="3"/>
        <v>1.858747432507764</v>
      </c>
      <c r="G49" s="728">
        <f t="shared" si="4"/>
        <v>5.0186180677709632E-3</v>
      </c>
      <c r="H49" s="344">
        <f t="shared" si="2"/>
        <v>1.8637660505755349</v>
      </c>
      <c r="I49" s="101">
        <f t="shared" si="1"/>
        <v>40</v>
      </c>
      <c r="J49" s="345"/>
    </row>
    <row r="50" spans="1:10">
      <c r="A50" s="101">
        <f t="shared" si="0"/>
        <v>41</v>
      </c>
      <c r="B50" s="710" t="s">
        <v>284</v>
      </c>
      <c r="C50" s="353">
        <f t="shared" si="7"/>
        <v>2021</v>
      </c>
      <c r="D50" s="465"/>
      <c r="E50" s="711">
        <v>2.8E-3</v>
      </c>
      <c r="F50" s="725">
        <f t="shared" si="3"/>
        <v>1.8637660505755349</v>
      </c>
      <c r="G50" s="728">
        <f t="shared" si="4"/>
        <v>5.2185449416114974E-3</v>
      </c>
      <c r="H50" s="344">
        <f t="shared" si="2"/>
        <v>1.8689845955171465</v>
      </c>
      <c r="I50" s="101">
        <f t="shared" si="1"/>
        <v>41</v>
      </c>
      <c r="J50" s="345"/>
    </row>
    <row r="51" spans="1:10">
      <c r="A51" s="101">
        <f t="shared" si="0"/>
        <v>42</v>
      </c>
      <c r="B51" s="710" t="s">
        <v>285</v>
      </c>
      <c r="C51" s="353">
        <f t="shared" si="7"/>
        <v>2021</v>
      </c>
      <c r="D51" s="465"/>
      <c r="E51" s="711">
        <v>2.7000000000000001E-3</v>
      </c>
      <c r="F51" s="725">
        <f t="shared" si="3"/>
        <v>1.8689845955171465</v>
      </c>
      <c r="G51" s="728">
        <f t="shared" si="4"/>
        <v>5.0462584078962954E-3</v>
      </c>
      <c r="H51" s="344">
        <f t="shared" si="2"/>
        <v>1.8740308539250428</v>
      </c>
      <c r="I51" s="101">
        <f t="shared" si="1"/>
        <v>42</v>
      </c>
      <c r="J51" s="345"/>
    </row>
    <row r="52" spans="1:10">
      <c r="A52" s="101">
        <f t="shared" si="0"/>
        <v>43</v>
      </c>
      <c r="B52" s="712" t="s">
        <v>286</v>
      </c>
      <c r="C52" s="354">
        <f>C51</f>
        <v>2021</v>
      </c>
      <c r="D52" s="348"/>
      <c r="E52" s="713">
        <v>2.8E-3</v>
      </c>
      <c r="F52" s="726">
        <f t="shared" si="3"/>
        <v>1.8740308539250428</v>
      </c>
      <c r="G52" s="729">
        <f t="shared" si="4"/>
        <v>5.2472863909901199E-3</v>
      </c>
      <c r="H52" s="349">
        <f t="shared" si="2"/>
        <v>1.8792781403160328</v>
      </c>
      <c r="I52" s="101">
        <f t="shared" si="1"/>
        <v>43</v>
      </c>
      <c r="J52" s="345"/>
    </row>
    <row r="53" spans="1:10">
      <c r="A53" s="101">
        <f t="shared" si="0"/>
        <v>44</v>
      </c>
      <c r="B53" s="710" t="s">
        <v>275</v>
      </c>
      <c r="C53" s="353">
        <v>2022</v>
      </c>
      <c r="D53" s="465"/>
      <c r="E53" s="711">
        <v>2.8E-3</v>
      </c>
      <c r="F53" s="725">
        <f t="shared" si="3"/>
        <v>1.8792781403160328</v>
      </c>
      <c r="G53" s="730">
        <f t="shared" si="4"/>
        <v>5.2619787928848919E-3</v>
      </c>
      <c r="H53" s="344">
        <f t="shared" si="2"/>
        <v>1.8845401191089177</v>
      </c>
      <c r="I53" s="101">
        <f t="shared" si="1"/>
        <v>44</v>
      </c>
      <c r="J53" s="345"/>
    </row>
    <row r="54" spans="1:10">
      <c r="A54" s="101">
        <f t="shared" si="0"/>
        <v>45</v>
      </c>
      <c r="B54" s="710" t="s">
        <v>276</v>
      </c>
      <c r="C54" s="353">
        <v>2022</v>
      </c>
      <c r="D54" s="465"/>
      <c r="E54" s="711">
        <v>2.5000000000000001E-3</v>
      </c>
      <c r="F54" s="725">
        <f t="shared" si="3"/>
        <v>1.8845401191089177</v>
      </c>
      <c r="G54" s="730">
        <f t="shared" si="4"/>
        <v>4.7113502977722942E-3</v>
      </c>
      <c r="H54" s="344">
        <f t="shared" si="2"/>
        <v>1.88925146940669</v>
      </c>
      <c r="I54" s="101">
        <f t="shared" si="1"/>
        <v>45</v>
      </c>
      <c r="J54" s="345"/>
    </row>
    <row r="55" spans="1:10">
      <c r="A55" s="101">
        <f t="shared" si="0"/>
        <v>46</v>
      </c>
      <c r="B55" s="710" t="s">
        <v>277</v>
      </c>
      <c r="C55" s="353">
        <v>2022</v>
      </c>
      <c r="D55" s="465"/>
      <c r="E55" s="711">
        <v>2.8E-3</v>
      </c>
      <c r="F55" s="725">
        <f t="shared" si="3"/>
        <v>1.88925146940669</v>
      </c>
      <c r="G55" s="730">
        <f t="shared" si="4"/>
        <v>5.2899041143387318E-3</v>
      </c>
      <c r="H55" s="344">
        <f t="shared" si="2"/>
        <v>1.8945413735210288</v>
      </c>
      <c r="I55" s="101">
        <f t="shared" si="1"/>
        <v>46</v>
      </c>
      <c r="J55" s="345"/>
    </row>
    <row r="56" spans="1:10">
      <c r="A56" s="101">
        <f t="shared" si="0"/>
        <v>47</v>
      </c>
      <c r="B56" s="710" t="s">
        <v>278</v>
      </c>
      <c r="C56" s="353">
        <v>2022</v>
      </c>
      <c r="D56" s="465"/>
      <c r="E56" s="711">
        <v>2.7000000000000001E-3</v>
      </c>
      <c r="F56" s="725">
        <f t="shared" si="3"/>
        <v>1.8945413735210288</v>
      </c>
      <c r="G56" s="730">
        <f t="shared" si="4"/>
        <v>5.1152617085067778E-3</v>
      </c>
      <c r="H56" s="344">
        <f t="shared" si="2"/>
        <v>1.8996566352295357</v>
      </c>
      <c r="I56" s="101">
        <f t="shared" si="1"/>
        <v>47</v>
      </c>
      <c r="J56" s="345"/>
    </row>
    <row r="57" spans="1:10">
      <c r="A57" s="101">
        <f t="shared" si="0"/>
        <v>48</v>
      </c>
      <c r="B57" s="710" t="s">
        <v>279</v>
      </c>
      <c r="C57" s="353">
        <v>2022</v>
      </c>
      <c r="D57" s="465"/>
      <c r="E57" s="711">
        <v>2.8E-3</v>
      </c>
      <c r="F57" s="725">
        <f t="shared" si="3"/>
        <v>1.8996566352295357</v>
      </c>
      <c r="G57" s="730">
        <f t="shared" si="4"/>
        <v>5.3190385786426996E-3</v>
      </c>
      <c r="H57" s="344">
        <f t="shared" si="2"/>
        <v>1.9049756738081784</v>
      </c>
      <c r="I57" s="101">
        <f t="shared" si="1"/>
        <v>48</v>
      </c>
      <c r="J57" s="345"/>
    </row>
    <row r="58" spans="1:10">
      <c r="A58" s="101">
        <f t="shared" si="0"/>
        <v>49</v>
      </c>
      <c r="B58" s="710" t="s">
        <v>280</v>
      </c>
      <c r="C58" s="353">
        <v>2022</v>
      </c>
      <c r="D58" s="465"/>
      <c r="E58" s="711">
        <v>2.7000000000000001E-3</v>
      </c>
      <c r="F58" s="725">
        <f t="shared" si="3"/>
        <v>1.9049756738081784</v>
      </c>
      <c r="G58" s="730">
        <f t="shared" si="4"/>
        <v>5.1434343192820822E-3</v>
      </c>
      <c r="H58" s="344">
        <f t="shared" si="2"/>
        <v>1.9101191081274604</v>
      </c>
      <c r="I58" s="101">
        <f t="shared" si="1"/>
        <v>49</v>
      </c>
      <c r="J58" s="345"/>
    </row>
    <row r="59" spans="1:10">
      <c r="A59" s="101">
        <f t="shared" si="0"/>
        <v>50</v>
      </c>
      <c r="B59" s="710" t="s">
        <v>281</v>
      </c>
      <c r="C59" s="353">
        <v>2022</v>
      </c>
      <c r="D59" s="465"/>
      <c r="E59" s="711">
        <v>3.0999999999999999E-3</v>
      </c>
      <c r="F59" s="725">
        <f t="shared" si="3"/>
        <v>1.9101191081274604</v>
      </c>
      <c r="G59" s="730">
        <f t="shared" si="4"/>
        <v>5.9213692351951274E-3</v>
      </c>
      <c r="H59" s="344">
        <f t="shared" si="2"/>
        <v>1.9160404773626556</v>
      </c>
      <c r="I59" s="101">
        <f t="shared" si="1"/>
        <v>50</v>
      </c>
      <c r="J59" s="345"/>
    </row>
    <row r="60" spans="1:10">
      <c r="A60" s="101">
        <f t="shared" si="0"/>
        <v>51</v>
      </c>
      <c r="B60" s="710" t="s">
        <v>282</v>
      </c>
      <c r="C60" s="353">
        <v>2022</v>
      </c>
      <c r="D60" s="465"/>
      <c r="E60" s="711">
        <v>3.0999999999999999E-3</v>
      </c>
      <c r="F60" s="725">
        <f t="shared" si="3"/>
        <v>1.9160404773626556</v>
      </c>
      <c r="G60" s="730">
        <f t="shared" si="4"/>
        <v>5.9397254798242323E-3</v>
      </c>
      <c r="H60" s="344">
        <f t="shared" si="2"/>
        <v>1.9219802028424797</v>
      </c>
      <c r="I60" s="101">
        <f t="shared" si="1"/>
        <v>51</v>
      </c>
      <c r="J60" s="345"/>
    </row>
    <row r="61" spans="1:10">
      <c r="A61" s="101">
        <f t="shared" si="0"/>
        <v>52</v>
      </c>
      <c r="B61" s="710" t="s">
        <v>283</v>
      </c>
      <c r="C61" s="353">
        <v>2022</v>
      </c>
      <c r="D61" s="465"/>
      <c r="E61" s="711">
        <v>3.0000000000000001E-3</v>
      </c>
      <c r="F61" s="725">
        <f t="shared" si="3"/>
        <v>1.9219802028424797</v>
      </c>
      <c r="G61" s="730">
        <f t="shared" si="4"/>
        <v>5.7659406085274392E-3</v>
      </c>
      <c r="H61" s="344">
        <f t="shared" si="2"/>
        <v>1.9277461434510073</v>
      </c>
      <c r="I61" s="101">
        <f t="shared" si="1"/>
        <v>52</v>
      </c>
      <c r="J61" s="345"/>
    </row>
    <row r="62" spans="1:10">
      <c r="A62" s="101">
        <f t="shared" si="0"/>
        <v>53</v>
      </c>
      <c r="B62" s="710" t="s">
        <v>284</v>
      </c>
      <c r="C62" s="353">
        <v>2022</v>
      </c>
      <c r="D62" s="465"/>
      <c r="E62" s="711">
        <v>4.1999999999999997E-3</v>
      </c>
      <c r="F62" s="725">
        <f t="shared" si="3"/>
        <v>1.9277461434510073</v>
      </c>
      <c r="G62" s="730">
        <f t="shared" si="4"/>
        <v>8.0965338024942303E-3</v>
      </c>
      <c r="H62" s="344">
        <f t="shared" si="2"/>
        <v>1.9358426772535016</v>
      </c>
      <c r="I62" s="101">
        <f t="shared" si="1"/>
        <v>53</v>
      </c>
      <c r="J62" s="345"/>
    </row>
    <row r="63" spans="1:10">
      <c r="A63" s="101">
        <f t="shared" si="0"/>
        <v>54</v>
      </c>
      <c r="B63" s="710" t="s">
        <v>285</v>
      </c>
      <c r="C63" s="353">
        <v>2022</v>
      </c>
      <c r="D63" s="465"/>
      <c r="E63" s="711">
        <v>4.0000000000000001E-3</v>
      </c>
      <c r="F63" s="725">
        <f t="shared" si="3"/>
        <v>1.9358426772535016</v>
      </c>
      <c r="G63" s="730">
        <f t="shared" si="4"/>
        <v>7.7433707090140066E-3</v>
      </c>
      <c r="H63" s="344">
        <f t="shared" si="2"/>
        <v>1.9435860479625156</v>
      </c>
      <c r="I63" s="101">
        <f t="shared" si="1"/>
        <v>54</v>
      </c>
      <c r="J63" s="345"/>
    </row>
    <row r="64" spans="1:10">
      <c r="A64" s="101">
        <f t="shared" si="0"/>
        <v>55</v>
      </c>
      <c r="B64" s="712" t="s">
        <v>286</v>
      </c>
      <c r="C64" s="354">
        <v>2022</v>
      </c>
      <c r="D64" s="348"/>
      <c r="E64" s="713">
        <v>4.1999999999999997E-3</v>
      </c>
      <c r="F64" s="726">
        <f t="shared" si="3"/>
        <v>1.9435860479625156</v>
      </c>
      <c r="G64" s="729">
        <f t="shared" si="4"/>
        <v>8.1630614014425642E-3</v>
      </c>
      <c r="H64" s="349">
        <f t="shared" si="2"/>
        <v>1.9517491093639581</v>
      </c>
      <c r="I64" s="101">
        <f t="shared" si="1"/>
        <v>55</v>
      </c>
      <c r="J64" s="345"/>
    </row>
    <row r="65" spans="1:10">
      <c r="A65" s="101">
        <f t="shared" si="0"/>
        <v>56</v>
      </c>
      <c r="B65" s="710" t="s">
        <v>275</v>
      </c>
      <c r="C65" s="353">
        <v>2023</v>
      </c>
      <c r="D65" s="465"/>
      <c r="E65" s="711">
        <v>5.4000000000000003E-3</v>
      </c>
      <c r="F65" s="725">
        <f t="shared" si="3"/>
        <v>1.9517491093639581</v>
      </c>
      <c r="G65" s="730">
        <f t="shared" si="4"/>
        <v>1.0539445190565374E-2</v>
      </c>
      <c r="H65" s="344">
        <f t="shared" si="2"/>
        <v>1.9622885545545234</v>
      </c>
      <c r="I65" s="101">
        <f t="shared" si="1"/>
        <v>56</v>
      </c>
      <c r="J65" s="345"/>
    </row>
    <row r="66" spans="1:10">
      <c r="A66" s="101">
        <f t="shared" si="0"/>
        <v>57</v>
      </c>
      <c r="B66" s="710" t="s">
        <v>276</v>
      </c>
      <c r="C66" s="353">
        <v>2023</v>
      </c>
      <c r="D66" s="465"/>
      <c r="E66" s="711">
        <v>4.7999999999999996E-3</v>
      </c>
      <c r="F66" s="725">
        <f t="shared" si="3"/>
        <v>1.9622885545545234</v>
      </c>
      <c r="G66" s="730">
        <f t="shared" si="4"/>
        <v>9.4189850618617114E-3</v>
      </c>
      <c r="H66" s="344">
        <f t="shared" si="2"/>
        <v>1.9717075396163852</v>
      </c>
      <c r="I66" s="101">
        <f t="shared" si="1"/>
        <v>57</v>
      </c>
      <c r="J66" s="345"/>
    </row>
    <row r="67" spans="1:10">
      <c r="A67" s="101">
        <f t="shared" si="0"/>
        <v>58</v>
      </c>
      <c r="B67" s="710" t="s">
        <v>277</v>
      </c>
      <c r="C67" s="353">
        <v>2023</v>
      </c>
      <c r="D67" s="465"/>
      <c r="E67" s="711">
        <v>5.4000000000000003E-3</v>
      </c>
      <c r="F67" s="725">
        <f t="shared" si="3"/>
        <v>1.9717075396163852</v>
      </c>
      <c r="G67" s="730">
        <f t="shared" si="4"/>
        <v>1.0647220713928481E-2</v>
      </c>
      <c r="H67" s="344">
        <f t="shared" si="2"/>
        <v>1.9823547603303138</v>
      </c>
      <c r="I67" s="101">
        <f t="shared" si="1"/>
        <v>58</v>
      </c>
      <c r="J67" s="345"/>
    </row>
    <row r="68" spans="1:10">
      <c r="A68" s="101">
        <f t="shared" si="0"/>
        <v>59</v>
      </c>
      <c r="B68" s="710" t="s">
        <v>278</v>
      </c>
      <c r="C68" s="353">
        <v>2023</v>
      </c>
      <c r="D68" s="465"/>
      <c r="E68" s="711">
        <v>6.1999999999999998E-3</v>
      </c>
      <c r="F68" s="725">
        <f t="shared" si="3"/>
        <v>1.9823547603303138</v>
      </c>
      <c r="G68" s="730">
        <f>(H67+F68)/2*E68</f>
        <v>1.2290599514047944E-2</v>
      </c>
      <c r="H68" s="344">
        <f t="shared" si="2"/>
        <v>1.9946453598443616</v>
      </c>
      <c r="I68" s="101">
        <f t="shared" si="1"/>
        <v>59</v>
      </c>
      <c r="J68" s="345"/>
    </row>
    <row r="69" spans="1:10">
      <c r="A69" s="101">
        <f t="shared" si="0"/>
        <v>60</v>
      </c>
      <c r="B69" s="710" t="s">
        <v>279</v>
      </c>
      <c r="C69" s="353">
        <v>2023</v>
      </c>
      <c r="D69" s="465"/>
      <c r="E69" s="711">
        <v>6.4000000000000003E-3</v>
      </c>
      <c r="F69" s="725">
        <f t="shared" si="3"/>
        <v>1.9946453598443616</v>
      </c>
      <c r="G69" s="730">
        <f>(H68+F69)/2*E69</f>
        <v>1.2765730303003915E-2</v>
      </c>
      <c r="H69" s="344">
        <f t="shared" si="2"/>
        <v>2.0074110901473654</v>
      </c>
      <c r="I69" s="101">
        <f t="shared" si="1"/>
        <v>60</v>
      </c>
      <c r="J69" s="345"/>
    </row>
    <row r="70" spans="1:10">
      <c r="A70" s="101">
        <f>A69+1</f>
        <v>61</v>
      </c>
      <c r="B70" s="710" t="s">
        <v>280</v>
      </c>
      <c r="C70" s="353">
        <v>2023</v>
      </c>
      <c r="D70" s="465"/>
      <c r="E70" s="711">
        <v>6.1999999999999998E-3</v>
      </c>
      <c r="F70" s="725">
        <f>H69+D70</f>
        <v>2.0074110901473654</v>
      </c>
      <c r="G70" s="730">
        <f>(H69+F70)/2*E70</f>
        <v>1.2445948758913665E-2</v>
      </c>
      <c r="H70" s="344">
        <f>F70+G70</f>
        <v>2.0198570389062791</v>
      </c>
      <c r="I70" s="101">
        <f>I69+1</f>
        <v>61</v>
      </c>
      <c r="J70" s="345"/>
    </row>
    <row r="71" spans="1:10">
      <c r="A71" s="101">
        <f t="shared" ref="A71:A77" si="8">A70+1</f>
        <v>62</v>
      </c>
      <c r="B71" s="710" t="s">
        <v>281</v>
      </c>
      <c r="C71" s="353">
        <v>2023</v>
      </c>
      <c r="D71" s="465"/>
      <c r="E71" s="711">
        <v>6.7999999999999996E-3</v>
      </c>
      <c r="F71" s="725">
        <f t="shared" ref="F71:F76" si="9">H70+D71</f>
        <v>2.0198570389062791</v>
      </c>
      <c r="G71" s="730">
        <f t="shared" ref="G71:G76" si="10">(H70+F71)/2*E71</f>
        <v>1.3735027864562698E-2</v>
      </c>
      <c r="H71" s="344">
        <f t="shared" ref="H71:H76" si="11">F71+G71</f>
        <v>2.0335920667708418</v>
      </c>
      <c r="I71" s="101">
        <f t="shared" ref="I71:I77" si="12">I70+1</f>
        <v>62</v>
      </c>
      <c r="J71" s="345"/>
    </row>
    <row r="72" spans="1:10">
      <c r="A72" s="101">
        <f t="shared" si="8"/>
        <v>63</v>
      </c>
      <c r="B72" s="710" t="s">
        <v>282</v>
      </c>
      <c r="C72" s="353">
        <v>2023</v>
      </c>
      <c r="D72" s="465"/>
      <c r="E72" s="711">
        <v>6.7999999999999996E-3</v>
      </c>
      <c r="F72" s="725">
        <f t="shared" si="9"/>
        <v>2.0335920667708418</v>
      </c>
      <c r="G72" s="730">
        <f t="shared" si="10"/>
        <v>1.3828426054041724E-2</v>
      </c>
      <c r="H72" s="344">
        <f t="shared" si="11"/>
        <v>2.0474204928248834</v>
      </c>
      <c r="I72" s="101">
        <f t="shared" si="12"/>
        <v>63</v>
      </c>
      <c r="J72" s="345"/>
    </row>
    <row r="73" spans="1:10">
      <c r="A73" s="101">
        <f t="shared" si="8"/>
        <v>64</v>
      </c>
      <c r="B73" s="710" t="s">
        <v>283</v>
      </c>
      <c r="C73" s="353">
        <v>2023</v>
      </c>
      <c r="D73" s="465"/>
      <c r="E73" s="711">
        <v>6.6E-3</v>
      </c>
      <c r="F73" s="725">
        <f t="shared" si="9"/>
        <v>2.0474204928248834</v>
      </c>
      <c r="G73" s="730">
        <f t="shared" si="10"/>
        <v>1.351297525264423E-2</v>
      </c>
      <c r="H73" s="344">
        <f t="shared" si="11"/>
        <v>2.0609334680775278</v>
      </c>
      <c r="I73" s="101">
        <f t="shared" si="12"/>
        <v>64</v>
      </c>
      <c r="J73" s="345"/>
    </row>
    <row r="74" spans="1:10">
      <c r="A74" s="101">
        <f t="shared" si="8"/>
        <v>65</v>
      </c>
      <c r="B74" s="710" t="s">
        <v>284</v>
      </c>
      <c r="C74" s="353">
        <v>2023</v>
      </c>
      <c r="D74" s="465"/>
      <c r="E74" s="711">
        <v>7.1000000000000004E-3</v>
      </c>
      <c r="F74" s="725">
        <f t="shared" si="9"/>
        <v>2.0609334680775278</v>
      </c>
      <c r="G74" s="730">
        <f t="shared" si="10"/>
        <v>1.4632627623350448E-2</v>
      </c>
      <c r="H74" s="344">
        <f t="shared" si="11"/>
        <v>2.0755660957008781</v>
      </c>
      <c r="I74" s="101">
        <f t="shared" si="12"/>
        <v>65</v>
      </c>
      <c r="J74" s="345"/>
    </row>
    <row r="75" spans="1:10">
      <c r="A75" s="101">
        <f t="shared" si="8"/>
        <v>66</v>
      </c>
      <c r="B75" s="710" t="s">
        <v>285</v>
      </c>
      <c r="C75" s="353">
        <v>2023</v>
      </c>
      <c r="D75" s="465"/>
      <c r="E75" s="711">
        <v>6.8999999999999999E-3</v>
      </c>
      <c r="F75" s="725">
        <f t="shared" si="9"/>
        <v>2.0755660957008781</v>
      </c>
      <c r="G75" s="730">
        <f t="shared" si="10"/>
        <v>1.4321406060336059E-2</v>
      </c>
      <c r="H75" s="344">
        <f t="shared" si="11"/>
        <v>2.0898875017612144</v>
      </c>
      <c r="I75" s="101">
        <f t="shared" si="12"/>
        <v>66</v>
      </c>
      <c r="J75" s="345"/>
    </row>
    <row r="76" spans="1:10">
      <c r="A76" s="101">
        <f t="shared" si="8"/>
        <v>67</v>
      </c>
      <c r="B76" s="712" t="s">
        <v>286</v>
      </c>
      <c r="C76" s="354">
        <v>2023</v>
      </c>
      <c r="D76" s="348"/>
      <c r="E76" s="741">
        <v>7.1000000000000004E-3</v>
      </c>
      <c r="F76" s="726">
        <f t="shared" si="9"/>
        <v>2.0898875017612144</v>
      </c>
      <c r="G76" s="729">
        <f t="shared" si="10"/>
        <v>1.4838201262504623E-2</v>
      </c>
      <c r="H76" s="349">
        <f t="shared" si="11"/>
        <v>2.104725703023719</v>
      </c>
      <c r="I76" s="101">
        <f t="shared" si="12"/>
        <v>67</v>
      </c>
      <c r="J76" s="345"/>
    </row>
    <row r="77" spans="1:10" ht="16.5" thickBot="1">
      <c r="A77" s="101">
        <f t="shared" si="8"/>
        <v>68</v>
      </c>
      <c r="D77" s="714">
        <f>SUM(D17:D76)</f>
        <v>1.6983961908938456</v>
      </c>
      <c r="E77" s="715"/>
      <c r="F77" s="716"/>
      <c r="G77" s="773">
        <f>SUM(G17:G76)</f>
        <v>0.40632951212987239</v>
      </c>
      <c r="H77" s="717"/>
      <c r="I77" s="101">
        <f t="shared" si="12"/>
        <v>68</v>
      </c>
    </row>
    <row r="78" spans="1:10" ht="16.5" thickTop="1">
      <c r="D78" s="350"/>
      <c r="E78" s="350"/>
      <c r="F78" s="350"/>
      <c r="G78" s="378"/>
      <c r="H78" s="378"/>
    </row>
    <row r="79" spans="1:10" ht="18.75">
      <c r="A79" s="351">
        <v>1</v>
      </c>
      <c r="B79" s="87" t="s">
        <v>288</v>
      </c>
      <c r="C79" s="88"/>
    </row>
    <row r="80" spans="1:10" ht="18.75">
      <c r="A80" s="351">
        <v>2</v>
      </c>
      <c r="B80" s="87" t="s">
        <v>591</v>
      </c>
    </row>
    <row r="81" spans="1:3" ht="18.75">
      <c r="A81" s="351">
        <v>3</v>
      </c>
      <c r="B81" s="87" t="s">
        <v>592</v>
      </c>
    </row>
    <row r="82" spans="1:3">
      <c r="B82" s="87" t="s">
        <v>593</v>
      </c>
    </row>
    <row r="83" spans="1:3">
      <c r="A83" s="718"/>
      <c r="B83" s="719" t="s">
        <v>594</v>
      </c>
      <c r="C83" s="719"/>
    </row>
  </sheetData>
  <mergeCells count="5">
    <mergeCell ref="B2:H2"/>
    <mergeCell ref="B4:H4"/>
    <mergeCell ref="B5:H5"/>
    <mergeCell ref="B6:H6"/>
    <mergeCell ref="B3:H3"/>
  </mergeCells>
  <printOptions horizontalCentered="1"/>
  <pageMargins left="0.25" right="0.25" top="0.5" bottom="0.75" header="0.35" footer="0.25"/>
  <pageSetup scale="53" orientation="portrait" r:id="rId1"/>
  <headerFooter scaleWithDoc="0" alignWithMargins="0">
    <oddFooter>&amp;L&amp;F&amp;CPage 14&amp;R&amp;A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21CD-7026-4822-AABA-7E043402A3CB}">
  <sheetPr>
    <pageSetUpPr fitToPage="1"/>
  </sheetPr>
  <dimension ref="A1:J57"/>
  <sheetViews>
    <sheetView zoomScale="80" zoomScaleNormal="80" workbookViewId="0"/>
  </sheetViews>
  <sheetFormatPr defaultColWidth="8.85546875" defaultRowHeight="15.75"/>
  <cols>
    <col min="1" max="1" width="5.140625" style="101" customWidth="1"/>
    <col min="2" max="2" width="73.140625" style="1" bestFit="1" customWidth="1"/>
    <col min="3" max="3" width="17.5703125" style="1" customWidth="1"/>
    <col min="4" max="4" width="1.5703125" style="1" customWidth="1"/>
    <col min="5" max="5" width="51.42578125" style="1" bestFit="1" customWidth="1"/>
    <col min="6" max="6" width="5.140625" style="101" customWidth="1"/>
    <col min="7" max="16384" width="8.85546875" style="1"/>
  </cols>
  <sheetData>
    <row r="1" spans="1:8">
      <c r="A1" s="520"/>
      <c r="B1" s="55"/>
      <c r="C1" s="55"/>
      <c r="D1" s="55"/>
      <c r="E1" s="585"/>
      <c r="F1" s="520"/>
    </row>
    <row r="2" spans="1:8">
      <c r="A2" s="520"/>
      <c r="B2" s="777" t="s">
        <v>12</v>
      </c>
      <c r="C2" s="777"/>
      <c r="D2" s="777"/>
      <c r="E2" s="777"/>
      <c r="F2" s="55"/>
    </row>
    <row r="3" spans="1:8">
      <c r="B3" s="777" t="s">
        <v>380</v>
      </c>
      <c r="C3" s="777"/>
      <c r="D3" s="777"/>
      <c r="E3" s="777"/>
      <c r="F3" s="82"/>
    </row>
    <row r="4" spans="1:8">
      <c r="B4" s="777" t="s">
        <v>383</v>
      </c>
      <c r="C4" s="777"/>
      <c r="D4" s="777"/>
      <c r="E4" s="777"/>
      <c r="F4" s="82"/>
    </row>
    <row r="5" spans="1:8">
      <c r="A5" s="520"/>
      <c r="B5" s="779" t="s">
        <v>433</v>
      </c>
      <c r="C5" s="779"/>
      <c r="D5" s="779"/>
      <c r="E5" s="779"/>
      <c r="F5" s="520"/>
    </row>
    <row r="6" spans="1:8">
      <c r="B6" s="778" t="s">
        <v>1</v>
      </c>
      <c r="C6" s="777"/>
      <c r="D6" s="777"/>
      <c r="E6" s="777"/>
      <c r="F6" s="82"/>
    </row>
    <row r="7" spans="1:8" ht="16.5" thickBot="1">
      <c r="A7" s="520"/>
      <c r="B7" s="55"/>
      <c r="C7" s="45"/>
      <c r="D7" s="551"/>
      <c r="E7" s="45"/>
      <c r="F7" s="520"/>
    </row>
    <row r="8" spans="1:8">
      <c r="A8" s="275" t="s">
        <v>2</v>
      </c>
      <c r="B8" s="259"/>
      <c r="C8" s="586"/>
      <c r="D8" s="55"/>
      <c r="E8" s="529"/>
      <c r="F8" s="276" t="s">
        <v>2</v>
      </c>
    </row>
    <row r="9" spans="1:8">
      <c r="A9" s="275" t="s">
        <v>14</v>
      </c>
      <c r="B9" s="411" t="s">
        <v>296</v>
      </c>
      <c r="C9" s="587" t="s">
        <v>21</v>
      </c>
      <c r="D9" s="531"/>
      <c r="E9" s="531" t="s">
        <v>6</v>
      </c>
      <c r="F9" s="276" t="s">
        <v>14</v>
      </c>
    </row>
    <row r="10" spans="1:8">
      <c r="A10" s="275"/>
      <c r="B10" s="588"/>
      <c r="C10" s="589"/>
      <c r="D10" s="535"/>
      <c r="E10" s="534"/>
      <c r="F10" s="276"/>
    </row>
    <row r="11" spans="1:8">
      <c r="A11" s="275">
        <v>1</v>
      </c>
      <c r="B11" s="425" t="s">
        <v>103</v>
      </c>
      <c r="C11" s="737">
        <v>0</v>
      </c>
      <c r="D11" s="536"/>
      <c r="E11" s="334" t="s">
        <v>434</v>
      </c>
      <c r="F11" s="276">
        <f>A11</f>
        <v>1</v>
      </c>
      <c r="H11" s="355"/>
    </row>
    <row r="12" spans="1:8">
      <c r="A12" s="275">
        <f>A11+1</f>
        <v>2</v>
      </c>
      <c r="B12" s="358"/>
      <c r="C12" s="409"/>
      <c r="D12" s="537"/>
      <c r="E12" s="55"/>
      <c r="F12" s="276">
        <f>F11+1</f>
        <v>2</v>
      </c>
    </row>
    <row r="13" spans="1:8">
      <c r="A13" s="275">
        <f t="shared" ref="A13:A28" si="0">A12+1</f>
        <v>3</v>
      </c>
      <c r="B13" s="425" t="s">
        <v>104</v>
      </c>
      <c r="C13" s="738">
        <f>'Pg5 Rev Sec 2-Non-Direct Exp'!E35</f>
        <v>827.65188493136407</v>
      </c>
      <c r="D13" s="538" t="s">
        <v>417</v>
      </c>
      <c r="E13" s="334" t="s">
        <v>598</v>
      </c>
      <c r="F13" s="276">
        <f t="shared" ref="F13:F28" si="1">F12+1</f>
        <v>3</v>
      </c>
      <c r="H13" s="356"/>
    </row>
    <row r="14" spans="1:8">
      <c r="A14" s="275">
        <f t="shared" si="0"/>
        <v>4</v>
      </c>
      <c r="B14" s="358"/>
      <c r="C14" s="409"/>
      <c r="D14" s="537"/>
      <c r="E14" s="541"/>
      <c r="F14" s="276">
        <f t="shared" si="1"/>
        <v>4</v>
      </c>
    </row>
    <row r="15" spans="1:8">
      <c r="A15" s="275">
        <f t="shared" si="0"/>
        <v>5</v>
      </c>
      <c r="B15" s="11" t="s">
        <v>105</v>
      </c>
      <c r="C15" s="739">
        <v>7.6948476412275824</v>
      </c>
      <c r="D15" s="344"/>
      <c r="E15" s="334" t="s">
        <v>599</v>
      </c>
      <c r="F15" s="276">
        <f t="shared" si="1"/>
        <v>5</v>
      </c>
      <c r="H15" s="356"/>
    </row>
    <row r="16" spans="1:8">
      <c r="A16" s="275">
        <f t="shared" si="0"/>
        <v>6</v>
      </c>
      <c r="B16" s="41"/>
      <c r="C16" s="415"/>
      <c r="D16" s="344"/>
      <c r="E16" s="334"/>
      <c r="F16" s="276">
        <f t="shared" si="1"/>
        <v>6</v>
      </c>
      <c r="H16" s="356"/>
    </row>
    <row r="17" spans="1:10">
      <c r="A17" s="275">
        <f t="shared" si="0"/>
        <v>7</v>
      </c>
      <c r="B17" s="413" t="s">
        <v>420</v>
      </c>
      <c r="C17" s="591">
        <f>C11+C13+C15</f>
        <v>835.34673257259169</v>
      </c>
      <c r="D17" s="538" t="s">
        <v>417</v>
      </c>
      <c r="E17" s="70" t="s">
        <v>437</v>
      </c>
      <c r="F17" s="276">
        <f t="shared" si="1"/>
        <v>7</v>
      </c>
      <c r="H17" s="356"/>
    </row>
    <row r="18" spans="1:10">
      <c r="A18" s="275">
        <f t="shared" si="0"/>
        <v>8</v>
      </c>
      <c r="B18" s="62"/>
      <c r="C18" s="409"/>
      <c r="D18" s="537"/>
      <c r="E18" s="417"/>
      <c r="F18" s="276">
        <f t="shared" si="1"/>
        <v>8</v>
      </c>
    </row>
    <row r="19" spans="1:10">
      <c r="A19" s="275">
        <f t="shared" si="0"/>
        <v>9</v>
      </c>
      <c r="B19" s="425" t="s">
        <v>234</v>
      </c>
      <c r="C19" s="738">
        <f>'Pg7 Rev Sec. 4-TU'!N30</f>
        <v>-44.168808664247578</v>
      </c>
      <c r="D19" s="538" t="s">
        <v>417</v>
      </c>
      <c r="E19" s="334" t="s">
        <v>638</v>
      </c>
      <c r="F19" s="276">
        <f t="shared" si="1"/>
        <v>9</v>
      </c>
    </row>
    <row r="20" spans="1:10">
      <c r="A20" s="275">
        <f t="shared" si="0"/>
        <v>10</v>
      </c>
      <c r="B20" s="425"/>
      <c r="C20" s="409"/>
      <c r="D20" s="537"/>
      <c r="E20" s="544"/>
      <c r="F20" s="276">
        <f t="shared" si="1"/>
        <v>10</v>
      </c>
    </row>
    <row r="21" spans="1:10">
      <c r="A21" s="275">
        <f t="shared" si="0"/>
        <v>11</v>
      </c>
      <c r="B21" s="425" t="s">
        <v>106</v>
      </c>
      <c r="C21" s="739">
        <v>0</v>
      </c>
      <c r="D21" s="344"/>
      <c r="E21" s="70" t="s">
        <v>439</v>
      </c>
      <c r="F21" s="276">
        <f t="shared" si="1"/>
        <v>11</v>
      </c>
    </row>
    <row r="22" spans="1:10">
      <c r="A22" s="275">
        <f t="shared" si="0"/>
        <v>12</v>
      </c>
      <c r="B22" s="41"/>
      <c r="C22" s="410"/>
      <c r="D22" s="90"/>
      <c r="E22" s="70"/>
      <c r="F22" s="276">
        <f t="shared" si="1"/>
        <v>12</v>
      </c>
    </row>
    <row r="23" spans="1:10">
      <c r="A23" s="275">
        <f t="shared" si="0"/>
        <v>13</v>
      </c>
      <c r="B23" s="41" t="s">
        <v>297</v>
      </c>
      <c r="C23" s="106">
        <f>C17+C19+C21</f>
        <v>791.17792390834416</v>
      </c>
      <c r="D23" s="538" t="s">
        <v>417</v>
      </c>
      <c r="E23" s="70" t="s">
        <v>440</v>
      </c>
      <c r="F23" s="276">
        <f t="shared" si="1"/>
        <v>13</v>
      </c>
      <c r="H23" s="356"/>
    </row>
    <row r="24" spans="1:10">
      <c r="A24" s="275">
        <f t="shared" si="0"/>
        <v>14</v>
      </c>
      <c r="B24" s="386"/>
      <c r="C24" s="94"/>
      <c r="D24" s="103"/>
      <c r="E24" s="70"/>
      <c r="F24" s="276">
        <f t="shared" si="1"/>
        <v>14</v>
      </c>
      <c r="H24" s="356"/>
    </row>
    <row r="25" spans="1:10">
      <c r="A25" s="275">
        <f t="shared" si="0"/>
        <v>15</v>
      </c>
      <c r="B25" s="11" t="s">
        <v>298</v>
      </c>
      <c r="C25" s="652">
        <v>0</v>
      </c>
      <c r="D25" s="103"/>
      <c r="E25" s="70" t="s">
        <v>318</v>
      </c>
      <c r="F25" s="276">
        <f t="shared" si="1"/>
        <v>15</v>
      </c>
      <c r="H25" s="356"/>
    </row>
    <row r="26" spans="1:10">
      <c r="A26" s="275">
        <f t="shared" si="0"/>
        <v>16</v>
      </c>
      <c r="B26" s="45"/>
      <c r="C26" s="592"/>
      <c r="D26" s="546"/>
      <c r="E26" s="70"/>
      <c r="F26" s="276">
        <f t="shared" si="1"/>
        <v>16</v>
      </c>
    </row>
    <row r="27" spans="1:10" ht="16.5" thickBot="1">
      <c r="A27" s="275">
        <f t="shared" si="0"/>
        <v>17</v>
      </c>
      <c r="B27" s="413" t="s">
        <v>299</v>
      </c>
      <c r="C27" s="297">
        <f>C23+C25</f>
        <v>791.17792390834416</v>
      </c>
      <c r="D27" s="538" t="s">
        <v>417</v>
      </c>
      <c r="E27" s="70" t="s">
        <v>441</v>
      </c>
      <c r="F27" s="276">
        <f t="shared" si="1"/>
        <v>17</v>
      </c>
      <c r="I27" s="355"/>
      <c r="J27" s="357"/>
    </row>
    <row r="28" spans="1:10" ht="17.25" thickTop="1" thickBot="1">
      <c r="A28" s="275">
        <f t="shared" si="0"/>
        <v>18</v>
      </c>
      <c r="B28" s="593"/>
      <c r="C28" s="594"/>
      <c r="D28" s="551"/>
      <c r="E28" s="551"/>
      <c r="F28" s="276">
        <f t="shared" si="1"/>
        <v>18</v>
      </c>
    </row>
    <row r="30" spans="1:10" ht="16.5" thickBot="1">
      <c r="A30" s="520"/>
      <c r="B30" s="182"/>
      <c r="C30" s="553"/>
      <c r="D30" s="553"/>
      <c r="E30" s="553"/>
      <c r="F30" s="520"/>
    </row>
    <row r="31" spans="1:10">
      <c r="A31" s="275" t="s">
        <v>2</v>
      </c>
      <c r="B31" s="37"/>
      <c r="C31" s="586"/>
      <c r="D31" s="55"/>
      <c r="E31" s="55"/>
      <c r="F31" s="276" t="s">
        <v>2</v>
      </c>
    </row>
    <row r="32" spans="1:10">
      <c r="A32" s="275" t="s">
        <v>14</v>
      </c>
      <c r="B32" s="411" t="s">
        <v>300</v>
      </c>
      <c r="C32" s="587" t="str">
        <f>C9</f>
        <v>Amounts</v>
      </c>
      <c r="D32" s="531"/>
      <c r="E32" s="531" t="str">
        <f>E9</f>
        <v>Reference</v>
      </c>
      <c r="F32" s="276" t="s">
        <v>14</v>
      </c>
    </row>
    <row r="33" spans="1:6">
      <c r="A33" s="275">
        <f>A28+1</f>
        <v>19</v>
      </c>
      <c r="B33" s="36"/>
      <c r="C33" s="589"/>
      <c r="D33" s="535"/>
      <c r="E33" s="534"/>
      <c r="F33" s="276">
        <f>F28+1</f>
        <v>19</v>
      </c>
    </row>
    <row r="34" spans="1:6">
      <c r="A34" s="275">
        <f>A33+1</f>
        <v>20</v>
      </c>
      <c r="B34" s="425" t="str">
        <f>B11</f>
        <v>Section 1 - Direct Maintenance Expense Cost Component</v>
      </c>
      <c r="C34" s="595">
        <f>C11/12</f>
        <v>0</v>
      </c>
      <c r="D34" s="556"/>
      <c r="E34" s="334" t="str">
        <f>"Line "&amp;A11&amp;" / "&amp;C50&amp;" Months"</f>
        <v>Line 1 / 12 Months</v>
      </c>
      <c r="F34" s="276">
        <f>F33+1</f>
        <v>20</v>
      </c>
    </row>
    <row r="35" spans="1:6">
      <c r="A35" s="275">
        <f t="shared" ref="A35:A53" si="2">A34+1</f>
        <v>21</v>
      </c>
      <c r="B35" s="358"/>
      <c r="C35" s="596"/>
      <c r="D35" s="557"/>
      <c r="E35" s="46"/>
      <c r="F35" s="276">
        <f t="shared" ref="F35:F53" si="3">F34+1</f>
        <v>21</v>
      </c>
    </row>
    <row r="36" spans="1:6">
      <c r="A36" s="275">
        <f t="shared" si="2"/>
        <v>22</v>
      </c>
      <c r="B36" s="425" t="str">
        <f>B13</f>
        <v>Section 2 - Non-Direct Expense Cost Component</v>
      </c>
      <c r="C36" s="597">
        <f>C13/12</f>
        <v>68.97099041094701</v>
      </c>
      <c r="D36" s="538" t="s">
        <v>417</v>
      </c>
      <c r="E36" s="334" t="str">
        <f>"Line "&amp;A13&amp;" / "&amp;C50&amp;" Months"</f>
        <v>Line 3 / 12 Months</v>
      </c>
      <c r="F36" s="276">
        <f t="shared" si="3"/>
        <v>22</v>
      </c>
    </row>
    <row r="37" spans="1:6">
      <c r="A37" s="275">
        <f t="shared" si="2"/>
        <v>23</v>
      </c>
      <c r="B37" s="358"/>
      <c r="C37" s="598"/>
      <c r="D37" s="561"/>
      <c r="E37" s="562"/>
      <c r="F37" s="276">
        <f t="shared" si="3"/>
        <v>23</v>
      </c>
    </row>
    <row r="38" spans="1:6">
      <c r="A38" s="275">
        <f t="shared" si="2"/>
        <v>24</v>
      </c>
      <c r="B38" s="425" t="str">
        <f>B15</f>
        <v>Section 3 - Cost Component Containing Other Specific Expenses</v>
      </c>
      <c r="C38" s="423">
        <f>C15/12</f>
        <v>0.6412373034356319</v>
      </c>
      <c r="D38" s="564"/>
      <c r="E38" s="334" t="str">
        <f>"Line "&amp;A15&amp;" / "&amp;C50&amp;" Months"</f>
        <v>Line 5 / 12 Months</v>
      </c>
      <c r="F38" s="276">
        <f t="shared" si="3"/>
        <v>24</v>
      </c>
    </row>
    <row r="39" spans="1:6">
      <c r="A39" s="275">
        <f t="shared" si="2"/>
        <v>25</v>
      </c>
      <c r="B39" s="62"/>
      <c r="C39" s="599"/>
      <c r="D39" s="561"/>
      <c r="E39" s="334"/>
      <c r="F39" s="276">
        <f t="shared" si="3"/>
        <v>25</v>
      </c>
    </row>
    <row r="40" spans="1:6">
      <c r="A40" s="275">
        <f t="shared" si="2"/>
        <v>26</v>
      </c>
      <c r="B40" s="413" t="s">
        <v>427</v>
      </c>
      <c r="C40" s="600">
        <f>C34+C36+C38</f>
        <v>69.612227714382641</v>
      </c>
      <c r="D40" s="538" t="s">
        <v>417</v>
      </c>
      <c r="E40" s="70" t="str">
        <f>"Sum Lines "&amp;A34&amp;", "&amp;A36&amp;", "&amp;A38</f>
        <v>Sum Lines 20, 22, 24</v>
      </c>
      <c r="F40" s="276">
        <f t="shared" si="3"/>
        <v>26</v>
      </c>
    </row>
    <row r="41" spans="1:6">
      <c r="A41" s="275">
        <f t="shared" si="2"/>
        <v>27</v>
      </c>
      <c r="B41" s="36"/>
      <c r="C41" s="598"/>
      <c r="D41" s="561"/>
      <c r="E41" s="541"/>
      <c r="F41" s="276">
        <f t="shared" si="3"/>
        <v>27</v>
      </c>
    </row>
    <row r="42" spans="1:6">
      <c r="A42" s="275">
        <f t="shared" si="2"/>
        <v>28</v>
      </c>
      <c r="B42" s="425" t="str">
        <f>LEFT(B19,45)</f>
        <v>Section 4 - True-Up Adjustment Cost Component</v>
      </c>
      <c r="C42" s="597">
        <f>C19/12</f>
        <v>-3.6807340553539647</v>
      </c>
      <c r="D42" s="538" t="s">
        <v>417</v>
      </c>
      <c r="E42" s="334" t="str">
        <f>"Line "&amp;A19&amp;" / "&amp;C50&amp;" Months"</f>
        <v>Line 9 / 12 Months</v>
      </c>
      <c r="F42" s="276">
        <f t="shared" si="3"/>
        <v>28</v>
      </c>
    </row>
    <row r="43" spans="1:6">
      <c r="A43" s="275">
        <f t="shared" si="2"/>
        <v>29</v>
      </c>
      <c r="B43" s="425"/>
      <c r="C43" s="598"/>
      <c r="D43" s="561"/>
      <c r="E43" s="571"/>
      <c r="F43" s="276">
        <f t="shared" si="3"/>
        <v>29</v>
      </c>
    </row>
    <row r="44" spans="1:6">
      <c r="A44" s="275">
        <f t="shared" si="2"/>
        <v>30</v>
      </c>
      <c r="B44" s="425" t="str">
        <f>B21</f>
        <v>Section 5 - Interest True-Up Adjustment Cost Component</v>
      </c>
      <c r="C44" s="601">
        <f>C21/12</f>
        <v>0</v>
      </c>
      <c r="D44" s="564"/>
      <c r="E44" s="70" t="str">
        <f>"Line "&amp;A21&amp;" / "&amp;C50&amp;" Months"</f>
        <v>Line 11 / 12 Months</v>
      </c>
      <c r="F44" s="276">
        <f t="shared" si="3"/>
        <v>30</v>
      </c>
    </row>
    <row r="45" spans="1:6">
      <c r="A45" s="275">
        <f t="shared" si="2"/>
        <v>31</v>
      </c>
      <c r="B45" s="62"/>
      <c r="C45" s="391"/>
      <c r="D45" s="6"/>
      <c r="E45" s="387"/>
      <c r="F45" s="276">
        <f t="shared" si="3"/>
        <v>31</v>
      </c>
    </row>
    <row r="46" spans="1:6">
      <c r="A46" s="275">
        <f t="shared" si="2"/>
        <v>32</v>
      </c>
      <c r="B46" s="11" t="str">
        <f>B25</f>
        <v>Other Adjustments</v>
      </c>
      <c r="C46" s="423">
        <f>C25/12</f>
        <v>0</v>
      </c>
      <c r="D46" s="564"/>
      <c r="E46" s="70" t="str">
        <f>"Line "&amp;A25&amp;" / "&amp;C50&amp;" Months"</f>
        <v>Line 15 / 12 Months</v>
      </c>
      <c r="F46" s="276">
        <f t="shared" si="3"/>
        <v>32</v>
      </c>
    </row>
    <row r="47" spans="1:6">
      <c r="A47" s="275">
        <f t="shared" si="2"/>
        <v>33</v>
      </c>
      <c r="B47" s="41"/>
      <c r="C47" s="391"/>
      <c r="D47" s="6"/>
      <c r="E47" s="387"/>
      <c r="F47" s="276">
        <f t="shared" si="3"/>
        <v>33</v>
      </c>
    </row>
    <row r="48" spans="1:6" ht="16.5" thickBot="1">
      <c r="A48" s="275">
        <f t="shared" si="2"/>
        <v>34</v>
      </c>
      <c r="B48" s="41" t="s">
        <v>301</v>
      </c>
      <c r="C48" s="427">
        <f>C40+C42+C44+C46</f>
        <v>65.931493659028675</v>
      </c>
      <c r="D48" s="538" t="s">
        <v>417</v>
      </c>
      <c r="E48" s="70" t="str">
        <f>"Sum Lines "&amp;A40&amp;", "&amp;A42&amp;", "&amp;A44&amp;", "&amp;A46</f>
        <v>Sum Lines 26, 28, 30, 32</v>
      </c>
      <c r="F48" s="276">
        <f t="shared" si="3"/>
        <v>34</v>
      </c>
    </row>
    <row r="49" spans="1:6" ht="16.5" thickTop="1">
      <c r="A49" s="275">
        <f t="shared" si="2"/>
        <v>35</v>
      </c>
      <c r="B49" s="36"/>
      <c r="C49" s="602"/>
      <c r="D49" s="575"/>
      <c r="E49" s="576"/>
      <c r="F49" s="276">
        <f t="shared" si="3"/>
        <v>35</v>
      </c>
    </row>
    <row r="50" spans="1:6">
      <c r="A50" s="275">
        <f t="shared" si="2"/>
        <v>36</v>
      </c>
      <c r="B50" s="358" t="s">
        <v>245</v>
      </c>
      <c r="C50" s="740">
        <v>12</v>
      </c>
      <c r="D50" s="577"/>
      <c r="E50" s="576"/>
      <c r="F50" s="276">
        <f t="shared" si="3"/>
        <v>36</v>
      </c>
    </row>
    <row r="51" spans="1:6">
      <c r="A51" s="275">
        <f t="shared" si="2"/>
        <v>37</v>
      </c>
      <c r="B51" s="36"/>
      <c r="C51" s="602"/>
      <c r="D51" s="575"/>
      <c r="E51" s="579"/>
      <c r="F51" s="276">
        <f t="shared" si="3"/>
        <v>37</v>
      </c>
    </row>
    <row r="52" spans="1:6" ht="16.5" thickBot="1">
      <c r="A52" s="275">
        <f t="shared" si="2"/>
        <v>38</v>
      </c>
      <c r="B52" s="413" t="str">
        <f>B27</f>
        <v>Total Annual Costs</v>
      </c>
      <c r="C52" s="604">
        <f>C48*C50</f>
        <v>791.17792390834416</v>
      </c>
      <c r="D52" s="538" t="s">
        <v>417</v>
      </c>
      <c r="E52" s="70" t="str">
        <f>"Line "&amp;A48&amp;" x Line "&amp;A50</f>
        <v>Line 34 x Line 36</v>
      </c>
      <c r="F52" s="276">
        <f t="shared" si="3"/>
        <v>38</v>
      </c>
    </row>
    <row r="53" spans="1:6" ht="17.25" thickTop="1" thickBot="1">
      <c r="A53" s="275">
        <f t="shared" si="2"/>
        <v>39</v>
      </c>
      <c r="B53" s="551"/>
      <c r="C53" s="15"/>
      <c r="D53" s="583"/>
      <c r="E53" s="584"/>
      <c r="F53" s="276">
        <f t="shared" si="3"/>
        <v>39</v>
      </c>
    </row>
    <row r="56" spans="1:6">
      <c r="A56" s="538" t="s">
        <v>417</v>
      </c>
      <c r="B56" s="5" t="s">
        <v>640</v>
      </c>
    </row>
    <row r="57" spans="1:6">
      <c r="B57" s="5" t="s">
        <v>639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5" right="0.5" top="0.5" bottom="0.5" header="0.35" footer="0.25"/>
  <pageSetup scale="62" orientation="portrait" r:id="rId1"/>
  <headerFooter scaleWithDoc="0" alignWithMargins="0">
    <oddHeader>&amp;C&amp;"Times New Roman,Bold"&amp;7REVISED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01ED-5CAC-4018-B5BF-6544FD8BBBAE}">
  <sheetPr>
    <pageSetUpPr fitToPage="1"/>
  </sheetPr>
  <dimension ref="A1:J56"/>
  <sheetViews>
    <sheetView zoomScale="80" zoomScaleNormal="80" workbookViewId="0"/>
  </sheetViews>
  <sheetFormatPr defaultColWidth="8.85546875" defaultRowHeight="15.75"/>
  <cols>
    <col min="1" max="1" width="5.140625" style="101" customWidth="1"/>
    <col min="2" max="2" width="73.140625" style="1" bestFit="1" customWidth="1"/>
    <col min="3" max="3" width="14.85546875" style="1" customWidth="1"/>
    <col min="4" max="4" width="1.5703125" style="1" customWidth="1"/>
    <col min="5" max="5" width="51.42578125" style="1" bestFit="1" customWidth="1"/>
    <col min="6" max="6" width="5.140625" style="101" customWidth="1"/>
    <col min="7" max="16384" width="8.85546875" style="1"/>
  </cols>
  <sheetData>
    <row r="1" spans="1:8">
      <c r="A1" s="605" t="s">
        <v>443</v>
      </c>
    </row>
    <row r="2" spans="1:8">
      <c r="A2" s="520"/>
      <c r="B2" s="55"/>
      <c r="C2" s="55"/>
      <c r="D2" s="55"/>
      <c r="E2" s="585"/>
      <c r="F2" s="520"/>
    </row>
    <row r="3" spans="1:8">
      <c r="A3" s="520"/>
      <c r="B3" s="777" t="s">
        <v>12</v>
      </c>
      <c r="C3" s="777"/>
      <c r="D3" s="777"/>
      <c r="E3" s="777"/>
      <c r="F3" s="55"/>
    </row>
    <row r="4" spans="1:8">
      <c r="B4" s="777" t="s">
        <v>380</v>
      </c>
      <c r="C4" s="777"/>
      <c r="D4" s="777"/>
      <c r="E4" s="777"/>
      <c r="F4" s="82"/>
    </row>
    <row r="5" spans="1:8">
      <c r="B5" s="777" t="s">
        <v>383</v>
      </c>
      <c r="C5" s="777"/>
      <c r="D5" s="777"/>
      <c r="E5" s="777"/>
      <c r="F5" s="82"/>
    </row>
    <row r="6" spans="1:8">
      <c r="A6" s="520"/>
      <c r="B6" s="779" t="s">
        <v>433</v>
      </c>
      <c r="C6" s="779"/>
      <c r="D6" s="779"/>
      <c r="E6" s="779"/>
      <c r="F6" s="520"/>
    </row>
    <row r="7" spans="1:8">
      <c r="B7" s="778" t="s">
        <v>1</v>
      </c>
      <c r="C7" s="777"/>
      <c r="D7" s="777"/>
      <c r="E7" s="777"/>
      <c r="F7" s="82"/>
    </row>
    <row r="8" spans="1:8" ht="16.5" thickBot="1">
      <c r="A8" s="520"/>
      <c r="B8" s="55"/>
      <c r="C8" s="45"/>
      <c r="D8" s="551"/>
      <c r="E8" s="45"/>
      <c r="F8" s="520"/>
    </row>
    <row r="9" spans="1:8">
      <c r="A9" s="275" t="s">
        <v>2</v>
      </c>
      <c r="B9" s="259"/>
      <c r="C9" s="586"/>
      <c r="D9" s="55"/>
      <c r="E9" s="529"/>
      <c r="F9" s="276" t="s">
        <v>2</v>
      </c>
    </row>
    <row r="10" spans="1:8">
      <c r="A10" s="275" t="s">
        <v>14</v>
      </c>
      <c r="B10" s="411" t="s">
        <v>296</v>
      </c>
      <c r="C10" s="587" t="s">
        <v>21</v>
      </c>
      <c r="D10" s="531"/>
      <c r="E10" s="531" t="s">
        <v>6</v>
      </c>
      <c r="F10" s="276" t="s">
        <v>14</v>
      </c>
    </row>
    <row r="11" spans="1:8">
      <c r="A11" s="275"/>
      <c r="B11" s="588"/>
      <c r="C11" s="589"/>
      <c r="D11" s="535"/>
      <c r="E11" s="534"/>
      <c r="F11" s="276"/>
    </row>
    <row r="12" spans="1:8">
      <c r="A12" s="275">
        <v>1</v>
      </c>
      <c r="B12" s="425" t="s">
        <v>103</v>
      </c>
      <c r="C12" s="435">
        <v>0</v>
      </c>
      <c r="D12" s="536"/>
      <c r="E12" s="334" t="s">
        <v>434</v>
      </c>
      <c r="F12" s="276">
        <f>A12</f>
        <v>1</v>
      </c>
      <c r="H12" s="355"/>
    </row>
    <row r="13" spans="1:8">
      <c r="A13" s="275">
        <f>A12+1</f>
        <v>2</v>
      </c>
      <c r="B13" s="358"/>
      <c r="C13" s="409"/>
      <c r="D13" s="537"/>
      <c r="E13" s="55"/>
      <c r="F13" s="276">
        <f>F12+1</f>
        <v>2</v>
      </c>
    </row>
    <row r="14" spans="1:8">
      <c r="A14" s="275">
        <f t="shared" ref="A14:A29" si="0">A13+1</f>
        <v>3</v>
      </c>
      <c r="B14" s="425" t="s">
        <v>104</v>
      </c>
      <c r="C14" s="590">
        <v>826.58556167020424</v>
      </c>
      <c r="D14" s="538" t="s">
        <v>417</v>
      </c>
      <c r="E14" s="334" t="s">
        <v>435</v>
      </c>
      <c r="F14" s="276">
        <f t="shared" ref="F14:F29" si="1">F13+1</f>
        <v>3</v>
      </c>
      <c r="H14" s="356"/>
    </row>
    <row r="15" spans="1:8">
      <c r="A15" s="275">
        <f t="shared" si="0"/>
        <v>4</v>
      </c>
      <c r="B15" s="358"/>
      <c r="C15" s="409"/>
      <c r="D15" s="537"/>
      <c r="E15" s="541"/>
      <c r="F15" s="276">
        <f t="shared" si="1"/>
        <v>4</v>
      </c>
    </row>
    <row r="16" spans="1:8">
      <c r="A16" s="275">
        <f t="shared" si="0"/>
        <v>5</v>
      </c>
      <c r="B16" s="11" t="s">
        <v>105</v>
      </c>
      <c r="C16" s="414">
        <v>7.6948476412275824</v>
      </c>
      <c r="D16" s="344"/>
      <c r="E16" s="334" t="s">
        <v>436</v>
      </c>
      <c r="F16" s="276">
        <f t="shared" si="1"/>
        <v>5</v>
      </c>
      <c r="H16" s="356"/>
    </row>
    <row r="17" spans="1:10">
      <c r="A17" s="275">
        <f t="shared" si="0"/>
        <v>6</v>
      </c>
      <c r="B17" s="41"/>
      <c r="C17" s="415"/>
      <c r="D17" s="344"/>
      <c r="E17" s="334"/>
      <c r="F17" s="276">
        <f t="shared" si="1"/>
        <v>6</v>
      </c>
      <c r="H17" s="356"/>
    </row>
    <row r="18" spans="1:10">
      <c r="A18" s="275">
        <f t="shared" si="0"/>
        <v>7</v>
      </c>
      <c r="B18" s="413" t="s">
        <v>420</v>
      </c>
      <c r="C18" s="591">
        <f>C12+C14+C16</f>
        <v>834.28040931143187</v>
      </c>
      <c r="D18" s="538" t="s">
        <v>417</v>
      </c>
      <c r="E18" s="70" t="s">
        <v>437</v>
      </c>
      <c r="F18" s="276">
        <f t="shared" si="1"/>
        <v>7</v>
      </c>
      <c r="H18" s="356"/>
    </row>
    <row r="19" spans="1:10">
      <c r="A19" s="275">
        <f t="shared" si="0"/>
        <v>8</v>
      </c>
      <c r="B19" s="62"/>
      <c r="C19" s="409"/>
      <c r="D19" s="537"/>
      <c r="E19" s="417"/>
      <c r="F19" s="276">
        <f t="shared" si="1"/>
        <v>8</v>
      </c>
    </row>
    <row r="20" spans="1:10">
      <c r="A20" s="275">
        <f t="shared" si="0"/>
        <v>9</v>
      </c>
      <c r="B20" s="425" t="s">
        <v>234</v>
      </c>
      <c r="C20" s="590">
        <v>-44.800881593981615</v>
      </c>
      <c r="D20" s="538" t="s">
        <v>417</v>
      </c>
      <c r="E20" s="334" t="s">
        <v>438</v>
      </c>
      <c r="F20" s="276">
        <f t="shared" si="1"/>
        <v>9</v>
      </c>
    </row>
    <row r="21" spans="1:10">
      <c r="A21" s="275">
        <f t="shared" si="0"/>
        <v>10</v>
      </c>
      <c r="B21" s="425"/>
      <c r="C21" s="409"/>
      <c r="D21" s="537"/>
      <c r="E21" s="544"/>
      <c r="F21" s="276">
        <f t="shared" si="1"/>
        <v>10</v>
      </c>
    </row>
    <row r="22" spans="1:10">
      <c r="A22" s="275">
        <f t="shared" si="0"/>
        <v>11</v>
      </c>
      <c r="B22" s="425" t="s">
        <v>106</v>
      </c>
      <c r="C22" s="414">
        <v>0</v>
      </c>
      <c r="D22" s="344"/>
      <c r="E22" s="70" t="s">
        <v>439</v>
      </c>
      <c r="F22" s="276">
        <f t="shared" si="1"/>
        <v>11</v>
      </c>
    </row>
    <row r="23" spans="1:10">
      <c r="A23" s="275">
        <f t="shared" si="0"/>
        <v>12</v>
      </c>
      <c r="B23" s="41"/>
      <c r="C23" s="410"/>
      <c r="D23" s="90"/>
      <c r="E23" s="70"/>
      <c r="F23" s="276">
        <f t="shared" si="1"/>
        <v>12</v>
      </c>
    </row>
    <row r="24" spans="1:10">
      <c r="A24" s="275">
        <f t="shared" si="0"/>
        <v>13</v>
      </c>
      <c r="B24" s="41" t="s">
        <v>297</v>
      </c>
      <c r="C24" s="106">
        <f>C18+C20+C22</f>
        <v>789.47952771745031</v>
      </c>
      <c r="D24" s="538" t="s">
        <v>417</v>
      </c>
      <c r="E24" s="70" t="s">
        <v>440</v>
      </c>
      <c r="F24" s="276">
        <f t="shared" si="1"/>
        <v>13</v>
      </c>
      <c r="H24" s="356"/>
    </row>
    <row r="25" spans="1:10">
      <c r="A25" s="275">
        <f t="shared" si="0"/>
        <v>14</v>
      </c>
      <c r="B25" s="386"/>
      <c r="C25" s="94"/>
      <c r="D25" s="103"/>
      <c r="E25" s="70"/>
      <c r="F25" s="276">
        <f t="shared" si="1"/>
        <v>14</v>
      </c>
      <c r="H25" s="356"/>
    </row>
    <row r="26" spans="1:10">
      <c r="A26" s="275">
        <f t="shared" si="0"/>
        <v>15</v>
      </c>
      <c r="B26" s="11" t="s">
        <v>298</v>
      </c>
      <c r="C26" s="434">
        <v>0</v>
      </c>
      <c r="D26" s="103"/>
      <c r="E26" s="70" t="s">
        <v>318</v>
      </c>
      <c r="F26" s="276">
        <f t="shared" si="1"/>
        <v>15</v>
      </c>
      <c r="H26" s="356"/>
    </row>
    <row r="27" spans="1:10">
      <c r="A27" s="275">
        <f t="shared" si="0"/>
        <v>16</v>
      </c>
      <c r="B27" s="45"/>
      <c r="C27" s="592"/>
      <c r="D27" s="546"/>
      <c r="E27" s="70"/>
      <c r="F27" s="276">
        <f t="shared" si="1"/>
        <v>16</v>
      </c>
    </row>
    <row r="28" spans="1:10" ht="16.5" thickBot="1">
      <c r="A28" s="275">
        <f t="shared" si="0"/>
        <v>17</v>
      </c>
      <c r="B28" s="413" t="s">
        <v>299</v>
      </c>
      <c r="C28" s="297">
        <f>C24+C26</f>
        <v>789.47952771745031</v>
      </c>
      <c r="D28" s="538" t="s">
        <v>417</v>
      </c>
      <c r="E28" s="70" t="s">
        <v>441</v>
      </c>
      <c r="F28" s="276">
        <f t="shared" si="1"/>
        <v>17</v>
      </c>
      <c r="I28" s="355"/>
      <c r="J28" s="357"/>
    </row>
    <row r="29" spans="1:10" ht="17.25" thickTop="1" thickBot="1">
      <c r="A29" s="275">
        <f t="shared" si="0"/>
        <v>18</v>
      </c>
      <c r="B29" s="593"/>
      <c r="C29" s="594"/>
      <c r="D29" s="551"/>
      <c r="E29" s="551"/>
      <c r="F29" s="276">
        <f t="shared" si="1"/>
        <v>18</v>
      </c>
    </row>
    <row r="31" spans="1:10" ht="16.5" thickBot="1">
      <c r="A31" s="520"/>
      <c r="B31" s="182"/>
      <c r="C31" s="553"/>
      <c r="D31" s="553"/>
      <c r="E31" s="553"/>
      <c r="F31" s="520"/>
    </row>
    <row r="32" spans="1:10">
      <c r="A32" s="275" t="s">
        <v>2</v>
      </c>
      <c r="B32" s="37"/>
      <c r="C32" s="586"/>
      <c r="D32" s="55"/>
      <c r="E32" s="55"/>
      <c r="F32" s="276" t="s">
        <v>2</v>
      </c>
    </row>
    <row r="33" spans="1:6">
      <c r="A33" s="275" t="s">
        <v>14</v>
      </c>
      <c r="B33" s="411" t="s">
        <v>300</v>
      </c>
      <c r="C33" s="587" t="str">
        <f>C10</f>
        <v>Amounts</v>
      </c>
      <c r="D33" s="531"/>
      <c r="E33" s="531" t="str">
        <f>E10</f>
        <v>Reference</v>
      </c>
      <c r="F33" s="276" t="s">
        <v>14</v>
      </c>
    </row>
    <row r="34" spans="1:6">
      <c r="A34" s="275">
        <f>A29+1</f>
        <v>19</v>
      </c>
      <c r="B34" s="36"/>
      <c r="C34" s="589"/>
      <c r="D34" s="535"/>
      <c r="E34" s="534"/>
      <c r="F34" s="276">
        <f>F29+1</f>
        <v>19</v>
      </c>
    </row>
    <row r="35" spans="1:6">
      <c r="A35" s="275">
        <f>A34+1</f>
        <v>20</v>
      </c>
      <c r="B35" s="425" t="str">
        <f>B12</f>
        <v>Section 1 - Direct Maintenance Expense Cost Component</v>
      </c>
      <c r="C35" s="595">
        <f>C12/12</f>
        <v>0</v>
      </c>
      <c r="D35" s="556"/>
      <c r="E35" s="334" t="str">
        <f>"Line "&amp;A12&amp;" / "&amp;C51&amp;" Months"</f>
        <v>Line 1 / 12 Months</v>
      </c>
      <c r="F35" s="276">
        <f>F34+1</f>
        <v>20</v>
      </c>
    </row>
    <row r="36" spans="1:6">
      <c r="A36" s="275">
        <f t="shared" ref="A36:A54" si="2">A35+1</f>
        <v>21</v>
      </c>
      <c r="B36" s="358"/>
      <c r="C36" s="596"/>
      <c r="D36" s="557"/>
      <c r="E36" s="46"/>
      <c r="F36" s="276">
        <f t="shared" ref="F36:F54" si="3">F35+1</f>
        <v>21</v>
      </c>
    </row>
    <row r="37" spans="1:6">
      <c r="A37" s="275">
        <f t="shared" si="2"/>
        <v>22</v>
      </c>
      <c r="B37" s="425" t="str">
        <f>B14</f>
        <v>Section 2 - Non-Direct Expense Cost Component</v>
      </c>
      <c r="C37" s="597">
        <f>C14/12</f>
        <v>68.882130139183687</v>
      </c>
      <c r="D37" s="538" t="s">
        <v>417</v>
      </c>
      <c r="E37" s="334" t="str">
        <f>"Line "&amp;A14&amp;" / "&amp;C51&amp;" Months"</f>
        <v>Line 3 / 12 Months</v>
      </c>
      <c r="F37" s="276">
        <f t="shared" si="3"/>
        <v>22</v>
      </c>
    </row>
    <row r="38" spans="1:6">
      <c r="A38" s="275">
        <f t="shared" si="2"/>
        <v>23</v>
      </c>
      <c r="B38" s="358"/>
      <c r="C38" s="598"/>
      <c r="D38" s="561"/>
      <c r="E38" s="562"/>
      <c r="F38" s="276">
        <f t="shared" si="3"/>
        <v>23</v>
      </c>
    </row>
    <row r="39" spans="1:6">
      <c r="A39" s="275">
        <f t="shared" si="2"/>
        <v>24</v>
      </c>
      <c r="B39" s="425" t="str">
        <f>B16</f>
        <v>Section 3 - Cost Component Containing Other Specific Expenses</v>
      </c>
      <c r="C39" s="423">
        <f>C16/12</f>
        <v>0.6412373034356319</v>
      </c>
      <c r="D39" s="564"/>
      <c r="E39" s="334" t="str">
        <f>"Line "&amp;A16&amp;" / "&amp;C51&amp;" Months"</f>
        <v>Line 5 / 12 Months</v>
      </c>
      <c r="F39" s="276">
        <f t="shared" si="3"/>
        <v>24</v>
      </c>
    </row>
    <row r="40" spans="1:6">
      <c r="A40" s="275">
        <f t="shared" si="2"/>
        <v>25</v>
      </c>
      <c r="B40" s="62"/>
      <c r="C40" s="599"/>
      <c r="D40" s="561"/>
      <c r="E40" s="334"/>
      <c r="F40" s="276">
        <f t="shared" si="3"/>
        <v>25</v>
      </c>
    </row>
    <row r="41" spans="1:6">
      <c r="A41" s="275">
        <f t="shared" si="2"/>
        <v>26</v>
      </c>
      <c r="B41" s="413" t="s">
        <v>427</v>
      </c>
      <c r="C41" s="600">
        <f>C35+C37+C39</f>
        <v>69.523367442619318</v>
      </c>
      <c r="D41" s="538" t="s">
        <v>417</v>
      </c>
      <c r="E41" s="70" t="str">
        <f>"Sum Lines "&amp;A35&amp;", "&amp;A37&amp;", "&amp;A39</f>
        <v>Sum Lines 20, 22, 24</v>
      </c>
      <c r="F41" s="276">
        <f t="shared" si="3"/>
        <v>26</v>
      </c>
    </row>
    <row r="42" spans="1:6">
      <c r="A42" s="275">
        <f t="shared" si="2"/>
        <v>27</v>
      </c>
      <c r="B42" s="36"/>
      <c r="C42" s="598"/>
      <c r="D42" s="561"/>
      <c r="E42" s="541"/>
      <c r="F42" s="276">
        <f t="shared" si="3"/>
        <v>27</v>
      </c>
    </row>
    <row r="43" spans="1:6">
      <c r="A43" s="275">
        <f t="shared" si="2"/>
        <v>28</v>
      </c>
      <c r="B43" s="425" t="str">
        <f>LEFT(B20,45)</f>
        <v>Section 4 - True-Up Adjustment Cost Component</v>
      </c>
      <c r="C43" s="597">
        <f>C20/12</f>
        <v>-3.7334067994984679</v>
      </c>
      <c r="D43" s="538" t="s">
        <v>417</v>
      </c>
      <c r="E43" s="334" t="str">
        <f>"Line "&amp;A20&amp;" / "&amp;C51&amp;" Months"</f>
        <v>Line 9 / 12 Months</v>
      </c>
      <c r="F43" s="276">
        <f t="shared" si="3"/>
        <v>28</v>
      </c>
    </row>
    <row r="44" spans="1:6">
      <c r="A44" s="275">
        <f t="shared" si="2"/>
        <v>29</v>
      </c>
      <c r="B44" s="425"/>
      <c r="C44" s="598"/>
      <c r="D44" s="561"/>
      <c r="E44" s="571"/>
      <c r="F44" s="276">
        <f t="shared" si="3"/>
        <v>29</v>
      </c>
    </row>
    <row r="45" spans="1:6">
      <c r="A45" s="275">
        <f t="shared" si="2"/>
        <v>30</v>
      </c>
      <c r="B45" s="425" t="str">
        <f>B22</f>
        <v>Section 5 - Interest True-Up Adjustment Cost Component</v>
      </c>
      <c r="C45" s="601">
        <f>C22/12</f>
        <v>0</v>
      </c>
      <c r="D45" s="564"/>
      <c r="E45" s="70" t="str">
        <f>"Line "&amp;A22&amp;" / "&amp;C51&amp;" Months"</f>
        <v>Line 11 / 12 Months</v>
      </c>
      <c r="F45" s="276">
        <f t="shared" si="3"/>
        <v>30</v>
      </c>
    </row>
    <row r="46" spans="1:6">
      <c r="A46" s="275">
        <f t="shared" si="2"/>
        <v>31</v>
      </c>
      <c r="B46" s="62"/>
      <c r="C46" s="391"/>
      <c r="D46" s="6"/>
      <c r="E46" s="387"/>
      <c r="F46" s="276">
        <f t="shared" si="3"/>
        <v>31</v>
      </c>
    </row>
    <row r="47" spans="1:6">
      <c r="A47" s="275">
        <f t="shared" si="2"/>
        <v>32</v>
      </c>
      <c r="B47" s="11" t="str">
        <f>B26</f>
        <v>Other Adjustments</v>
      </c>
      <c r="C47" s="423">
        <f>C26/12</f>
        <v>0</v>
      </c>
      <c r="D47" s="564"/>
      <c r="E47" s="70" t="str">
        <f>"Line "&amp;A26&amp;" / "&amp;C51&amp;" Months"</f>
        <v>Line 15 / 12 Months</v>
      </c>
      <c r="F47" s="276">
        <f t="shared" si="3"/>
        <v>32</v>
      </c>
    </row>
    <row r="48" spans="1:6">
      <c r="A48" s="275">
        <f t="shared" si="2"/>
        <v>33</v>
      </c>
      <c r="B48" s="41"/>
      <c r="C48" s="391"/>
      <c r="D48" s="6"/>
      <c r="E48" s="387"/>
      <c r="F48" s="276">
        <f t="shared" si="3"/>
        <v>33</v>
      </c>
    </row>
    <row r="49" spans="1:6" ht="16.5" thickBot="1">
      <c r="A49" s="275">
        <f t="shared" si="2"/>
        <v>34</v>
      </c>
      <c r="B49" s="41" t="s">
        <v>301</v>
      </c>
      <c r="C49" s="427">
        <f>C41+C43+C45+C47</f>
        <v>65.78996064312085</v>
      </c>
      <c r="D49" s="538" t="s">
        <v>417</v>
      </c>
      <c r="E49" s="70" t="str">
        <f>"Sum Lines "&amp;A41&amp;", "&amp;A43&amp;", "&amp;A45&amp;", "&amp;A47</f>
        <v>Sum Lines 26, 28, 30, 32</v>
      </c>
      <c r="F49" s="276">
        <f t="shared" si="3"/>
        <v>34</v>
      </c>
    </row>
    <row r="50" spans="1:6" ht="16.5" thickTop="1">
      <c r="A50" s="275">
        <f t="shared" si="2"/>
        <v>35</v>
      </c>
      <c r="B50" s="36"/>
      <c r="C50" s="602"/>
      <c r="D50" s="575"/>
      <c r="E50" s="576"/>
      <c r="F50" s="276">
        <f t="shared" si="3"/>
        <v>35</v>
      </c>
    </row>
    <row r="51" spans="1:6">
      <c r="A51" s="275">
        <f t="shared" si="2"/>
        <v>36</v>
      </c>
      <c r="B51" s="358" t="s">
        <v>245</v>
      </c>
      <c r="C51" s="603">
        <v>12</v>
      </c>
      <c r="D51" s="577"/>
      <c r="E51" s="576"/>
      <c r="F51" s="276">
        <f t="shared" si="3"/>
        <v>36</v>
      </c>
    </row>
    <row r="52" spans="1:6">
      <c r="A52" s="275">
        <f t="shared" si="2"/>
        <v>37</v>
      </c>
      <c r="B52" s="36"/>
      <c r="C52" s="602"/>
      <c r="D52" s="575"/>
      <c r="E52" s="579"/>
      <c r="F52" s="276">
        <f t="shared" si="3"/>
        <v>37</v>
      </c>
    </row>
    <row r="53" spans="1:6" ht="16.5" thickBot="1">
      <c r="A53" s="275">
        <f t="shared" si="2"/>
        <v>38</v>
      </c>
      <c r="B53" s="413" t="str">
        <f>B28</f>
        <v>Total Annual Costs</v>
      </c>
      <c r="C53" s="604">
        <f>C49*C51</f>
        <v>789.4795277174502</v>
      </c>
      <c r="D53" s="538" t="s">
        <v>417</v>
      </c>
      <c r="E53" s="70" t="str">
        <f>"Line "&amp;A49&amp;" x Line "&amp;A51</f>
        <v>Line 34 x Line 36</v>
      </c>
      <c r="F53" s="276">
        <f t="shared" si="3"/>
        <v>38</v>
      </c>
    </row>
    <row r="54" spans="1:6" ht="17.25" thickTop="1" thickBot="1">
      <c r="A54" s="275">
        <f t="shared" si="2"/>
        <v>39</v>
      </c>
      <c r="B54" s="551"/>
      <c r="C54" s="15"/>
      <c r="D54" s="583"/>
      <c r="E54" s="584"/>
      <c r="F54" s="276">
        <f t="shared" si="3"/>
        <v>39</v>
      </c>
    </row>
    <row r="56" spans="1:6">
      <c r="A56" s="538" t="s">
        <v>417</v>
      </c>
      <c r="B56" s="5" t="s">
        <v>442</v>
      </c>
    </row>
  </sheetData>
  <mergeCells count="5">
    <mergeCell ref="B3:E3"/>
    <mergeCell ref="B4:E4"/>
    <mergeCell ref="B5:E5"/>
    <mergeCell ref="B6:E6"/>
    <mergeCell ref="B7:E7"/>
  </mergeCells>
  <printOptions horizontalCentered="1"/>
  <pageMargins left="0.5" right="0.5" top="0.5" bottom="0.5" header="0.35" footer="0.25"/>
  <pageSetup scale="63" orientation="portrait" r:id="rId1"/>
  <headerFooter scaleWithDoc="0" alignWithMargins="0">
    <oddHeader>&amp;C&amp;"Times New Roman,Bold"&amp;8AS FILED SUMMARY WITH COST ADJ INCL. IN APPENDIX XII CYCLE (ER22-133)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zoomScale="80" zoomScaleNormal="80" workbookViewId="0"/>
  </sheetViews>
  <sheetFormatPr defaultColWidth="8.85546875" defaultRowHeight="15.75"/>
  <cols>
    <col min="1" max="1" width="5.140625" style="101" customWidth="1"/>
    <col min="2" max="2" width="73.140625" style="1" bestFit="1" customWidth="1"/>
    <col min="3" max="3" width="14.85546875" style="1" customWidth="1"/>
    <col min="4" max="4" width="51.42578125" style="1" bestFit="1" customWidth="1"/>
    <col min="5" max="5" width="5.140625" style="101" customWidth="1"/>
    <col min="6" max="16384" width="8.85546875" style="1"/>
  </cols>
  <sheetData>
    <row r="1" spans="1:7">
      <c r="A1" s="606" t="s">
        <v>444</v>
      </c>
    </row>
    <row r="2" spans="1:7">
      <c r="A2" s="274"/>
      <c r="B2" s="55"/>
      <c r="C2" s="55"/>
      <c r="D2" s="55"/>
      <c r="E2" s="274"/>
    </row>
    <row r="3" spans="1:7">
      <c r="A3" s="274"/>
      <c r="B3" s="777" t="s">
        <v>12</v>
      </c>
      <c r="C3" s="777"/>
      <c r="D3" s="777"/>
      <c r="E3" s="55"/>
    </row>
    <row r="4" spans="1:7">
      <c r="B4" s="777" t="s">
        <v>380</v>
      </c>
      <c r="C4" s="777"/>
      <c r="D4" s="777"/>
      <c r="E4" s="82"/>
    </row>
    <row r="5" spans="1:7">
      <c r="B5" s="777" t="s">
        <v>383</v>
      </c>
      <c r="C5" s="777"/>
      <c r="D5" s="777"/>
      <c r="E5" s="82"/>
    </row>
    <row r="6" spans="1:7">
      <c r="A6" s="274"/>
      <c r="B6" s="779" t="s">
        <v>433</v>
      </c>
      <c r="C6" s="779"/>
      <c r="D6" s="779"/>
      <c r="E6" s="274"/>
    </row>
    <row r="7" spans="1:7">
      <c r="B7" s="778" t="s">
        <v>1</v>
      </c>
      <c r="C7" s="777"/>
      <c r="D7" s="777"/>
      <c r="E7" s="82"/>
    </row>
    <row r="8" spans="1:7" ht="16.5" thickBot="1">
      <c r="A8" s="274"/>
      <c r="B8" s="55"/>
      <c r="C8" s="45"/>
      <c r="D8" s="45"/>
      <c r="E8" s="274"/>
    </row>
    <row r="9" spans="1:7">
      <c r="A9" s="275" t="s">
        <v>2</v>
      </c>
      <c r="B9" s="259"/>
      <c r="C9" s="260"/>
      <c r="D9" s="261"/>
      <c r="E9" s="276" t="s">
        <v>2</v>
      </c>
    </row>
    <row r="10" spans="1:7">
      <c r="A10" s="275" t="s">
        <v>14</v>
      </c>
      <c r="B10" s="411" t="s">
        <v>296</v>
      </c>
      <c r="C10" s="412" t="s">
        <v>21</v>
      </c>
      <c r="D10" s="63" t="s">
        <v>6</v>
      </c>
      <c r="E10" s="276" t="s">
        <v>14</v>
      </c>
    </row>
    <row r="11" spans="1:7">
      <c r="A11" s="275"/>
      <c r="B11" s="61"/>
      <c r="C11" s="38"/>
      <c r="D11" s="64"/>
      <c r="E11" s="276"/>
    </row>
    <row r="12" spans="1:7">
      <c r="A12" s="275">
        <v>1</v>
      </c>
      <c r="B12" s="425" t="s">
        <v>103</v>
      </c>
      <c r="C12" s="293">
        <v>0</v>
      </c>
      <c r="D12" s="65" t="s">
        <v>434</v>
      </c>
      <c r="E12" s="276">
        <f>A12</f>
        <v>1</v>
      </c>
      <c r="G12" s="355"/>
    </row>
    <row r="13" spans="1:7">
      <c r="A13" s="275">
        <f>A12+1</f>
        <v>2</v>
      </c>
      <c r="B13" s="358"/>
      <c r="C13" s="294"/>
      <c r="D13" s="60"/>
      <c r="E13" s="276">
        <f>E12+1</f>
        <v>2</v>
      </c>
    </row>
    <row r="14" spans="1:7">
      <c r="A14" s="275">
        <f t="shared" ref="A14:A29" si="0">A13+1</f>
        <v>3</v>
      </c>
      <c r="B14" s="425" t="s">
        <v>104</v>
      </c>
      <c r="C14" s="295">
        <v>839.75541697135111</v>
      </c>
      <c r="D14" s="65" t="s">
        <v>435</v>
      </c>
      <c r="E14" s="276">
        <f t="shared" ref="E14:E29" si="1">E13+1</f>
        <v>3</v>
      </c>
      <c r="G14" s="356"/>
    </row>
    <row r="15" spans="1:7">
      <c r="A15" s="275">
        <f t="shared" si="0"/>
        <v>4</v>
      </c>
      <c r="B15" s="358"/>
      <c r="C15" s="294"/>
      <c r="D15" s="66"/>
      <c r="E15" s="276">
        <f t="shared" si="1"/>
        <v>4</v>
      </c>
    </row>
    <row r="16" spans="1:7">
      <c r="A16" s="275">
        <f t="shared" si="0"/>
        <v>5</v>
      </c>
      <c r="B16" s="11" t="s">
        <v>105</v>
      </c>
      <c r="C16" s="414">
        <v>7.6948832581114317</v>
      </c>
      <c r="D16" s="334" t="s">
        <v>436</v>
      </c>
      <c r="E16" s="276">
        <f t="shared" si="1"/>
        <v>5</v>
      </c>
      <c r="G16" s="356"/>
    </row>
    <row r="17" spans="1:9">
      <c r="A17" s="275">
        <f t="shared" si="0"/>
        <v>6</v>
      </c>
      <c r="B17" s="41"/>
      <c r="C17" s="415"/>
      <c r="D17" s="334"/>
      <c r="E17" s="276">
        <f t="shared" si="1"/>
        <v>6</v>
      </c>
      <c r="G17" s="356"/>
    </row>
    <row r="18" spans="1:9">
      <c r="A18" s="275">
        <f t="shared" si="0"/>
        <v>7</v>
      </c>
      <c r="B18" s="413" t="s">
        <v>320</v>
      </c>
      <c r="C18" s="466">
        <f>C12+C14+C16</f>
        <v>847.45030022946253</v>
      </c>
      <c r="D18" s="70" t="str">
        <f>"Sum Lines "&amp;A12&amp;", "&amp;A14&amp;", "&amp;A16</f>
        <v>Sum Lines 1, 3, 5</v>
      </c>
      <c r="E18" s="276">
        <f t="shared" si="1"/>
        <v>7</v>
      </c>
      <c r="G18" s="356"/>
    </row>
    <row r="19" spans="1:9">
      <c r="A19" s="275">
        <f t="shared" si="0"/>
        <v>8</v>
      </c>
      <c r="B19" s="62"/>
      <c r="C19" s="294"/>
      <c r="D19" s="67"/>
      <c r="E19" s="276">
        <f t="shared" si="1"/>
        <v>8</v>
      </c>
    </row>
    <row r="20" spans="1:9">
      <c r="A20" s="275">
        <f t="shared" si="0"/>
        <v>9</v>
      </c>
      <c r="B20" s="425" t="s">
        <v>234</v>
      </c>
      <c r="C20" s="336">
        <v>-36.99430750894976</v>
      </c>
      <c r="D20" s="334" t="s">
        <v>438</v>
      </c>
      <c r="E20" s="276">
        <f t="shared" si="1"/>
        <v>9</v>
      </c>
    </row>
    <row r="21" spans="1:9">
      <c r="A21" s="275">
        <f t="shared" si="0"/>
        <v>10</v>
      </c>
      <c r="B21" s="425"/>
      <c r="C21" s="294"/>
      <c r="D21" s="68"/>
      <c r="E21" s="276">
        <f t="shared" si="1"/>
        <v>10</v>
      </c>
    </row>
    <row r="22" spans="1:9">
      <c r="A22" s="275">
        <f t="shared" si="0"/>
        <v>11</v>
      </c>
      <c r="B22" s="425" t="s">
        <v>106</v>
      </c>
      <c r="C22" s="385">
        <v>0</v>
      </c>
      <c r="D22" s="70" t="s">
        <v>439</v>
      </c>
      <c r="E22" s="276">
        <f t="shared" si="1"/>
        <v>11</v>
      </c>
    </row>
    <row r="23" spans="1:9">
      <c r="A23" s="275">
        <f t="shared" si="0"/>
        <v>12</v>
      </c>
      <c r="B23" s="41"/>
      <c r="C23" s="292"/>
      <c r="D23" s="69"/>
      <c r="E23" s="276">
        <f t="shared" si="1"/>
        <v>12</v>
      </c>
    </row>
    <row r="24" spans="1:9">
      <c r="A24" s="275">
        <f t="shared" si="0"/>
        <v>13</v>
      </c>
      <c r="B24" s="41" t="s">
        <v>297</v>
      </c>
      <c r="C24" s="93">
        <f>C18+C20+C22</f>
        <v>810.45599272051277</v>
      </c>
      <c r="D24" s="70" t="str">
        <f>"Sum Lines "&amp;A18&amp;", "&amp;A20&amp;", "&amp;A22</f>
        <v>Sum Lines 7, 9, 11</v>
      </c>
      <c r="E24" s="276">
        <f t="shared" si="1"/>
        <v>13</v>
      </c>
      <c r="G24" s="356"/>
    </row>
    <row r="25" spans="1:9">
      <c r="A25" s="275">
        <f t="shared" si="0"/>
        <v>14</v>
      </c>
      <c r="B25" s="386"/>
      <c r="C25" s="94"/>
      <c r="D25" s="70"/>
      <c r="E25" s="276">
        <f t="shared" si="1"/>
        <v>14</v>
      </c>
      <c r="G25" s="356"/>
    </row>
    <row r="26" spans="1:9">
      <c r="A26" s="275">
        <f t="shared" si="0"/>
        <v>15</v>
      </c>
      <c r="B26" s="11" t="s">
        <v>298</v>
      </c>
      <c r="C26" s="434">
        <v>0</v>
      </c>
      <c r="D26" s="70" t="s">
        <v>318</v>
      </c>
      <c r="E26" s="276">
        <f t="shared" si="1"/>
        <v>15</v>
      </c>
      <c r="G26" s="356"/>
    </row>
    <row r="27" spans="1:9">
      <c r="A27" s="275">
        <f t="shared" si="0"/>
        <v>16</v>
      </c>
      <c r="B27" s="45"/>
      <c r="C27" s="296"/>
      <c r="D27" s="69"/>
      <c r="E27" s="276">
        <f t="shared" si="1"/>
        <v>16</v>
      </c>
    </row>
    <row r="28" spans="1:9" ht="16.5" thickBot="1">
      <c r="A28" s="275">
        <f t="shared" si="0"/>
        <v>17</v>
      </c>
      <c r="B28" s="413" t="s">
        <v>299</v>
      </c>
      <c r="C28" s="297">
        <f>C24+C26</f>
        <v>810.45599272051277</v>
      </c>
      <c r="D28" s="69" t="str">
        <f>"Line "&amp;A24&amp;" + Line "&amp;A26</f>
        <v>Line 13 + Line 15</v>
      </c>
      <c r="E28" s="276">
        <f t="shared" si="1"/>
        <v>17</v>
      </c>
      <c r="H28" s="355"/>
      <c r="I28" s="357"/>
    </row>
    <row r="29" spans="1:9" ht="17.25" thickTop="1" thickBot="1">
      <c r="A29" s="275">
        <f t="shared" si="0"/>
        <v>18</v>
      </c>
      <c r="B29" s="39"/>
      <c r="C29" s="39"/>
      <c r="D29" s="72"/>
      <c r="E29" s="276">
        <f t="shared" si="1"/>
        <v>18</v>
      </c>
    </row>
    <row r="31" spans="1:9" ht="16.5" thickBot="1">
      <c r="A31" s="274"/>
      <c r="B31" s="337"/>
      <c r="C31" s="338"/>
      <c r="D31" s="338"/>
      <c r="E31" s="274"/>
    </row>
    <row r="32" spans="1:9">
      <c r="A32" s="275" t="s">
        <v>2</v>
      </c>
      <c r="B32" s="37"/>
      <c r="C32" s="37"/>
      <c r="D32" s="60"/>
      <c r="E32" s="276" t="s">
        <v>2</v>
      </c>
    </row>
    <row r="33" spans="1:5">
      <c r="A33" s="275" t="s">
        <v>14</v>
      </c>
      <c r="B33" s="411" t="s">
        <v>300</v>
      </c>
      <c r="C33" s="412" t="str">
        <f>C10</f>
        <v>Amounts</v>
      </c>
      <c r="D33" s="63" t="str">
        <f>D10</f>
        <v>Reference</v>
      </c>
      <c r="E33" s="276" t="s">
        <v>14</v>
      </c>
    </row>
    <row r="34" spans="1:5">
      <c r="A34" s="275">
        <f>A29+1</f>
        <v>19</v>
      </c>
      <c r="B34" s="36"/>
      <c r="C34" s="38"/>
      <c r="D34" s="64"/>
      <c r="E34" s="276">
        <f>E29+1</f>
        <v>19</v>
      </c>
    </row>
    <row r="35" spans="1:5">
      <c r="A35" s="275">
        <f>A34+1</f>
        <v>20</v>
      </c>
      <c r="B35" s="425" t="str">
        <f>B12</f>
        <v>Section 1 - Direct Maintenance Expense Cost Component</v>
      </c>
      <c r="C35" s="421">
        <f>C12/12</f>
        <v>0</v>
      </c>
      <c r="D35" s="65" t="str">
        <f>"Line "&amp;A12&amp;" / "&amp;C51&amp;" Months"</f>
        <v>Line 1 / 12 Months</v>
      </c>
      <c r="E35" s="276">
        <f>E34+1</f>
        <v>20</v>
      </c>
    </row>
    <row r="36" spans="1:5">
      <c r="A36" s="275">
        <f t="shared" ref="A36:A54" si="2">A35+1</f>
        <v>21</v>
      </c>
      <c r="B36" s="358"/>
      <c r="C36" s="17"/>
      <c r="D36" s="59"/>
      <c r="E36" s="276">
        <f t="shared" ref="E36:E54" si="3">E35+1</f>
        <v>21</v>
      </c>
    </row>
    <row r="37" spans="1:5">
      <c r="A37" s="275">
        <f t="shared" si="2"/>
        <v>22</v>
      </c>
      <c r="B37" s="425" t="str">
        <f>B14</f>
        <v>Section 2 - Non-Direct Expense Cost Component</v>
      </c>
      <c r="C37" s="422">
        <f>C14/12</f>
        <v>69.979618080945926</v>
      </c>
      <c r="D37" s="65" t="str">
        <f>"Line "&amp;A14&amp;" / "&amp;C51&amp;" Months"</f>
        <v>Line 3 / 12 Months</v>
      </c>
      <c r="E37" s="276">
        <f t="shared" si="3"/>
        <v>22</v>
      </c>
    </row>
    <row r="38" spans="1:5">
      <c r="A38" s="275">
        <f t="shared" si="2"/>
        <v>23</v>
      </c>
      <c r="B38" s="358"/>
      <c r="C38" s="389"/>
      <c r="D38" s="73"/>
      <c r="E38" s="276">
        <f t="shared" si="3"/>
        <v>23</v>
      </c>
    </row>
    <row r="39" spans="1:5">
      <c r="A39" s="275">
        <f t="shared" si="2"/>
        <v>24</v>
      </c>
      <c r="B39" s="425" t="str">
        <f>B16</f>
        <v>Section 3 - Cost Component Containing Other Specific Expenses</v>
      </c>
      <c r="C39" s="423">
        <f>C16/12</f>
        <v>0.64124027150928598</v>
      </c>
      <c r="D39" s="65" t="str">
        <f>"Line "&amp;A16&amp;" / "&amp;C51&amp;" Months"</f>
        <v>Line 5 / 12 Months</v>
      </c>
      <c r="E39" s="276">
        <f t="shared" si="3"/>
        <v>24</v>
      </c>
    </row>
    <row r="40" spans="1:5">
      <c r="A40" s="275">
        <f t="shared" si="2"/>
        <v>25</v>
      </c>
      <c r="B40" s="62"/>
      <c r="C40" s="388"/>
      <c r="D40" s="426"/>
      <c r="E40" s="276">
        <f t="shared" si="3"/>
        <v>25</v>
      </c>
    </row>
    <row r="41" spans="1:5">
      <c r="A41" s="275">
        <f t="shared" si="2"/>
        <v>26</v>
      </c>
      <c r="B41" s="413" t="s">
        <v>321</v>
      </c>
      <c r="C41" s="467">
        <f>C35+C37+C39</f>
        <v>70.620858352455215</v>
      </c>
      <c r="D41" s="70" t="str">
        <f>"Sum Lines "&amp;A35&amp;", "&amp;A37&amp;", "&amp;A39</f>
        <v>Sum Lines 20, 22, 24</v>
      </c>
      <c r="E41" s="276">
        <f t="shared" si="3"/>
        <v>26</v>
      </c>
    </row>
    <row r="42" spans="1:5">
      <c r="A42" s="275">
        <f t="shared" si="2"/>
        <v>27</v>
      </c>
      <c r="B42" s="36"/>
      <c r="C42" s="389"/>
      <c r="D42" s="66"/>
      <c r="E42" s="276">
        <f t="shared" si="3"/>
        <v>27</v>
      </c>
    </row>
    <row r="43" spans="1:5">
      <c r="A43" s="275">
        <f t="shared" si="2"/>
        <v>28</v>
      </c>
      <c r="B43" s="425" t="str">
        <f>LEFT(B20,45)</f>
        <v>Section 4 - True-Up Adjustment Cost Component</v>
      </c>
      <c r="C43" s="422">
        <f>C20/12</f>
        <v>-3.0828589590791466</v>
      </c>
      <c r="D43" s="65" t="str">
        <f>"Line "&amp;A20&amp;" / "&amp;C51&amp;" Months"</f>
        <v>Line 9 / 12 Months</v>
      </c>
      <c r="E43" s="276">
        <f t="shared" si="3"/>
        <v>28</v>
      </c>
    </row>
    <row r="44" spans="1:5">
      <c r="A44" s="275">
        <f t="shared" si="2"/>
        <v>29</v>
      </c>
      <c r="B44" s="425"/>
      <c r="C44" s="389"/>
      <c r="D44" s="74"/>
      <c r="E44" s="276">
        <f t="shared" si="3"/>
        <v>29</v>
      </c>
    </row>
    <row r="45" spans="1:5">
      <c r="A45" s="275">
        <f t="shared" si="2"/>
        <v>30</v>
      </c>
      <c r="B45" s="425" t="str">
        <f>B22</f>
        <v>Section 5 - Interest True-Up Adjustment Cost Component</v>
      </c>
      <c r="C45" s="422">
        <f>C22/12</f>
        <v>0</v>
      </c>
      <c r="D45" s="69" t="str">
        <f>"Line "&amp;A22&amp;" / "&amp;C51&amp;" Months"</f>
        <v>Line 11 / 12 Months</v>
      </c>
      <c r="E45" s="276">
        <f t="shared" si="3"/>
        <v>30</v>
      </c>
    </row>
    <row r="46" spans="1:5">
      <c r="A46" s="275">
        <f t="shared" si="2"/>
        <v>31</v>
      </c>
      <c r="B46" s="62"/>
      <c r="C46" s="390"/>
      <c r="D46" s="71"/>
      <c r="E46" s="276">
        <f t="shared" si="3"/>
        <v>31</v>
      </c>
    </row>
    <row r="47" spans="1:5">
      <c r="A47" s="275">
        <f t="shared" si="2"/>
        <v>32</v>
      </c>
      <c r="B47" s="11" t="str">
        <f>B26</f>
        <v>Other Adjustments</v>
      </c>
      <c r="C47" s="424">
        <f>C26/12</f>
        <v>0</v>
      </c>
      <c r="D47" s="69" t="str">
        <f>"Line "&amp;A26&amp;" / "&amp;C51&amp;" Months"</f>
        <v>Line 15 / 12 Months</v>
      </c>
      <c r="E47" s="276">
        <f t="shared" si="3"/>
        <v>32</v>
      </c>
    </row>
    <row r="48" spans="1:5">
      <c r="A48" s="275">
        <f t="shared" si="2"/>
        <v>33</v>
      </c>
      <c r="B48" s="41"/>
      <c r="C48" s="391"/>
      <c r="D48" s="387"/>
      <c r="E48" s="276">
        <f t="shared" si="3"/>
        <v>33</v>
      </c>
    </row>
    <row r="49" spans="1:5" ht="16.5" thickBot="1">
      <c r="A49" s="275">
        <f t="shared" si="2"/>
        <v>34</v>
      </c>
      <c r="B49" s="41" t="s">
        <v>301</v>
      </c>
      <c r="C49" s="427">
        <f>C41+C43+C45+C47</f>
        <v>67.537999393376069</v>
      </c>
      <c r="D49" s="70" t="str">
        <f>"Sum Lines "&amp;A41&amp;", "&amp;A43&amp;", "&amp;A45&amp;", "&amp;A47</f>
        <v>Sum Lines 26, 28, 30, 32</v>
      </c>
      <c r="E49" s="276">
        <f t="shared" si="3"/>
        <v>34</v>
      </c>
    </row>
    <row r="50" spans="1:5" ht="16.5" thickTop="1">
      <c r="A50" s="275">
        <f t="shared" si="2"/>
        <v>35</v>
      </c>
      <c r="B50" s="36"/>
      <c r="C50" s="16"/>
      <c r="D50" s="75"/>
      <c r="E50" s="276">
        <f t="shared" si="3"/>
        <v>35</v>
      </c>
    </row>
    <row r="51" spans="1:5">
      <c r="A51" s="275">
        <f t="shared" si="2"/>
        <v>36</v>
      </c>
      <c r="B51" s="358" t="s">
        <v>245</v>
      </c>
      <c r="C51" s="264">
        <v>12</v>
      </c>
      <c r="D51" s="75"/>
      <c r="E51" s="276">
        <f t="shared" si="3"/>
        <v>36</v>
      </c>
    </row>
    <row r="52" spans="1:5">
      <c r="A52" s="275">
        <f t="shared" si="2"/>
        <v>37</v>
      </c>
      <c r="B52" s="36"/>
      <c r="C52" s="16"/>
      <c r="D52" s="76"/>
      <c r="E52" s="276">
        <f t="shared" si="3"/>
        <v>37</v>
      </c>
    </row>
    <row r="53" spans="1:5" ht="16.5" thickBot="1">
      <c r="A53" s="275">
        <f t="shared" si="2"/>
        <v>38</v>
      </c>
      <c r="B53" s="413" t="str">
        <f>B28</f>
        <v>Total Annual Costs</v>
      </c>
      <c r="C53" s="290">
        <f>C49*C51</f>
        <v>810.45599272051277</v>
      </c>
      <c r="D53" s="69" t="str">
        <f>"Line "&amp;A49&amp;" x Line "&amp;A51</f>
        <v>Line 34 x Line 36</v>
      </c>
      <c r="E53" s="276">
        <f t="shared" si="3"/>
        <v>38</v>
      </c>
    </row>
    <row r="54" spans="1:5" ht="17.25" thickTop="1" thickBot="1">
      <c r="A54" s="275">
        <f t="shared" si="2"/>
        <v>39</v>
      </c>
      <c r="B54" s="40"/>
      <c r="C54" s="15"/>
      <c r="D54" s="77"/>
      <c r="E54" s="276">
        <f t="shared" si="3"/>
        <v>39</v>
      </c>
    </row>
  </sheetData>
  <mergeCells count="5">
    <mergeCell ref="B6:D6"/>
    <mergeCell ref="B4:D4"/>
    <mergeCell ref="B5:D5"/>
    <mergeCell ref="B7:D7"/>
    <mergeCell ref="B3:D3"/>
  </mergeCells>
  <printOptions horizontalCentered="1"/>
  <pageMargins left="0.5" right="0.5" top="0.5" bottom="0.5" header="0.35" footer="0.25"/>
  <pageSetup scale="63" orientation="portrait" r:id="rId1"/>
  <headerFooter scaleWithDoc="0" alignWithMargins="0">
    <oddHeader>&amp;C&amp;"Times New Roman,Bold"&amp;8AS FILED</oddHeader>
    <oddFooter>&amp;L&amp;F&amp;C&amp;"Times New Roman,Regular"&amp;10Page 4.1&amp;R&amp;A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C82E-B84B-4870-94CA-35D067E96C3D}">
  <dimension ref="A1:J162"/>
  <sheetViews>
    <sheetView zoomScale="80" zoomScaleNormal="80" workbookViewId="0"/>
  </sheetViews>
  <sheetFormatPr defaultColWidth="8.85546875" defaultRowHeight="15.75"/>
  <cols>
    <col min="1" max="1" width="5.140625" style="98" customWidth="1"/>
    <col min="2" max="2" width="93.140625" style="1" bestFit="1" customWidth="1"/>
    <col min="3" max="3" width="10.42578125" style="1" customWidth="1"/>
    <col min="4" max="4" width="1.5703125" style="1" customWidth="1"/>
    <col min="5" max="5" width="16.85546875" style="1" customWidth="1"/>
    <col min="6" max="6" width="1.5703125" style="1" customWidth="1"/>
    <col min="7" max="7" width="43.42578125" style="1" customWidth="1"/>
    <col min="8" max="8" width="5.140625" style="101" customWidth="1"/>
    <col min="9" max="9" width="8.85546875" style="1"/>
    <col min="10" max="10" width="9.85546875" style="1" bestFit="1" customWidth="1"/>
    <col min="11" max="16384" width="8.85546875" style="1"/>
  </cols>
  <sheetData>
    <row r="1" spans="1:8">
      <c r="A1" s="277"/>
      <c r="B1" s="20"/>
      <c r="C1" s="20"/>
      <c r="D1" s="20"/>
      <c r="E1" s="43"/>
      <c r="F1" s="43"/>
      <c r="G1" s="43"/>
      <c r="H1" s="274"/>
    </row>
    <row r="2" spans="1:8">
      <c r="A2" s="277"/>
      <c r="B2" s="781" t="str">
        <f>'Pg4.1 Orig-As Filed App XII C3'!B3:D3</f>
        <v>SAN DIEGO GAS &amp; ELECTRIC COMPANY</v>
      </c>
      <c r="C2" s="781"/>
      <c r="D2" s="781"/>
      <c r="E2" s="781"/>
      <c r="F2" s="781"/>
      <c r="G2" s="781"/>
      <c r="H2" s="274"/>
    </row>
    <row r="3" spans="1:8">
      <c r="B3" s="781" t="str">
        <f>'Pg4.1 Orig-As Filed App XII C3'!B4:D4</f>
        <v>CITIZENS' SHARE OF THE SX-PQ UNDERGROUND LINE SEGMENT</v>
      </c>
      <c r="C3" s="781"/>
      <c r="D3" s="781"/>
      <c r="E3" s="781"/>
      <c r="F3" s="781"/>
      <c r="G3" s="781"/>
      <c r="H3" s="277"/>
    </row>
    <row r="4" spans="1:8">
      <c r="B4" s="781" t="s">
        <v>384</v>
      </c>
      <c r="C4" s="781"/>
      <c r="D4" s="781"/>
      <c r="E4" s="781"/>
      <c r="F4" s="781"/>
      <c r="G4" s="781"/>
      <c r="H4" s="277"/>
    </row>
    <row r="5" spans="1:8">
      <c r="B5" s="782" t="s">
        <v>445</v>
      </c>
      <c r="C5" s="782"/>
      <c r="D5" s="782"/>
      <c r="E5" s="782"/>
      <c r="F5" s="782"/>
      <c r="G5" s="782"/>
      <c r="H5" s="277"/>
    </row>
    <row r="6" spans="1:8">
      <c r="B6" s="783" t="s">
        <v>1</v>
      </c>
      <c r="C6" s="783"/>
      <c r="D6" s="783"/>
      <c r="E6" s="783"/>
      <c r="F6" s="783"/>
      <c r="G6" s="783"/>
      <c r="H6" s="282"/>
    </row>
    <row r="7" spans="1:8">
      <c r="A7" s="278"/>
      <c r="B7" s="19"/>
      <c r="C7" s="19"/>
      <c r="D7" s="19"/>
      <c r="E7" s="19"/>
      <c r="F7" s="19"/>
      <c r="G7" s="43"/>
      <c r="H7" s="274"/>
    </row>
    <row r="8" spans="1:8">
      <c r="A8" s="279" t="s">
        <v>2</v>
      </c>
      <c r="B8" s="20"/>
      <c r="C8" s="20"/>
      <c r="D8" s="20"/>
      <c r="E8" s="19"/>
      <c r="F8" s="19"/>
      <c r="G8" s="20"/>
      <c r="H8" s="279" t="s">
        <v>2</v>
      </c>
    </row>
    <row r="9" spans="1:8">
      <c r="A9" s="279" t="s">
        <v>14</v>
      </c>
      <c r="B9" s="20"/>
      <c r="C9" s="20"/>
      <c r="D9" s="20"/>
      <c r="E9" s="270" t="s">
        <v>21</v>
      </c>
      <c r="F9" s="23"/>
      <c r="G9" s="270" t="s">
        <v>6</v>
      </c>
      <c r="H9" s="279" t="s">
        <v>14</v>
      </c>
    </row>
    <row r="10" spans="1:8">
      <c r="A10" s="279"/>
      <c r="B10" s="20"/>
      <c r="C10" s="20"/>
      <c r="D10" s="20"/>
      <c r="E10" s="19"/>
      <c r="F10" s="23"/>
      <c r="G10" s="19"/>
      <c r="H10" s="279"/>
    </row>
    <row r="11" spans="1:8">
      <c r="A11" s="279">
        <v>1</v>
      </c>
      <c r="B11" s="22" t="s">
        <v>107</v>
      </c>
      <c r="C11" s="22"/>
      <c r="D11" s="22"/>
      <c r="E11" s="43"/>
      <c r="F11" s="43"/>
      <c r="G11" s="19"/>
      <c r="H11" s="279">
        <f>A11</f>
        <v>1</v>
      </c>
    </row>
    <row r="12" spans="1:8">
      <c r="A12" s="279">
        <f>A11+1</f>
        <v>2</v>
      </c>
      <c r="B12" s="24" t="s">
        <v>302</v>
      </c>
      <c r="C12" s="298"/>
      <c r="D12" s="298"/>
      <c r="E12" s="299">
        <f>E56</f>
        <v>6.7216297187470686E-3</v>
      </c>
      <c r="F12" s="265"/>
      <c r="G12" s="18" t="s">
        <v>447</v>
      </c>
      <c r="H12" s="279">
        <f>H11+1</f>
        <v>2</v>
      </c>
    </row>
    <row r="13" spans="1:8">
      <c r="A13" s="279">
        <f t="shared" ref="A13:A35" si="0">A12+1</f>
        <v>3</v>
      </c>
      <c r="B13" s="20"/>
      <c r="C13" s="281"/>
      <c r="D13" s="281"/>
      <c r="E13" s="300"/>
      <c r="F13" s="23"/>
      <c r="G13" s="18"/>
      <c r="H13" s="279">
        <f t="shared" ref="H13:H35" si="1">H12+1</f>
        <v>3</v>
      </c>
    </row>
    <row r="14" spans="1:8">
      <c r="A14" s="279">
        <f t="shared" si="0"/>
        <v>4</v>
      </c>
      <c r="B14" s="24" t="s">
        <v>305</v>
      </c>
      <c r="C14" s="298"/>
      <c r="D14" s="298"/>
      <c r="E14" s="608">
        <f>E61</f>
        <v>7.6768365569183216E-3</v>
      </c>
      <c r="F14" s="538" t="s">
        <v>417</v>
      </c>
      <c r="G14" s="18" t="s">
        <v>448</v>
      </c>
      <c r="H14" s="279">
        <f t="shared" si="1"/>
        <v>4</v>
      </c>
    </row>
    <row r="15" spans="1:8">
      <c r="A15" s="279">
        <f t="shared" si="0"/>
        <v>5</v>
      </c>
      <c r="B15" s="43"/>
      <c r="C15" s="278"/>
      <c r="D15" s="278"/>
      <c r="E15" s="301"/>
      <c r="F15" s="266"/>
      <c r="G15" s="18"/>
      <c r="H15" s="279">
        <f t="shared" si="1"/>
        <v>5</v>
      </c>
    </row>
    <row r="16" spans="1:8">
      <c r="A16" s="279">
        <f t="shared" si="0"/>
        <v>6</v>
      </c>
      <c r="B16" s="43" t="s">
        <v>306</v>
      </c>
      <c r="C16" s="278"/>
      <c r="D16" s="278"/>
      <c r="E16" s="408">
        <f>E66</f>
        <v>9.8516581304337672E-3</v>
      </c>
      <c r="F16" s="266"/>
      <c r="G16" s="18" t="s">
        <v>449</v>
      </c>
      <c r="H16" s="279">
        <f t="shared" si="1"/>
        <v>6</v>
      </c>
    </row>
    <row r="17" spans="1:8">
      <c r="A17" s="279">
        <f t="shared" si="0"/>
        <v>7</v>
      </c>
      <c r="B17" s="43"/>
      <c r="C17" s="278"/>
      <c r="D17" s="278"/>
      <c r="E17" s="301"/>
      <c r="F17" s="266"/>
      <c r="G17" s="18"/>
      <c r="H17" s="279">
        <f t="shared" si="1"/>
        <v>7</v>
      </c>
    </row>
    <row r="18" spans="1:8">
      <c r="A18" s="279">
        <f t="shared" si="0"/>
        <v>8</v>
      </c>
      <c r="B18" s="24" t="s">
        <v>307</v>
      </c>
      <c r="C18" s="298"/>
      <c r="D18" s="298"/>
      <c r="E18" s="299">
        <f>E71</f>
        <v>2.659695757031051E-4</v>
      </c>
      <c r="F18" s="265"/>
      <c r="G18" s="18" t="s">
        <v>450</v>
      </c>
      <c r="H18" s="279">
        <f t="shared" si="1"/>
        <v>8</v>
      </c>
    </row>
    <row r="19" spans="1:8">
      <c r="A19" s="279">
        <f t="shared" si="0"/>
        <v>9</v>
      </c>
      <c r="B19" s="20"/>
      <c r="C19" s="281"/>
      <c r="D19" s="281"/>
      <c r="E19" s="300"/>
      <c r="F19" s="23"/>
      <c r="G19" s="18"/>
      <c r="H19" s="279">
        <f t="shared" si="1"/>
        <v>9</v>
      </c>
    </row>
    <row r="20" spans="1:8">
      <c r="A20" s="279">
        <f t="shared" si="0"/>
        <v>10</v>
      </c>
      <c r="B20" s="24" t="s">
        <v>308</v>
      </c>
      <c r="C20" s="281"/>
      <c r="D20" s="281"/>
      <c r="E20" s="299">
        <f>E84</f>
        <v>1.7551347769859198E-3</v>
      </c>
      <c r="F20" s="23"/>
      <c r="G20" s="18" t="s">
        <v>451</v>
      </c>
      <c r="H20" s="279">
        <f t="shared" si="1"/>
        <v>10</v>
      </c>
    </row>
    <row r="21" spans="1:8">
      <c r="A21" s="279">
        <f t="shared" si="0"/>
        <v>11</v>
      </c>
      <c r="B21" s="20"/>
      <c r="C21" s="281"/>
      <c r="D21" s="281"/>
      <c r="E21" s="300"/>
      <c r="F21" s="23"/>
      <c r="G21" s="18"/>
      <c r="H21" s="279">
        <f t="shared" si="1"/>
        <v>11</v>
      </c>
    </row>
    <row r="22" spans="1:8">
      <c r="A22" s="279">
        <f t="shared" si="0"/>
        <v>12</v>
      </c>
      <c r="B22" s="24" t="s">
        <v>343</v>
      </c>
      <c r="C22" s="298"/>
      <c r="D22" s="298"/>
      <c r="E22" s="299">
        <f>E101</f>
        <v>4.0707806109145676E-3</v>
      </c>
      <c r="F22" s="538"/>
      <c r="G22" s="18" t="s">
        <v>452</v>
      </c>
      <c r="H22" s="279">
        <f t="shared" si="1"/>
        <v>12</v>
      </c>
    </row>
    <row r="23" spans="1:8">
      <c r="A23" s="279">
        <f t="shared" si="0"/>
        <v>13</v>
      </c>
      <c r="B23" s="359"/>
      <c r="C23" s="283"/>
      <c r="D23" s="283"/>
      <c r="E23" s="302"/>
      <c r="F23" s="34"/>
      <c r="G23" s="18"/>
      <c r="H23" s="279">
        <f t="shared" si="1"/>
        <v>13</v>
      </c>
    </row>
    <row r="24" spans="1:8">
      <c r="A24" s="279">
        <f t="shared" si="0"/>
        <v>14</v>
      </c>
      <c r="B24" s="24" t="s">
        <v>309</v>
      </c>
      <c r="C24" s="298"/>
      <c r="D24" s="298"/>
      <c r="E24" s="303">
        <f>SUM(E12:E22)</f>
        <v>3.0342009369702751E-2</v>
      </c>
      <c r="F24" s="265"/>
      <c r="G24" s="18" t="s">
        <v>453</v>
      </c>
      <c r="H24" s="279">
        <f t="shared" si="1"/>
        <v>14</v>
      </c>
    </row>
    <row r="25" spans="1:8">
      <c r="A25" s="279">
        <f t="shared" si="0"/>
        <v>15</v>
      </c>
      <c r="B25" s="20"/>
      <c r="C25" s="281"/>
      <c r="D25" s="281"/>
      <c r="E25" s="304"/>
      <c r="F25" s="25"/>
      <c r="G25" s="18"/>
      <c r="H25" s="279">
        <f t="shared" si="1"/>
        <v>15</v>
      </c>
    </row>
    <row r="26" spans="1:8">
      <c r="A26" s="279">
        <f t="shared" si="0"/>
        <v>16</v>
      </c>
      <c r="B26" s="43" t="s">
        <v>319</v>
      </c>
      <c r="C26" s="305">
        <v>1.0274999999999999E-2</v>
      </c>
      <c r="D26" s="281"/>
      <c r="E26" s="306">
        <f>E24*C26</f>
        <v>3.1176414627369576E-4</v>
      </c>
      <c r="F26" s="258"/>
      <c r="G26" s="18" t="s">
        <v>454</v>
      </c>
      <c r="H26" s="279">
        <f t="shared" si="1"/>
        <v>16</v>
      </c>
    </row>
    <row r="27" spans="1:8">
      <c r="A27" s="279">
        <f t="shared" si="0"/>
        <v>17</v>
      </c>
      <c r="B27" s="20"/>
      <c r="C27" s="281"/>
      <c r="D27" s="281"/>
      <c r="E27" s="307"/>
      <c r="F27" s="33"/>
      <c r="G27" s="18"/>
      <c r="H27" s="279">
        <f t="shared" si="1"/>
        <v>17</v>
      </c>
    </row>
    <row r="28" spans="1:8" ht="16.5" thickBot="1">
      <c r="A28" s="279">
        <f t="shared" si="0"/>
        <v>18</v>
      </c>
      <c r="B28" s="20" t="s">
        <v>310</v>
      </c>
      <c r="C28" s="281"/>
      <c r="D28" s="281"/>
      <c r="E28" s="613">
        <f>E24+E26</f>
        <v>3.0653773515976448E-2</v>
      </c>
      <c r="F28" s="538" t="s">
        <v>417</v>
      </c>
      <c r="G28" s="18" t="s">
        <v>455</v>
      </c>
      <c r="H28" s="279">
        <f t="shared" si="1"/>
        <v>18</v>
      </c>
    </row>
    <row r="29" spans="1:8" ht="16.5" thickTop="1">
      <c r="A29" s="279">
        <f t="shared" si="0"/>
        <v>19</v>
      </c>
      <c r="B29" s="43"/>
      <c r="C29" s="278"/>
      <c r="D29" s="278"/>
      <c r="E29" s="281"/>
      <c r="F29" s="20"/>
      <c r="G29" s="20"/>
      <c r="H29" s="279">
        <f t="shared" si="1"/>
        <v>19</v>
      </c>
    </row>
    <row r="30" spans="1:8">
      <c r="A30" s="279">
        <f t="shared" si="0"/>
        <v>20</v>
      </c>
      <c r="B30" s="22" t="s">
        <v>322</v>
      </c>
      <c r="C30" s="308"/>
      <c r="D30" s="308"/>
      <c r="E30" s="278"/>
      <c r="F30" s="43"/>
      <c r="G30" s="20"/>
      <c r="H30" s="279">
        <f t="shared" si="1"/>
        <v>20</v>
      </c>
    </row>
    <row r="31" spans="1:8">
      <c r="A31" s="279">
        <f t="shared" si="0"/>
        <v>21</v>
      </c>
      <c r="B31" s="24" t="s">
        <v>311</v>
      </c>
      <c r="C31" s="298"/>
      <c r="D31" s="298"/>
      <c r="E31" s="162">
        <v>27000</v>
      </c>
      <c r="F31" s="23"/>
      <c r="G31" s="18" t="s">
        <v>108</v>
      </c>
      <c r="H31" s="279">
        <f t="shared" si="1"/>
        <v>21</v>
      </c>
    </row>
    <row r="32" spans="1:8">
      <c r="A32" s="279">
        <f t="shared" si="0"/>
        <v>22</v>
      </c>
      <c r="B32" s="24"/>
      <c r="C32" s="298"/>
      <c r="D32" s="298"/>
      <c r="E32" s="298"/>
      <c r="F32" s="24"/>
      <c r="G32" s="18"/>
      <c r="H32" s="279">
        <f t="shared" si="1"/>
        <v>22</v>
      </c>
    </row>
    <row r="33" spans="1:10">
      <c r="A33" s="279">
        <f t="shared" si="0"/>
        <v>23</v>
      </c>
      <c r="B33" s="24" t="s">
        <v>312</v>
      </c>
      <c r="C33" s="298"/>
      <c r="D33" s="298"/>
      <c r="E33" s="610">
        <f>+E28</f>
        <v>3.0653773515976448E-2</v>
      </c>
      <c r="F33" s="538" t="s">
        <v>417</v>
      </c>
      <c r="G33" s="18" t="s">
        <v>456</v>
      </c>
      <c r="H33" s="279">
        <f t="shared" si="1"/>
        <v>23</v>
      </c>
    </row>
    <row r="34" spans="1:10">
      <c r="A34" s="279">
        <f t="shared" si="0"/>
        <v>24</v>
      </c>
      <c r="B34" s="20"/>
      <c r="C34" s="281"/>
      <c r="D34" s="281"/>
      <c r="E34" s="309"/>
      <c r="F34" s="268"/>
      <c r="G34" s="18"/>
      <c r="H34" s="279">
        <f t="shared" si="1"/>
        <v>24</v>
      </c>
    </row>
    <row r="35" spans="1:10" ht="16.5" thickBot="1">
      <c r="A35" s="279">
        <f t="shared" si="0"/>
        <v>25</v>
      </c>
      <c r="B35" s="20" t="s">
        <v>323</v>
      </c>
      <c r="C35" s="298"/>
      <c r="D35" s="298"/>
      <c r="E35" s="615">
        <f>E31*E33</f>
        <v>827.65188493136407</v>
      </c>
      <c r="F35" s="538" t="s">
        <v>417</v>
      </c>
      <c r="G35" s="18" t="s">
        <v>457</v>
      </c>
      <c r="H35" s="279">
        <f t="shared" si="1"/>
        <v>25</v>
      </c>
    </row>
    <row r="36" spans="1:10" ht="16.5" thickTop="1">
      <c r="A36" s="279"/>
      <c r="B36" s="20"/>
      <c r="C36" s="298"/>
      <c r="D36" s="298"/>
      <c r="E36" s="204"/>
      <c r="F36" s="269"/>
      <c r="G36" s="18"/>
      <c r="H36" s="279"/>
    </row>
    <row r="37" spans="1:10">
      <c r="A37" s="279"/>
      <c r="B37" s="20"/>
      <c r="C37" s="24"/>
      <c r="D37" s="24"/>
      <c r="E37" s="291"/>
      <c r="F37" s="269"/>
      <c r="G37" s="18"/>
      <c r="H37" s="279"/>
    </row>
    <row r="38" spans="1:10">
      <c r="A38" s="538" t="s">
        <v>417</v>
      </c>
      <c r="B38" s="5" t="str">
        <f>'Pg2 App XII C3 Comparison'!B57</f>
        <v xml:space="preserve">Items in bold have changed due to A&amp;G adj. on WMPMA exclusion reversal compared to the original SX-PQ Appendix XII Cycle 3 filing per ER21-320 and cost adjustments </v>
      </c>
      <c r="C38" s="20"/>
      <c r="D38" s="20"/>
      <c r="E38" s="359"/>
      <c r="F38" s="359"/>
      <c r="G38" s="43"/>
      <c r="H38" s="274"/>
      <c r="J38" s="5"/>
    </row>
    <row r="39" spans="1:10">
      <c r="A39" s="538"/>
      <c r="B39" s="5" t="str">
        <f>'Pg2 App XII C3 Comparison'!B58</f>
        <v xml:space="preserve">included in Appendix XII Cycle 4 per ER22-133.  </v>
      </c>
      <c r="C39" s="20"/>
      <c r="D39" s="20"/>
      <c r="E39" s="359"/>
      <c r="F39" s="359"/>
      <c r="G39" s="43"/>
      <c r="H39" s="274"/>
    </row>
    <row r="40" spans="1:10">
      <c r="A40" s="538"/>
      <c r="B40" s="5"/>
      <c r="C40" s="20"/>
      <c r="D40" s="20"/>
      <c r="E40" s="359"/>
      <c r="F40" s="359"/>
      <c r="G40" s="43"/>
      <c r="H40" s="274"/>
    </row>
    <row r="41" spans="1:10">
      <c r="A41" s="538"/>
      <c r="B41" s="5"/>
      <c r="C41" s="20"/>
      <c r="D41" s="20"/>
      <c r="E41" s="359"/>
      <c r="F41" s="359"/>
      <c r="G41" s="43"/>
      <c r="H41" s="274"/>
    </row>
    <row r="42" spans="1:10">
      <c r="A42" s="278"/>
      <c r="B42" s="780" t="str">
        <f>B2</f>
        <v>SAN DIEGO GAS &amp; ELECTRIC COMPANY</v>
      </c>
      <c r="C42" s="780"/>
      <c r="D42" s="780"/>
      <c r="E42" s="780"/>
      <c r="F42" s="780"/>
      <c r="G42" s="780"/>
      <c r="H42" s="274"/>
    </row>
    <row r="43" spans="1:10">
      <c r="B43" s="780" t="str">
        <f>B3</f>
        <v>CITIZENS' SHARE OF THE SX-PQ UNDERGROUND LINE SEGMENT</v>
      </c>
      <c r="C43" s="780"/>
      <c r="D43" s="780"/>
      <c r="E43" s="780"/>
      <c r="F43" s="780"/>
      <c r="G43" s="780"/>
      <c r="H43" s="283"/>
    </row>
    <row r="44" spans="1:10">
      <c r="B44" s="781" t="str">
        <f>B4</f>
        <v xml:space="preserve">Section 2 - Non-Direct Expense Cost Component </v>
      </c>
      <c r="C44" s="781"/>
      <c r="D44" s="781"/>
      <c r="E44" s="781"/>
      <c r="F44" s="781"/>
      <c r="G44" s="781"/>
      <c r="H44" s="281"/>
    </row>
    <row r="45" spans="1:10">
      <c r="B45" s="782" t="str">
        <f>B5</f>
        <v>Base Period &amp; True-Up Period 12 - Months Ending December 31, 2019</v>
      </c>
      <c r="C45" s="782"/>
      <c r="D45" s="782"/>
      <c r="E45" s="782"/>
      <c r="F45" s="782"/>
      <c r="G45" s="782"/>
      <c r="H45" s="281"/>
    </row>
    <row r="46" spans="1:10">
      <c r="B46" s="783" t="str">
        <f>B6</f>
        <v>($1,000)</v>
      </c>
      <c r="C46" s="777"/>
      <c r="D46" s="777"/>
      <c r="E46" s="777"/>
      <c r="F46" s="777"/>
      <c r="G46" s="777"/>
      <c r="H46" s="83"/>
    </row>
    <row r="47" spans="1:10">
      <c r="A47" s="280"/>
      <c r="B47" s="20"/>
      <c r="C47" s="20"/>
      <c r="D47" s="20"/>
      <c r="E47" s="20"/>
      <c r="F47" s="20"/>
      <c r="G47" s="20"/>
      <c r="H47" s="274"/>
    </row>
    <row r="48" spans="1:10">
      <c r="A48" s="279" t="s">
        <v>2</v>
      </c>
      <c r="B48" s="20"/>
      <c r="C48" s="20"/>
      <c r="D48" s="20"/>
      <c r="E48" s="19"/>
      <c r="F48" s="19"/>
      <c r="G48" s="20"/>
      <c r="H48" s="279" t="s">
        <v>2</v>
      </c>
    </row>
    <row r="49" spans="1:10">
      <c r="A49" s="279" t="s">
        <v>14</v>
      </c>
      <c r="B49" s="20"/>
      <c r="C49" s="20"/>
      <c r="D49" s="20"/>
      <c r="E49" s="270" t="s">
        <v>21</v>
      </c>
      <c r="F49" s="18"/>
      <c r="G49" s="270" t="s">
        <v>6</v>
      </c>
      <c r="H49" s="279" t="s">
        <v>14</v>
      </c>
    </row>
    <row r="50" spans="1:10">
      <c r="A50" s="279"/>
      <c r="B50" s="20"/>
      <c r="C50" s="20"/>
      <c r="D50" s="20"/>
      <c r="E50" s="19"/>
      <c r="F50" s="19"/>
      <c r="G50" s="20"/>
      <c r="H50" s="279"/>
    </row>
    <row r="51" spans="1:10">
      <c r="A51" s="279">
        <v>1</v>
      </c>
      <c r="B51" s="26" t="s">
        <v>295</v>
      </c>
      <c r="C51" s="26"/>
      <c r="D51" s="26"/>
      <c r="E51" s="360">
        <f>'Pg12 Rev AV-4'!C16</f>
        <v>5036002.4735652609</v>
      </c>
      <c r="F51" s="538"/>
      <c r="G51" s="18" t="s">
        <v>636</v>
      </c>
      <c r="H51" s="279">
        <f>A51</f>
        <v>1</v>
      </c>
    </row>
    <row r="52" spans="1:10">
      <c r="A52" s="279">
        <f>A51+1</f>
        <v>2</v>
      </c>
      <c r="B52" s="20"/>
      <c r="C52" s="20"/>
      <c r="D52" s="20"/>
      <c r="E52" s="277"/>
      <c r="F52" s="19"/>
      <c r="G52" s="20"/>
      <c r="H52" s="279">
        <f>H51+1</f>
        <v>2</v>
      </c>
    </row>
    <row r="53" spans="1:10">
      <c r="A53" s="279">
        <f t="shared" ref="A53:A101" si="2">A52+1</f>
        <v>3</v>
      </c>
      <c r="B53" s="22" t="s">
        <v>344</v>
      </c>
      <c r="C53" s="22"/>
      <c r="D53" s="22"/>
      <c r="E53" s="310"/>
      <c r="F53" s="27"/>
      <c r="G53" s="20"/>
      <c r="H53" s="279">
        <f t="shared" ref="H53:H101" si="3">H52+1</f>
        <v>3</v>
      </c>
    </row>
    <row r="54" spans="1:10">
      <c r="A54" s="279">
        <f t="shared" si="2"/>
        <v>4</v>
      </c>
      <c r="B54" s="24" t="s">
        <v>303</v>
      </c>
      <c r="C54" s="24"/>
      <c r="D54" s="24"/>
      <c r="E54" s="428">
        <f>'Pg8 Rev Stmt AH'!E28</f>
        <v>33850.143890000007</v>
      </c>
      <c r="F54" s="538" t="s">
        <v>417</v>
      </c>
      <c r="G54" s="18" t="s">
        <v>637</v>
      </c>
      <c r="H54" s="279">
        <f t="shared" si="3"/>
        <v>4</v>
      </c>
      <c r="J54" s="361"/>
    </row>
    <row r="55" spans="1:10">
      <c r="A55" s="279">
        <f t="shared" si="2"/>
        <v>5</v>
      </c>
      <c r="B55" s="24"/>
      <c r="C55" s="24"/>
      <c r="D55" s="24"/>
      <c r="E55" s="173"/>
      <c r="F55" s="28"/>
      <c r="G55" s="18"/>
      <c r="H55" s="279">
        <f t="shared" si="3"/>
        <v>5</v>
      </c>
      <c r="J55" s="361"/>
    </row>
    <row r="56" spans="1:10">
      <c r="A56" s="279">
        <f t="shared" si="2"/>
        <v>6</v>
      </c>
      <c r="B56" s="24" t="s">
        <v>304</v>
      </c>
      <c r="C56" s="20"/>
      <c r="D56" s="20"/>
      <c r="E56" s="311">
        <f>E54/E51</f>
        <v>6.7216297187470686E-3</v>
      </c>
      <c r="F56" s="42"/>
      <c r="G56" s="18" t="s">
        <v>459</v>
      </c>
      <c r="H56" s="279">
        <f t="shared" si="3"/>
        <v>6</v>
      </c>
      <c r="J56" s="361"/>
    </row>
    <row r="57" spans="1:10">
      <c r="A57" s="279">
        <f t="shared" si="2"/>
        <v>7</v>
      </c>
      <c r="B57" s="24"/>
      <c r="C57" s="24"/>
      <c r="D57" s="24"/>
      <c r="E57" s="362"/>
      <c r="F57" s="363"/>
      <c r="G57" s="18"/>
      <c r="H57" s="279">
        <f t="shared" si="3"/>
        <v>7</v>
      </c>
    </row>
    <row r="58" spans="1:10">
      <c r="A58" s="279">
        <f t="shared" si="2"/>
        <v>8</v>
      </c>
      <c r="B58" s="22" t="s">
        <v>345</v>
      </c>
      <c r="C58" s="22"/>
      <c r="D58" s="22"/>
      <c r="E58" s="364"/>
      <c r="F58" s="365"/>
      <c r="G58" s="21"/>
      <c r="H58" s="279">
        <f t="shared" si="3"/>
        <v>8</v>
      </c>
    </row>
    <row r="59" spans="1:10">
      <c r="A59" s="279">
        <f t="shared" si="2"/>
        <v>9</v>
      </c>
      <c r="B59" s="24" t="s">
        <v>324</v>
      </c>
      <c r="C59" s="24"/>
      <c r="D59" s="24"/>
      <c r="E59" s="720">
        <f>'Pg8 Rev Stmt AH'!E52</f>
        <v>38660.56788979689</v>
      </c>
      <c r="F59" s="538" t="s">
        <v>417</v>
      </c>
      <c r="G59" s="18" t="s">
        <v>631</v>
      </c>
      <c r="H59" s="279">
        <f t="shared" si="3"/>
        <v>9</v>
      </c>
    </row>
    <row r="60" spans="1:10">
      <c r="A60" s="279">
        <f t="shared" si="2"/>
        <v>10</v>
      </c>
      <c r="B60" s="20"/>
      <c r="C60" s="20"/>
      <c r="D60" s="20"/>
      <c r="E60" s="364"/>
      <c r="F60" s="365"/>
      <c r="G60" s="18"/>
      <c r="H60" s="279">
        <f t="shared" si="3"/>
        <v>10</v>
      </c>
    </row>
    <row r="61" spans="1:10">
      <c r="A61" s="279">
        <f t="shared" si="2"/>
        <v>11</v>
      </c>
      <c r="B61" s="288" t="s">
        <v>109</v>
      </c>
      <c r="C61" s="21"/>
      <c r="D61" s="21"/>
      <c r="E61" s="617">
        <f>E59/E51</f>
        <v>7.6768365569183216E-3</v>
      </c>
      <c r="F61" s="538" t="s">
        <v>417</v>
      </c>
      <c r="G61" s="18" t="s">
        <v>460</v>
      </c>
      <c r="H61" s="279">
        <f t="shared" si="3"/>
        <v>11</v>
      </c>
    </row>
    <row r="62" spans="1:10">
      <c r="A62" s="279">
        <f t="shared" si="2"/>
        <v>12</v>
      </c>
      <c r="B62" s="21"/>
      <c r="C62" s="21"/>
      <c r="D62" s="21"/>
      <c r="E62" s="313"/>
      <c r="F62" s="29"/>
      <c r="G62" s="18"/>
      <c r="H62" s="279">
        <f t="shared" si="3"/>
        <v>12</v>
      </c>
    </row>
    <row r="63" spans="1:10">
      <c r="A63" s="279">
        <f t="shared" si="2"/>
        <v>13</v>
      </c>
      <c r="B63" s="22" t="s">
        <v>346</v>
      </c>
      <c r="C63" s="21"/>
      <c r="D63" s="21"/>
      <c r="E63" s="313"/>
      <c r="F63" s="29"/>
      <c r="G63" s="18"/>
      <c r="H63" s="279">
        <f t="shared" si="3"/>
        <v>13</v>
      </c>
    </row>
    <row r="64" spans="1:10">
      <c r="A64" s="279">
        <f t="shared" si="2"/>
        <v>14</v>
      </c>
      <c r="B64" s="288" t="s">
        <v>306</v>
      </c>
      <c r="C64" s="21"/>
      <c r="D64" s="21"/>
      <c r="E64" s="312">
        <v>49612.974713583768</v>
      </c>
      <c r="F64" s="538"/>
      <c r="G64" s="18" t="s">
        <v>461</v>
      </c>
      <c r="H64" s="279">
        <f t="shared" si="3"/>
        <v>14</v>
      </c>
    </row>
    <row r="65" spans="1:8">
      <c r="A65" s="279">
        <f t="shared" si="2"/>
        <v>15</v>
      </c>
      <c r="B65" s="21"/>
      <c r="C65" s="21"/>
      <c r="D65" s="21"/>
      <c r="E65" s="364"/>
      <c r="F65" s="29"/>
      <c r="G65" s="18"/>
      <c r="H65" s="279">
        <f t="shared" si="3"/>
        <v>15</v>
      </c>
    </row>
    <row r="66" spans="1:8">
      <c r="A66" s="279">
        <f t="shared" si="2"/>
        <v>16</v>
      </c>
      <c r="B66" s="288" t="s">
        <v>350</v>
      </c>
      <c r="C66" s="21"/>
      <c r="D66" s="21"/>
      <c r="E66" s="311">
        <f>E64/E51</f>
        <v>9.8516581304337672E-3</v>
      </c>
      <c r="F66" s="29"/>
      <c r="G66" s="18" t="s">
        <v>462</v>
      </c>
      <c r="H66" s="279">
        <f t="shared" si="3"/>
        <v>16</v>
      </c>
    </row>
    <row r="67" spans="1:8">
      <c r="A67" s="279">
        <f t="shared" si="2"/>
        <v>17</v>
      </c>
      <c r="B67" s="21"/>
      <c r="C67" s="21"/>
      <c r="D67" s="21"/>
      <c r="E67" s="313"/>
      <c r="F67" s="29"/>
      <c r="G67" s="18"/>
      <c r="H67" s="279">
        <f t="shared" si="3"/>
        <v>17</v>
      </c>
    </row>
    <row r="68" spans="1:8">
      <c r="A68" s="279">
        <f t="shared" si="2"/>
        <v>18</v>
      </c>
      <c r="B68" s="22" t="s">
        <v>347</v>
      </c>
      <c r="C68" s="22"/>
      <c r="D68" s="22"/>
      <c r="E68" s="313"/>
      <c r="F68" s="29"/>
      <c r="G68" s="18"/>
      <c r="H68" s="279">
        <f t="shared" si="3"/>
        <v>18</v>
      </c>
    </row>
    <row r="69" spans="1:8">
      <c r="A69" s="279">
        <f t="shared" si="2"/>
        <v>19</v>
      </c>
      <c r="B69" s="24" t="s">
        <v>307</v>
      </c>
      <c r="C69" s="24"/>
      <c r="D69" s="24"/>
      <c r="E69" s="312">
        <v>1339.4234411339403</v>
      </c>
      <c r="F69" s="19"/>
      <c r="G69" s="18" t="s">
        <v>463</v>
      </c>
      <c r="H69" s="279">
        <f t="shared" si="3"/>
        <v>19</v>
      </c>
    </row>
    <row r="70" spans="1:8">
      <c r="A70" s="279">
        <f t="shared" si="2"/>
        <v>20</v>
      </c>
      <c r="B70" s="21"/>
      <c r="C70" s="21"/>
      <c r="D70" s="21"/>
      <c r="E70" s="313"/>
      <c r="F70" s="29"/>
      <c r="G70" s="18"/>
      <c r="H70" s="279">
        <f t="shared" si="3"/>
        <v>20</v>
      </c>
    </row>
    <row r="71" spans="1:8">
      <c r="A71" s="279">
        <f t="shared" si="2"/>
        <v>21</v>
      </c>
      <c r="B71" s="288" t="s">
        <v>110</v>
      </c>
      <c r="C71" s="21"/>
      <c r="D71" s="21"/>
      <c r="E71" s="311">
        <f>E69/E51</f>
        <v>2.659695757031051E-4</v>
      </c>
      <c r="F71" s="42"/>
      <c r="G71" s="18" t="s">
        <v>464</v>
      </c>
      <c r="H71" s="279">
        <f t="shared" si="3"/>
        <v>21</v>
      </c>
    </row>
    <row r="72" spans="1:8">
      <c r="A72" s="279">
        <f t="shared" si="2"/>
        <v>22</v>
      </c>
      <c r="B72" s="21"/>
      <c r="C72" s="21"/>
      <c r="D72" s="21"/>
      <c r="E72" s="313"/>
      <c r="F72" s="29"/>
      <c r="G72" s="18"/>
      <c r="H72" s="279">
        <f t="shared" si="3"/>
        <v>22</v>
      </c>
    </row>
    <row r="73" spans="1:8">
      <c r="A73" s="279">
        <f t="shared" si="2"/>
        <v>23</v>
      </c>
      <c r="B73" s="22" t="s">
        <v>348</v>
      </c>
      <c r="C73" s="22"/>
      <c r="D73" s="22"/>
      <c r="E73" s="314"/>
      <c r="F73" s="30"/>
      <c r="G73" s="18"/>
      <c r="H73" s="279">
        <f t="shared" si="3"/>
        <v>23</v>
      </c>
    </row>
    <row r="74" spans="1:8">
      <c r="A74" s="279">
        <f t="shared" si="2"/>
        <v>24</v>
      </c>
      <c r="B74" s="289" t="s">
        <v>111</v>
      </c>
      <c r="C74" s="20"/>
      <c r="D74" s="20"/>
      <c r="E74" s="314"/>
      <c r="F74" s="30"/>
      <c r="G74" s="18"/>
      <c r="H74" s="279">
        <f t="shared" si="3"/>
        <v>24</v>
      </c>
    </row>
    <row r="75" spans="1:8">
      <c r="A75" s="279">
        <f t="shared" si="2"/>
        <v>25</v>
      </c>
      <c r="B75" s="24" t="s">
        <v>242</v>
      </c>
      <c r="C75" s="24"/>
      <c r="D75" s="24"/>
      <c r="E75" s="315">
        <f>'Pg9 Rev Stmt AL'!G15</f>
        <v>50559.74647056016</v>
      </c>
      <c r="F75" s="538"/>
      <c r="G75" s="18" t="s">
        <v>465</v>
      </c>
      <c r="H75" s="279">
        <f t="shared" si="3"/>
        <v>25</v>
      </c>
    </row>
    <row r="76" spans="1:8">
      <c r="A76" s="279">
        <f t="shared" si="2"/>
        <v>26</v>
      </c>
      <c r="B76" s="24" t="s">
        <v>243</v>
      </c>
      <c r="C76" s="24"/>
      <c r="D76" s="24"/>
      <c r="E76" s="316">
        <f>'Pg9 Rev Stmt AL'!G19</f>
        <v>25324.807208075756</v>
      </c>
      <c r="F76" s="538"/>
      <c r="G76" s="18" t="s">
        <v>466</v>
      </c>
      <c r="H76" s="279">
        <f t="shared" si="3"/>
        <v>26</v>
      </c>
    </row>
    <row r="77" spans="1:8">
      <c r="A77" s="279">
        <f t="shared" si="2"/>
        <v>27</v>
      </c>
      <c r="B77" s="24" t="s">
        <v>244</v>
      </c>
      <c r="C77" s="24"/>
      <c r="D77" s="24"/>
      <c r="E77" s="620">
        <f>'Pg9 Rev Stmt AL'!E29</f>
        <v>9063.8389724746121</v>
      </c>
      <c r="F77" s="538" t="s">
        <v>417</v>
      </c>
      <c r="G77" s="18" t="s">
        <v>634</v>
      </c>
      <c r="H77" s="279">
        <f t="shared" si="3"/>
        <v>27</v>
      </c>
    </row>
    <row r="78" spans="1:8">
      <c r="A78" s="279">
        <f t="shared" si="2"/>
        <v>28</v>
      </c>
      <c r="B78" s="24" t="s">
        <v>112</v>
      </c>
      <c r="C78" s="20"/>
      <c r="D78" s="20"/>
      <c r="E78" s="621">
        <f>SUM(E75:E77)</f>
        <v>84948.392651110524</v>
      </c>
      <c r="F78" s="538" t="s">
        <v>417</v>
      </c>
      <c r="G78" s="18" t="s">
        <v>468</v>
      </c>
      <c r="H78" s="279">
        <f t="shared" si="3"/>
        <v>28</v>
      </c>
    </row>
    <row r="79" spans="1:8">
      <c r="A79" s="279">
        <f t="shared" si="2"/>
        <v>29</v>
      </c>
      <c r="B79" s="20"/>
      <c r="C79" s="20"/>
      <c r="D79" s="20"/>
      <c r="E79" s="317"/>
      <c r="F79" s="31"/>
      <c r="G79" s="18"/>
      <c r="H79" s="279">
        <f t="shared" si="3"/>
        <v>29</v>
      </c>
    </row>
    <row r="80" spans="1:8">
      <c r="A80" s="279">
        <f t="shared" si="2"/>
        <v>30</v>
      </c>
      <c r="B80" s="24" t="s">
        <v>317</v>
      </c>
      <c r="C80" s="24"/>
      <c r="D80" s="24"/>
      <c r="E80" s="318">
        <f>'Pg10 Rev Stmt AV'!G110</f>
        <v>0.10404979779480213</v>
      </c>
      <c r="F80" s="538"/>
      <c r="G80" s="18" t="s">
        <v>597</v>
      </c>
      <c r="H80" s="279">
        <f t="shared" si="3"/>
        <v>30</v>
      </c>
    </row>
    <row r="81" spans="1:8">
      <c r="A81" s="279">
        <f t="shared" si="2"/>
        <v>31</v>
      </c>
      <c r="B81" s="20"/>
      <c r="C81" s="20"/>
      <c r="D81" s="20"/>
      <c r="E81" s="317"/>
      <c r="F81" s="31"/>
      <c r="G81" s="18"/>
      <c r="H81" s="279">
        <f t="shared" si="3"/>
        <v>31</v>
      </c>
    </row>
    <row r="82" spans="1:8">
      <c r="A82" s="279">
        <f t="shared" si="2"/>
        <v>32</v>
      </c>
      <c r="B82" s="24" t="s">
        <v>113</v>
      </c>
      <c r="C82" s="20"/>
      <c r="D82" s="20"/>
      <c r="E82" s="622">
        <f>E78*E80</f>
        <v>8838.8630783415047</v>
      </c>
      <c r="F82" s="538" t="s">
        <v>417</v>
      </c>
      <c r="G82" s="18" t="s">
        <v>469</v>
      </c>
      <c r="H82" s="279">
        <f t="shared" si="3"/>
        <v>32</v>
      </c>
    </row>
    <row r="83" spans="1:8">
      <c r="A83" s="279">
        <f t="shared" si="2"/>
        <v>33</v>
      </c>
      <c r="B83" s="20"/>
      <c r="C83" s="20"/>
      <c r="D83" s="20"/>
      <c r="E83" s="317"/>
      <c r="F83" s="31"/>
      <c r="G83" s="18"/>
      <c r="H83" s="279">
        <f t="shared" si="3"/>
        <v>33</v>
      </c>
    </row>
    <row r="84" spans="1:8">
      <c r="A84" s="279">
        <f t="shared" si="2"/>
        <v>34</v>
      </c>
      <c r="B84" s="24" t="s">
        <v>114</v>
      </c>
      <c r="C84" s="20"/>
      <c r="D84" s="20"/>
      <c r="E84" s="311">
        <f>E82/E51</f>
        <v>1.7551347769859198E-3</v>
      </c>
      <c r="F84" s="42"/>
      <c r="G84" s="18" t="s">
        <v>470</v>
      </c>
      <c r="H84" s="279">
        <f t="shared" si="3"/>
        <v>34</v>
      </c>
    </row>
    <row r="85" spans="1:8">
      <c r="A85" s="279">
        <f t="shared" si="2"/>
        <v>35</v>
      </c>
      <c r="B85" s="24"/>
      <c r="C85" s="20"/>
      <c r="D85" s="20"/>
      <c r="E85" s="287"/>
      <c r="F85" s="42"/>
      <c r="G85" s="18"/>
      <c r="H85" s="279">
        <f t="shared" si="3"/>
        <v>35</v>
      </c>
    </row>
    <row r="86" spans="1:8">
      <c r="A86" s="279">
        <f t="shared" si="2"/>
        <v>36</v>
      </c>
      <c r="B86" s="22" t="s">
        <v>349</v>
      </c>
      <c r="C86" s="395"/>
      <c r="D86" s="395"/>
      <c r="E86" s="393"/>
      <c r="F86" s="393"/>
      <c r="G86" s="393"/>
      <c r="H86" s="279">
        <f t="shared" si="3"/>
        <v>36</v>
      </c>
    </row>
    <row r="87" spans="1:8">
      <c r="A87" s="279">
        <f t="shared" si="2"/>
        <v>37</v>
      </c>
      <c r="B87" s="24" t="s">
        <v>314</v>
      </c>
      <c r="C87" s="395"/>
      <c r="D87" s="395"/>
      <c r="E87" s="235">
        <f>'Pg12 Rev AV-4'!C14</f>
        <v>29317.665249830297</v>
      </c>
      <c r="F87" s="538"/>
      <c r="G87" s="18" t="s">
        <v>471</v>
      </c>
      <c r="H87" s="279">
        <f t="shared" si="3"/>
        <v>37</v>
      </c>
    </row>
    <row r="88" spans="1:8">
      <c r="A88" s="279">
        <f t="shared" si="2"/>
        <v>38</v>
      </c>
      <c r="B88" s="22"/>
      <c r="C88" s="395"/>
      <c r="D88" s="395"/>
      <c r="E88" s="393"/>
      <c r="F88" s="393"/>
      <c r="G88" s="393"/>
      <c r="H88" s="279">
        <f t="shared" si="3"/>
        <v>38</v>
      </c>
    </row>
    <row r="89" spans="1:8">
      <c r="A89" s="279">
        <f t="shared" si="2"/>
        <v>39</v>
      </c>
      <c r="B89" s="24" t="s">
        <v>313</v>
      </c>
      <c r="C89" s="395"/>
      <c r="D89" s="395"/>
      <c r="E89" s="430">
        <f>'Pg12 Rev AV-4'!C15</f>
        <v>55105.899285469299</v>
      </c>
      <c r="F89" s="538"/>
      <c r="G89" s="18" t="s">
        <v>472</v>
      </c>
      <c r="H89" s="279">
        <f t="shared" si="3"/>
        <v>39</v>
      </c>
    </row>
    <row r="90" spans="1:8" ht="20.25">
      <c r="A90" s="279">
        <f t="shared" si="2"/>
        <v>40</v>
      </c>
      <c r="B90" s="395"/>
      <c r="C90" s="397"/>
      <c r="D90" s="397"/>
      <c r="E90" s="400"/>
      <c r="F90" s="401"/>
      <c r="G90" s="395"/>
      <c r="H90" s="279">
        <f t="shared" si="3"/>
        <v>40</v>
      </c>
    </row>
    <row r="91" spans="1:8">
      <c r="A91" s="279">
        <f t="shared" si="2"/>
        <v>41</v>
      </c>
      <c r="B91" s="24" t="s">
        <v>315</v>
      </c>
      <c r="C91" s="397"/>
      <c r="D91" s="397"/>
      <c r="E91" s="431">
        <f>E87+E89</f>
        <v>84423.564535299593</v>
      </c>
      <c r="F91" s="538"/>
      <c r="G91" s="18" t="s">
        <v>473</v>
      </c>
      <c r="H91" s="279">
        <f t="shared" si="3"/>
        <v>41</v>
      </c>
    </row>
    <row r="92" spans="1:8">
      <c r="A92" s="279">
        <f t="shared" si="2"/>
        <v>42</v>
      </c>
      <c r="B92" s="394"/>
      <c r="C92" s="397"/>
      <c r="D92" s="397"/>
      <c r="E92" s="402"/>
      <c r="F92" s="399"/>
      <c r="G92" s="392"/>
      <c r="H92" s="279">
        <f t="shared" si="3"/>
        <v>42</v>
      </c>
    </row>
    <row r="93" spans="1:8">
      <c r="A93" s="279">
        <f t="shared" si="2"/>
        <v>43</v>
      </c>
      <c r="B93" s="24" t="s">
        <v>317</v>
      </c>
      <c r="C93" s="397"/>
      <c r="D93" s="397"/>
      <c r="E93" s="429">
        <f>E80</f>
        <v>0.10404979779480213</v>
      </c>
      <c r="F93" s="538"/>
      <c r="G93" s="18" t="s">
        <v>474</v>
      </c>
      <c r="H93" s="279">
        <f t="shared" si="3"/>
        <v>43</v>
      </c>
    </row>
    <row r="94" spans="1:8">
      <c r="A94" s="279">
        <f t="shared" si="2"/>
        <v>44</v>
      </c>
      <c r="B94" s="395"/>
      <c r="C94" s="397"/>
      <c r="D94" s="397"/>
      <c r="E94" s="403"/>
      <c r="F94" s="404"/>
      <c r="G94" s="395"/>
      <c r="H94" s="279">
        <f t="shared" si="3"/>
        <v>44</v>
      </c>
    </row>
    <row r="95" spans="1:8">
      <c r="A95" s="279">
        <f t="shared" si="2"/>
        <v>45</v>
      </c>
      <c r="B95" s="24" t="s">
        <v>325</v>
      </c>
      <c r="C95" s="397"/>
      <c r="D95" s="397"/>
      <c r="E95" s="432">
        <f>E91*E93</f>
        <v>8784.2548190143498</v>
      </c>
      <c r="F95" s="538"/>
      <c r="G95" s="18" t="s">
        <v>475</v>
      </c>
      <c r="H95" s="279">
        <f t="shared" si="3"/>
        <v>45</v>
      </c>
    </row>
    <row r="96" spans="1:8">
      <c r="A96" s="279">
        <f t="shared" si="2"/>
        <v>46</v>
      </c>
      <c r="B96" s="394"/>
      <c r="C96" s="397"/>
      <c r="D96" s="397"/>
      <c r="E96" s="405"/>
      <c r="F96" s="406"/>
      <c r="G96" s="392"/>
      <c r="H96" s="279">
        <f t="shared" si="3"/>
        <v>46</v>
      </c>
    </row>
    <row r="97" spans="1:9">
      <c r="A97" s="279">
        <f t="shared" si="2"/>
        <v>47</v>
      </c>
      <c r="B97" s="24" t="s">
        <v>316</v>
      </c>
      <c r="C97" s="397"/>
      <c r="D97" s="397"/>
      <c r="E97" s="453">
        <v>11716.206406892918</v>
      </c>
      <c r="F97" s="538"/>
      <c r="G97" s="18" t="s">
        <v>476</v>
      </c>
      <c r="H97" s="279">
        <f t="shared" si="3"/>
        <v>47</v>
      </c>
      <c r="I97" s="397"/>
    </row>
    <row r="98" spans="1:9">
      <c r="A98" s="279">
        <f t="shared" si="2"/>
        <v>48</v>
      </c>
      <c r="B98" s="24"/>
      <c r="C98" s="397"/>
      <c r="D98" s="397"/>
      <c r="E98" s="343"/>
      <c r="F98" s="406"/>
      <c r="G98" s="18"/>
      <c r="H98" s="279">
        <f t="shared" si="3"/>
        <v>48</v>
      </c>
    </row>
    <row r="99" spans="1:9">
      <c r="A99" s="279">
        <f t="shared" si="2"/>
        <v>49</v>
      </c>
      <c r="B99" s="24" t="s">
        <v>373</v>
      </c>
      <c r="C99" s="397"/>
      <c r="D99" s="397"/>
      <c r="E99" s="343">
        <f>E95+E97</f>
        <v>20500.461225907267</v>
      </c>
      <c r="F99" s="538"/>
      <c r="G99" s="18" t="s">
        <v>477</v>
      </c>
      <c r="H99" s="279">
        <f t="shared" si="3"/>
        <v>49</v>
      </c>
    </row>
    <row r="100" spans="1:9">
      <c r="A100" s="279">
        <f t="shared" si="2"/>
        <v>50</v>
      </c>
      <c r="B100" s="395"/>
      <c r="C100" s="397"/>
      <c r="D100" s="397"/>
      <c r="E100" s="416"/>
      <c r="F100" s="395"/>
      <c r="G100" s="395"/>
      <c r="H100" s="279">
        <f t="shared" si="3"/>
        <v>50</v>
      </c>
    </row>
    <row r="101" spans="1:9" ht="16.5" thickBot="1">
      <c r="A101" s="279">
        <f t="shared" si="2"/>
        <v>51</v>
      </c>
      <c r="B101" s="24" t="s">
        <v>381</v>
      </c>
      <c r="C101" s="397"/>
      <c r="D101" s="397"/>
      <c r="E101" s="433">
        <f>E99/E51</f>
        <v>4.0707806109145676E-3</v>
      </c>
      <c r="F101" s="538"/>
      <c r="G101" s="18" t="s">
        <v>478</v>
      </c>
      <c r="H101" s="279">
        <f t="shared" si="3"/>
        <v>51</v>
      </c>
    </row>
    <row r="102" spans="1:9" ht="16.5" thickTop="1">
      <c r="A102" s="281"/>
    </row>
    <row r="103" spans="1:9">
      <c r="A103" s="281"/>
    </row>
    <row r="104" spans="1:9">
      <c r="A104" s="538" t="s">
        <v>417</v>
      </c>
      <c r="B104" s="5" t="str">
        <f>B38</f>
        <v xml:space="preserve">Items in bold have changed due to A&amp;G adj. on WMPMA exclusion reversal compared to the original SX-PQ Appendix XII Cycle 3 filing per ER21-320 and cost adjustments </v>
      </c>
    </row>
    <row r="105" spans="1:9">
      <c r="A105" s="281"/>
      <c r="B105" s="5" t="str">
        <f>B39</f>
        <v xml:space="preserve">included in Appendix XII Cycle 4 per ER22-133.  </v>
      </c>
    </row>
    <row r="106" spans="1:9">
      <c r="A106" s="281"/>
    </row>
    <row r="107" spans="1:9">
      <c r="A107" s="281"/>
    </row>
    <row r="108" spans="1:9">
      <c r="A108" s="281"/>
    </row>
    <row r="109" spans="1:9">
      <c r="A109" s="281"/>
    </row>
    <row r="110" spans="1:9">
      <c r="A110" s="281"/>
    </row>
    <row r="111" spans="1:9">
      <c r="A111" s="281"/>
    </row>
    <row r="112" spans="1:9">
      <c r="A112" s="281"/>
    </row>
    <row r="113" spans="1:1">
      <c r="A113" s="281"/>
    </row>
    <row r="114" spans="1:1">
      <c r="A114" s="281"/>
    </row>
    <row r="115" spans="1:1">
      <c r="A115" s="281"/>
    </row>
    <row r="116" spans="1:1">
      <c r="A116" s="281"/>
    </row>
    <row r="117" spans="1:1">
      <c r="A117" s="281"/>
    </row>
    <row r="118" spans="1:1">
      <c r="A118" s="281"/>
    </row>
    <row r="119" spans="1:1">
      <c r="A119" s="281"/>
    </row>
    <row r="120" spans="1:1">
      <c r="A120" s="281"/>
    </row>
    <row r="121" spans="1:1">
      <c r="A121" s="281"/>
    </row>
    <row r="122" spans="1:1">
      <c r="A122" s="281"/>
    </row>
    <row r="123" spans="1:1">
      <c r="A123" s="281"/>
    </row>
    <row r="124" spans="1:1">
      <c r="A124" s="281"/>
    </row>
    <row r="125" spans="1:1">
      <c r="A125" s="281"/>
    </row>
    <row r="126" spans="1:1">
      <c r="A126" s="281"/>
    </row>
    <row r="127" spans="1:1">
      <c r="A127" s="281"/>
    </row>
    <row r="128" spans="1:1">
      <c r="A128" s="281"/>
    </row>
    <row r="129" spans="1:1">
      <c r="A129" s="281"/>
    </row>
    <row r="130" spans="1:1">
      <c r="A130" s="281"/>
    </row>
    <row r="131" spans="1:1">
      <c r="A131" s="281"/>
    </row>
    <row r="132" spans="1:1">
      <c r="A132" s="281"/>
    </row>
    <row r="133" spans="1:1">
      <c r="A133" s="281"/>
    </row>
    <row r="134" spans="1:1">
      <c r="A134" s="281"/>
    </row>
    <row r="135" spans="1:1">
      <c r="A135" s="281"/>
    </row>
    <row r="136" spans="1:1">
      <c r="A136" s="281"/>
    </row>
    <row r="137" spans="1:1">
      <c r="A137" s="281"/>
    </row>
    <row r="138" spans="1:1">
      <c r="A138" s="281"/>
    </row>
    <row r="139" spans="1:1">
      <c r="A139" s="281"/>
    </row>
    <row r="140" spans="1:1">
      <c r="A140" s="281"/>
    </row>
    <row r="141" spans="1:1">
      <c r="A141" s="281"/>
    </row>
    <row r="142" spans="1:1">
      <c r="A142" s="281"/>
    </row>
    <row r="143" spans="1:1">
      <c r="A143" s="281"/>
    </row>
    <row r="144" spans="1:1">
      <c r="A144" s="281"/>
    </row>
    <row r="145" spans="1:6">
      <c r="A145" s="281"/>
    </row>
    <row r="146" spans="1:6">
      <c r="A146" s="281"/>
    </row>
    <row r="147" spans="1:6">
      <c r="A147" s="281"/>
    </row>
    <row r="148" spans="1:6">
      <c r="A148" s="281"/>
    </row>
    <row r="149" spans="1:6">
      <c r="A149" s="281"/>
    </row>
    <row r="150" spans="1:6">
      <c r="A150" s="281"/>
    </row>
    <row r="151" spans="1:6">
      <c r="A151" s="281"/>
    </row>
    <row r="152" spans="1:6">
      <c r="A152" s="281"/>
    </row>
    <row r="153" spans="1:6">
      <c r="A153" s="281"/>
    </row>
    <row r="154" spans="1:6">
      <c r="A154" s="281"/>
    </row>
    <row r="155" spans="1:6">
      <c r="A155" s="281"/>
    </row>
    <row r="156" spans="1:6">
      <c r="A156" s="281"/>
      <c r="B156" s="43"/>
      <c r="C156" s="43"/>
      <c r="D156" s="43"/>
      <c r="E156" s="43"/>
      <c r="F156" s="43"/>
    </row>
    <row r="157" spans="1:6">
      <c r="A157" s="281"/>
      <c r="B157" s="43"/>
      <c r="C157" s="43"/>
      <c r="D157" s="43"/>
      <c r="E157" s="43"/>
      <c r="F157" s="43"/>
    </row>
    <row r="162" spans="1:6">
      <c r="A162" s="278"/>
      <c r="B162" s="43"/>
      <c r="C162" s="43"/>
      <c r="D162" s="43"/>
      <c r="E162" s="32"/>
      <c r="F162" s="32"/>
    </row>
  </sheetData>
  <mergeCells count="10">
    <mergeCell ref="B43:G43"/>
    <mergeCell ref="B44:G44"/>
    <mergeCell ref="B45:G45"/>
    <mergeCell ref="B46:G46"/>
    <mergeCell ref="B2:G2"/>
    <mergeCell ref="B3:G3"/>
    <mergeCell ref="B4:G4"/>
    <mergeCell ref="B5:G5"/>
    <mergeCell ref="B6:G6"/>
    <mergeCell ref="B42:G42"/>
  </mergeCells>
  <printOptions horizontalCentered="1"/>
  <pageMargins left="0.25" right="0.25" top="0.5" bottom="0.5" header="0.35" footer="0.25"/>
  <pageSetup scale="51" orientation="portrait" r:id="rId1"/>
  <headerFooter scaleWithDoc="0" alignWithMargins="0">
    <oddHeader>&amp;C&amp;"Times New Roman,Bold"&amp;7REVISED</oddHeader>
    <oddFooter>&amp;L&amp;F&amp;CPage 5.&amp;P&amp;R&amp;A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05F4-79F3-4C89-9728-39B90EF0E2AC}">
  <dimension ref="A1:J160"/>
  <sheetViews>
    <sheetView zoomScale="80" zoomScaleNormal="80" workbookViewId="0"/>
  </sheetViews>
  <sheetFormatPr defaultColWidth="8.85546875" defaultRowHeight="15.75"/>
  <cols>
    <col min="1" max="1" width="5.140625" style="98" customWidth="1"/>
    <col min="2" max="2" width="93.140625" style="1" bestFit="1" customWidth="1"/>
    <col min="3" max="3" width="10.42578125" style="1" customWidth="1"/>
    <col min="4" max="4" width="1.5703125" style="1" customWidth="1"/>
    <col min="5" max="5" width="16.85546875" style="1" customWidth="1"/>
    <col min="6" max="6" width="1.5703125" style="1" customWidth="1"/>
    <col min="7" max="7" width="43.42578125" style="1" customWidth="1"/>
    <col min="8" max="8" width="5.140625" style="101" customWidth="1"/>
    <col min="9" max="9" width="8.85546875" style="1"/>
    <col min="10" max="10" width="9.85546875" style="1" bestFit="1" customWidth="1"/>
    <col min="11" max="16384" width="8.85546875" style="1"/>
  </cols>
  <sheetData>
    <row r="1" spans="1:8">
      <c r="A1" s="605" t="s">
        <v>483</v>
      </c>
      <c r="B1" s="20"/>
      <c r="C1" s="20"/>
      <c r="D1" s="20"/>
      <c r="E1" s="181"/>
      <c r="F1" s="181"/>
      <c r="G1" s="585"/>
      <c r="H1" s="520"/>
    </row>
    <row r="2" spans="1:8">
      <c r="A2" s="605"/>
      <c r="B2" s="20"/>
      <c r="C2" s="20"/>
      <c r="D2" s="20"/>
      <c r="E2" s="181"/>
      <c r="F2" s="181"/>
      <c r="G2" s="585"/>
      <c r="H2" s="520"/>
    </row>
    <row r="3" spans="1:8">
      <c r="A3" s="277"/>
      <c r="B3" s="781" t="s">
        <v>12</v>
      </c>
      <c r="C3" s="781"/>
      <c r="D3" s="781"/>
      <c r="E3" s="781"/>
      <c r="F3" s="781"/>
      <c r="G3" s="781"/>
      <c r="H3" s="520"/>
    </row>
    <row r="4" spans="1:8">
      <c r="B4" s="781" t="s">
        <v>380</v>
      </c>
      <c r="C4" s="781"/>
      <c r="D4" s="781"/>
      <c r="E4" s="781"/>
      <c r="F4" s="781"/>
      <c r="G4" s="781"/>
      <c r="H4" s="277"/>
    </row>
    <row r="5" spans="1:8">
      <c r="B5" s="781" t="s">
        <v>384</v>
      </c>
      <c r="C5" s="781"/>
      <c r="D5" s="781"/>
      <c r="E5" s="781"/>
      <c r="F5" s="781"/>
      <c r="G5" s="781"/>
      <c r="H5" s="277"/>
    </row>
    <row r="6" spans="1:8">
      <c r="B6" s="782" t="s">
        <v>445</v>
      </c>
      <c r="C6" s="782"/>
      <c r="D6" s="782"/>
      <c r="E6" s="782"/>
      <c r="F6" s="782"/>
      <c r="G6" s="782"/>
      <c r="H6" s="277"/>
    </row>
    <row r="7" spans="1:8">
      <c r="B7" s="783" t="s">
        <v>1</v>
      </c>
      <c r="C7" s="783"/>
      <c r="D7" s="783"/>
      <c r="E7" s="783"/>
      <c r="F7" s="783"/>
      <c r="G7" s="783"/>
      <c r="H7" s="282"/>
    </row>
    <row r="8" spans="1:8">
      <c r="A8" s="398"/>
      <c r="B8" s="19"/>
      <c r="C8" s="19"/>
      <c r="D8" s="19"/>
      <c r="E8" s="19"/>
      <c r="F8" s="19"/>
      <c r="G8" s="181"/>
      <c r="H8" s="520"/>
    </row>
    <row r="9" spans="1:8">
      <c r="A9" s="279" t="s">
        <v>2</v>
      </c>
      <c r="B9" s="20"/>
      <c r="C9" s="20"/>
      <c r="D9" s="20"/>
      <c r="E9" s="19"/>
      <c r="F9" s="19"/>
      <c r="G9" s="20"/>
      <c r="H9" s="279" t="s">
        <v>2</v>
      </c>
    </row>
    <row r="10" spans="1:8">
      <c r="A10" s="279" t="s">
        <v>14</v>
      </c>
      <c r="B10" s="20"/>
      <c r="C10" s="20"/>
      <c r="D10" s="20"/>
      <c r="E10" s="607" t="s">
        <v>21</v>
      </c>
      <c r="F10" s="23"/>
      <c r="G10" s="607" t="s">
        <v>6</v>
      </c>
      <c r="H10" s="279" t="s">
        <v>14</v>
      </c>
    </row>
    <row r="11" spans="1:8">
      <c r="A11" s="279"/>
      <c r="B11" s="20"/>
      <c r="C11" s="20"/>
      <c r="D11" s="20"/>
      <c r="E11" s="19"/>
      <c r="F11" s="23"/>
      <c r="G11" s="19"/>
      <c r="H11" s="279"/>
    </row>
    <row r="12" spans="1:8">
      <c r="A12" s="279">
        <v>1</v>
      </c>
      <c r="B12" s="22" t="s">
        <v>107</v>
      </c>
      <c r="C12" s="22"/>
      <c r="D12" s="22"/>
      <c r="E12" s="181"/>
      <c r="F12" s="181"/>
      <c r="G12" s="19"/>
      <c r="H12" s="279">
        <f>A12</f>
        <v>1</v>
      </c>
    </row>
    <row r="13" spans="1:8">
      <c r="A13" s="279">
        <f>A12+1</f>
        <v>2</v>
      </c>
      <c r="B13" s="24" t="s">
        <v>302</v>
      </c>
      <c r="C13" s="298"/>
      <c r="D13" s="298"/>
      <c r="E13" s="608">
        <f>E55</f>
        <v>6.7216297187470686E-3</v>
      </c>
      <c r="F13" s="538" t="s">
        <v>417</v>
      </c>
      <c r="G13" s="18" t="s">
        <v>447</v>
      </c>
      <c r="H13" s="279">
        <f>H12+1</f>
        <v>2</v>
      </c>
    </row>
    <row r="14" spans="1:8">
      <c r="A14" s="279">
        <f t="shared" ref="A14:A36" si="0">A13+1</f>
        <v>3</v>
      </c>
      <c r="B14" s="20"/>
      <c r="C14" s="281"/>
      <c r="D14" s="281"/>
      <c r="E14" s="300"/>
      <c r="F14" s="23"/>
      <c r="G14" s="18"/>
      <c r="H14" s="279">
        <f t="shared" ref="H14:H36" si="1">H13+1</f>
        <v>3</v>
      </c>
    </row>
    <row r="15" spans="1:8">
      <c r="A15" s="279">
        <f t="shared" si="0"/>
        <v>4</v>
      </c>
      <c r="B15" s="24" t="s">
        <v>305</v>
      </c>
      <c r="C15" s="298"/>
      <c r="D15" s="298"/>
      <c r="E15" s="299">
        <f>E60</f>
        <v>7.6382465671437612E-3</v>
      </c>
      <c r="F15" s="265"/>
      <c r="G15" s="18" t="s">
        <v>448</v>
      </c>
      <c r="H15" s="279">
        <f t="shared" si="1"/>
        <v>4</v>
      </c>
    </row>
    <row r="16" spans="1:8">
      <c r="A16" s="279">
        <f t="shared" si="0"/>
        <v>5</v>
      </c>
      <c r="B16" s="181"/>
      <c r="C16" s="398"/>
      <c r="D16" s="398"/>
      <c r="E16" s="301"/>
      <c r="F16" s="266"/>
      <c r="G16" s="18"/>
      <c r="H16" s="279">
        <f t="shared" si="1"/>
        <v>5</v>
      </c>
    </row>
    <row r="17" spans="1:8">
      <c r="A17" s="279">
        <f t="shared" si="0"/>
        <v>6</v>
      </c>
      <c r="B17" s="181" t="s">
        <v>306</v>
      </c>
      <c r="C17" s="398"/>
      <c r="D17" s="398"/>
      <c r="E17" s="408">
        <f>E65</f>
        <v>9.8516581304337672E-3</v>
      </c>
      <c r="F17" s="266"/>
      <c r="G17" s="18" t="s">
        <v>449</v>
      </c>
      <c r="H17" s="279">
        <f t="shared" si="1"/>
        <v>6</v>
      </c>
    </row>
    <row r="18" spans="1:8">
      <c r="A18" s="279">
        <f t="shared" si="0"/>
        <v>7</v>
      </c>
      <c r="B18" s="181"/>
      <c r="C18" s="398"/>
      <c r="D18" s="398"/>
      <c r="E18" s="301"/>
      <c r="F18" s="266"/>
      <c r="G18" s="18"/>
      <c r="H18" s="279">
        <f t="shared" si="1"/>
        <v>7</v>
      </c>
    </row>
    <row r="19" spans="1:8">
      <c r="A19" s="279">
        <f t="shared" si="0"/>
        <v>8</v>
      </c>
      <c r="B19" s="24" t="s">
        <v>307</v>
      </c>
      <c r="C19" s="298"/>
      <c r="D19" s="298"/>
      <c r="E19" s="299">
        <f>E70</f>
        <v>2.659695757031051E-4</v>
      </c>
      <c r="F19" s="265"/>
      <c r="G19" s="18" t="s">
        <v>450</v>
      </c>
      <c r="H19" s="279">
        <f t="shared" si="1"/>
        <v>8</v>
      </c>
    </row>
    <row r="20" spans="1:8">
      <c r="A20" s="279">
        <f t="shared" si="0"/>
        <v>9</v>
      </c>
      <c r="B20" s="20"/>
      <c r="C20" s="281"/>
      <c r="D20" s="281"/>
      <c r="E20" s="300"/>
      <c r="F20" s="23"/>
      <c r="G20" s="18"/>
      <c r="H20" s="279">
        <f t="shared" si="1"/>
        <v>9</v>
      </c>
    </row>
    <row r="21" spans="1:8">
      <c r="A21" s="279">
        <f t="shared" si="0"/>
        <v>10</v>
      </c>
      <c r="B21" s="24" t="s">
        <v>308</v>
      </c>
      <c r="C21" s="281"/>
      <c r="D21" s="281"/>
      <c r="E21" s="299">
        <f>E83</f>
        <v>1.7546329239940177E-3</v>
      </c>
      <c r="F21" s="23"/>
      <c r="G21" s="18" t="s">
        <v>451</v>
      </c>
      <c r="H21" s="279">
        <f t="shared" si="1"/>
        <v>10</v>
      </c>
    </row>
    <row r="22" spans="1:8">
      <c r="A22" s="279">
        <f t="shared" si="0"/>
        <v>11</v>
      </c>
      <c r="B22" s="20"/>
      <c r="C22" s="281"/>
      <c r="D22" s="281"/>
      <c r="E22" s="300"/>
      <c r="F22" s="23"/>
      <c r="G22" s="18"/>
      <c r="H22" s="279">
        <f t="shared" si="1"/>
        <v>11</v>
      </c>
    </row>
    <row r="23" spans="1:8">
      <c r="A23" s="279">
        <f t="shared" si="0"/>
        <v>12</v>
      </c>
      <c r="B23" s="24" t="s">
        <v>343</v>
      </c>
      <c r="C23" s="298"/>
      <c r="D23" s="298"/>
      <c r="E23" s="299">
        <f>E100</f>
        <v>4.0707806676653167E-3</v>
      </c>
      <c r="F23" s="265"/>
      <c r="G23" s="18" t="s">
        <v>452</v>
      </c>
      <c r="H23" s="279">
        <f t="shared" si="1"/>
        <v>12</v>
      </c>
    </row>
    <row r="24" spans="1:8">
      <c r="A24" s="279">
        <f t="shared" si="0"/>
        <v>13</v>
      </c>
      <c r="B24" s="359"/>
      <c r="C24" s="283"/>
      <c r="D24" s="283"/>
      <c r="E24" s="609"/>
      <c r="F24" s="34"/>
      <c r="G24" s="18"/>
      <c r="H24" s="279">
        <f t="shared" si="1"/>
        <v>13</v>
      </c>
    </row>
    <row r="25" spans="1:8">
      <c r="A25" s="279">
        <f t="shared" si="0"/>
        <v>14</v>
      </c>
      <c r="B25" s="24" t="s">
        <v>309</v>
      </c>
      <c r="C25" s="298"/>
      <c r="D25" s="298"/>
      <c r="E25" s="610">
        <f>SUM(E13:E23)</f>
        <v>3.0302917583687035E-2</v>
      </c>
      <c r="F25" s="538" t="s">
        <v>417</v>
      </c>
      <c r="G25" s="18" t="s">
        <v>453</v>
      </c>
      <c r="H25" s="279">
        <f t="shared" si="1"/>
        <v>14</v>
      </c>
    </row>
    <row r="26" spans="1:8">
      <c r="A26" s="279">
        <f t="shared" si="0"/>
        <v>15</v>
      </c>
      <c r="B26" s="20"/>
      <c r="C26" s="281"/>
      <c r="D26" s="281"/>
      <c r="E26" s="304"/>
      <c r="F26" s="25"/>
      <c r="G26" s="18"/>
      <c r="H26" s="279">
        <f t="shared" si="1"/>
        <v>15</v>
      </c>
    </row>
    <row r="27" spans="1:8">
      <c r="A27" s="279">
        <f t="shared" si="0"/>
        <v>16</v>
      </c>
      <c r="B27" s="181" t="s">
        <v>319</v>
      </c>
      <c r="C27" s="305">
        <v>1.0274999999999999E-2</v>
      </c>
      <c r="D27" s="281"/>
      <c r="E27" s="611">
        <f>E25*C27</f>
        <v>3.1136247817238426E-4</v>
      </c>
      <c r="F27" s="258"/>
      <c r="G27" s="18" t="s">
        <v>454</v>
      </c>
      <c r="H27" s="279">
        <f t="shared" si="1"/>
        <v>16</v>
      </c>
    </row>
    <row r="28" spans="1:8">
      <c r="A28" s="279">
        <f t="shared" si="0"/>
        <v>17</v>
      </c>
      <c r="B28" s="20"/>
      <c r="C28" s="281"/>
      <c r="D28" s="281"/>
      <c r="E28" s="612"/>
      <c r="F28" s="33"/>
      <c r="G28" s="18"/>
      <c r="H28" s="279">
        <f t="shared" si="1"/>
        <v>17</v>
      </c>
    </row>
    <row r="29" spans="1:8" ht="16.5" thickBot="1">
      <c r="A29" s="279">
        <f t="shared" si="0"/>
        <v>18</v>
      </c>
      <c r="B29" s="20" t="s">
        <v>310</v>
      </c>
      <c r="C29" s="281"/>
      <c r="D29" s="281"/>
      <c r="E29" s="613">
        <f>E25+E27</f>
        <v>3.0614280061859418E-2</v>
      </c>
      <c r="F29" s="538" t="s">
        <v>417</v>
      </c>
      <c r="G29" s="18" t="s">
        <v>455</v>
      </c>
      <c r="H29" s="279">
        <f t="shared" si="1"/>
        <v>18</v>
      </c>
    </row>
    <row r="30" spans="1:8" ht="16.5" thickTop="1">
      <c r="A30" s="279">
        <f t="shared" si="0"/>
        <v>19</v>
      </c>
      <c r="B30" s="181"/>
      <c r="C30" s="398"/>
      <c r="D30" s="398"/>
      <c r="E30" s="281"/>
      <c r="F30" s="20"/>
      <c r="G30" s="20"/>
      <c r="H30" s="279">
        <f t="shared" si="1"/>
        <v>19</v>
      </c>
    </row>
    <row r="31" spans="1:8">
      <c r="A31" s="279">
        <f t="shared" si="0"/>
        <v>20</v>
      </c>
      <c r="B31" s="22" t="s">
        <v>322</v>
      </c>
      <c r="C31" s="308"/>
      <c r="D31" s="308"/>
      <c r="E31" s="398"/>
      <c r="F31" s="181"/>
      <c r="G31" s="20"/>
      <c r="H31" s="279">
        <f t="shared" si="1"/>
        <v>20</v>
      </c>
    </row>
    <row r="32" spans="1:8">
      <c r="A32" s="279">
        <f t="shared" si="0"/>
        <v>21</v>
      </c>
      <c r="B32" s="24" t="s">
        <v>479</v>
      </c>
      <c r="C32" s="298"/>
      <c r="D32" s="298"/>
      <c r="E32" s="162">
        <v>27000</v>
      </c>
      <c r="F32" s="23"/>
      <c r="G32" s="18" t="s">
        <v>108</v>
      </c>
      <c r="H32" s="279">
        <f t="shared" si="1"/>
        <v>21</v>
      </c>
    </row>
    <row r="33" spans="1:8">
      <c r="A33" s="279">
        <f t="shared" si="0"/>
        <v>22</v>
      </c>
      <c r="B33" s="24"/>
      <c r="C33" s="298"/>
      <c r="D33" s="298"/>
      <c r="E33" s="298"/>
      <c r="F33" s="24"/>
      <c r="G33" s="18"/>
      <c r="H33" s="279">
        <f t="shared" si="1"/>
        <v>22</v>
      </c>
    </row>
    <row r="34" spans="1:8">
      <c r="A34" s="279">
        <f t="shared" si="0"/>
        <v>23</v>
      </c>
      <c r="B34" s="24" t="s">
        <v>312</v>
      </c>
      <c r="C34" s="298"/>
      <c r="D34" s="298"/>
      <c r="E34" s="610">
        <f>+E29</f>
        <v>3.0614280061859418E-2</v>
      </c>
      <c r="F34" s="538" t="s">
        <v>417</v>
      </c>
      <c r="G34" s="18" t="s">
        <v>456</v>
      </c>
      <c r="H34" s="279">
        <f t="shared" si="1"/>
        <v>23</v>
      </c>
    </row>
    <row r="35" spans="1:8">
      <c r="A35" s="279">
        <f t="shared" si="0"/>
        <v>24</v>
      </c>
      <c r="B35" s="20"/>
      <c r="C35" s="281"/>
      <c r="D35" s="281"/>
      <c r="E35" s="614"/>
      <c r="F35" s="268"/>
      <c r="G35" s="18"/>
      <c r="H35" s="279">
        <f t="shared" si="1"/>
        <v>24</v>
      </c>
    </row>
    <row r="36" spans="1:8" ht="16.5" thickBot="1">
      <c r="A36" s="279">
        <f t="shared" si="0"/>
        <v>25</v>
      </c>
      <c r="B36" s="20" t="s">
        <v>323</v>
      </c>
      <c r="C36" s="298"/>
      <c r="D36" s="298"/>
      <c r="E36" s="615">
        <f>E32*E34</f>
        <v>826.58556167020424</v>
      </c>
      <c r="F36" s="538" t="s">
        <v>417</v>
      </c>
      <c r="G36" s="18" t="s">
        <v>457</v>
      </c>
      <c r="H36" s="279">
        <f t="shared" si="1"/>
        <v>25</v>
      </c>
    </row>
    <row r="37" spans="1:8" ht="16.5" thickTop="1">
      <c r="A37" s="279"/>
      <c r="B37" s="20"/>
      <c r="C37" s="24"/>
      <c r="D37" s="24"/>
      <c r="E37" s="291"/>
      <c r="F37" s="269"/>
      <c r="G37" s="18"/>
      <c r="H37" s="279"/>
    </row>
    <row r="38" spans="1:8">
      <c r="A38" s="538" t="s">
        <v>417</v>
      </c>
      <c r="B38" s="5" t="s">
        <v>442</v>
      </c>
      <c r="C38" s="20"/>
      <c r="D38" s="20"/>
      <c r="E38" s="359"/>
      <c r="F38" s="359"/>
      <c r="G38" s="181"/>
      <c r="H38" s="520"/>
    </row>
    <row r="39" spans="1:8">
      <c r="A39" s="538"/>
      <c r="B39" s="5"/>
      <c r="C39" s="20"/>
      <c r="D39" s="20"/>
      <c r="E39" s="359"/>
      <c r="F39" s="359"/>
      <c r="G39" s="181"/>
      <c r="H39" s="520"/>
    </row>
    <row r="40" spans="1:8">
      <c r="A40" s="538"/>
      <c r="B40" s="5"/>
      <c r="C40" s="20"/>
      <c r="D40" s="20"/>
      <c r="E40" s="359"/>
      <c r="F40" s="359"/>
      <c r="G40" s="181"/>
      <c r="H40" s="520"/>
    </row>
    <row r="41" spans="1:8">
      <c r="A41" s="398"/>
      <c r="B41" s="780" t="str">
        <f>B3</f>
        <v>SAN DIEGO GAS &amp; ELECTRIC COMPANY</v>
      </c>
      <c r="C41" s="780"/>
      <c r="D41" s="780"/>
      <c r="E41" s="780"/>
      <c r="F41" s="780"/>
      <c r="G41" s="780"/>
      <c r="H41" s="520"/>
    </row>
    <row r="42" spans="1:8">
      <c r="B42" s="780" t="str">
        <f>B4</f>
        <v>CITIZENS' SHARE OF THE SX-PQ UNDERGROUND LINE SEGMENT</v>
      </c>
      <c r="C42" s="780"/>
      <c r="D42" s="780"/>
      <c r="E42" s="780"/>
      <c r="F42" s="780"/>
      <c r="G42" s="780"/>
      <c r="H42" s="283"/>
    </row>
    <row r="43" spans="1:8">
      <c r="B43" s="781" t="str">
        <f>B5</f>
        <v xml:space="preserve">Section 2 - Non-Direct Expense Cost Component </v>
      </c>
      <c r="C43" s="781"/>
      <c r="D43" s="781"/>
      <c r="E43" s="781"/>
      <c r="F43" s="781"/>
      <c r="G43" s="781"/>
      <c r="H43" s="281"/>
    </row>
    <row r="44" spans="1:8">
      <c r="B44" s="782" t="str">
        <f>B6</f>
        <v>Base Period &amp; True-Up Period 12 - Months Ending December 31, 2019</v>
      </c>
      <c r="C44" s="782"/>
      <c r="D44" s="782"/>
      <c r="E44" s="782"/>
      <c r="F44" s="782"/>
      <c r="G44" s="782"/>
      <c r="H44" s="281"/>
    </row>
    <row r="45" spans="1:8">
      <c r="B45" s="783" t="str">
        <f>B7</f>
        <v>($1,000)</v>
      </c>
      <c r="C45" s="777"/>
      <c r="D45" s="777"/>
      <c r="E45" s="777"/>
      <c r="F45" s="777"/>
      <c r="G45" s="777"/>
      <c r="H45" s="83"/>
    </row>
    <row r="46" spans="1:8">
      <c r="A46" s="280"/>
      <c r="B46" s="20"/>
      <c r="C46" s="20"/>
      <c r="D46" s="20"/>
      <c r="E46" s="20"/>
      <c r="F46" s="20"/>
      <c r="G46" s="20"/>
      <c r="H46" s="520"/>
    </row>
    <row r="47" spans="1:8">
      <c r="A47" s="279" t="s">
        <v>2</v>
      </c>
      <c r="B47" s="20"/>
      <c r="C47" s="20"/>
      <c r="D47" s="20"/>
      <c r="E47" s="19"/>
      <c r="F47" s="19"/>
      <c r="G47" s="20"/>
      <c r="H47" s="279" t="s">
        <v>2</v>
      </c>
    </row>
    <row r="48" spans="1:8">
      <c r="A48" s="279" t="s">
        <v>14</v>
      </c>
      <c r="B48" s="20"/>
      <c r="C48" s="20"/>
      <c r="D48" s="20"/>
      <c r="E48" s="607" t="s">
        <v>21</v>
      </c>
      <c r="F48" s="18"/>
      <c r="G48" s="607" t="s">
        <v>6</v>
      </c>
      <c r="H48" s="279" t="s">
        <v>14</v>
      </c>
    </row>
    <row r="49" spans="1:10">
      <c r="A49" s="279"/>
      <c r="B49" s="20"/>
      <c r="C49" s="20"/>
      <c r="D49" s="20"/>
      <c r="E49" s="19"/>
      <c r="F49" s="19"/>
      <c r="G49" s="20"/>
      <c r="H49" s="279"/>
    </row>
    <row r="50" spans="1:10">
      <c r="A50" s="279">
        <v>1</v>
      </c>
      <c r="B50" s="26" t="s">
        <v>295</v>
      </c>
      <c r="C50" s="26"/>
      <c r="D50" s="26"/>
      <c r="E50" s="360">
        <v>5036002.4735652609</v>
      </c>
      <c r="F50" s="19"/>
      <c r="G50" s="18" t="s">
        <v>458</v>
      </c>
      <c r="H50" s="279">
        <f>A50</f>
        <v>1</v>
      </c>
    </row>
    <row r="51" spans="1:10">
      <c r="A51" s="279">
        <f>A50+1</f>
        <v>2</v>
      </c>
      <c r="B51" s="20"/>
      <c r="C51" s="20"/>
      <c r="D51" s="20"/>
      <c r="E51" s="277"/>
      <c r="F51" s="19"/>
      <c r="G51" s="20"/>
      <c r="H51" s="279">
        <f>H50+1</f>
        <v>2</v>
      </c>
    </row>
    <row r="52" spans="1:10">
      <c r="A52" s="279">
        <f t="shared" ref="A52:A100" si="2">A51+1</f>
        <v>3</v>
      </c>
      <c r="B52" s="22" t="s">
        <v>344</v>
      </c>
      <c r="C52" s="22"/>
      <c r="D52" s="22"/>
      <c r="E52" s="310"/>
      <c r="F52" s="27"/>
      <c r="G52" s="20"/>
      <c r="H52" s="279">
        <f t="shared" ref="H52:H100" si="3">H51+1</f>
        <v>3</v>
      </c>
    </row>
    <row r="53" spans="1:10">
      <c r="A53" s="279">
        <f t="shared" si="2"/>
        <v>4</v>
      </c>
      <c r="B53" s="24" t="s">
        <v>303</v>
      </c>
      <c r="C53" s="24"/>
      <c r="D53" s="24"/>
      <c r="E53" s="616">
        <v>33850.143890000007</v>
      </c>
      <c r="F53" s="538" t="s">
        <v>417</v>
      </c>
      <c r="G53" s="18" t="s">
        <v>480</v>
      </c>
      <c r="H53" s="279">
        <f t="shared" si="3"/>
        <v>4</v>
      </c>
      <c r="J53" s="361"/>
    </row>
    <row r="54" spans="1:10">
      <c r="A54" s="279">
        <f t="shared" si="2"/>
        <v>5</v>
      </c>
      <c r="B54" s="24"/>
      <c r="C54" s="24"/>
      <c r="D54" s="24"/>
      <c r="E54" s="173"/>
      <c r="F54" s="28"/>
      <c r="G54" s="18"/>
      <c r="H54" s="279">
        <f t="shared" si="3"/>
        <v>5</v>
      </c>
      <c r="J54" s="361"/>
    </row>
    <row r="55" spans="1:10">
      <c r="A55" s="279">
        <f t="shared" si="2"/>
        <v>6</v>
      </c>
      <c r="B55" s="24" t="s">
        <v>304</v>
      </c>
      <c r="C55" s="20"/>
      <c r="D55" s="20"/>
      <c r="E55" s="617">
        <f>E53/E50</f>
        <v>6.7216297187470686E-3</v>
      </c>
      <c r="F55" s="538" t="s">
        <v>417</v>
      </c>
      <c r="G55" s="18" t="s">
        <v>459</v>
      </c>
      <c r="H55" s="279">
        <f t="shared" si="3"/>
        <v>6</v>
      </c>
      <c r="J55" s="361"/>
    </row>
    <row r="56" spans="1:10">
      <c r="A56" s="279">
        <f t="shared" si="2"/>
        <v>7</v>
      </c>
      <c r="B56" s="24"/>
      <c r="C56" s="24"/>
      <c r="D56" s="24"/>
      <c r="E56" s="362"/>
      <c r="F56" s="363"/>
      <c r="G56" s="18"/>
      <c r="H56" s="279">
        <f t="shared" si="3"/>
        <v>7</v>
      </c>
    </row>
    <row r="57" spans="1:10">
      <c r="A57" s="279">
        <f t="shared" si="2"/>
        <v>8</v>
      </c>
      <c r="B57" s="22" t="s">
        <v>345</v>
      </c>
      <c r="C57" s="22"/>
      <c r="D57" s="22"/>
      <c r="E57" s="364"/>
      <c r="F57" s="365"/>
      <c r="G57" s="21"/>
      <c r="H57" s="279">
        <f t="shared" si="3"/>
        <v>8</v>
      </c>
    </row>
    <row r="58" spans="1:10">
      <c r="A58" s="279">
        <f t="shared" si="2"/>
        <v>9</v>
      </c>
      <c r="B58" s="24" t="s">
        <v>324</v>
      </c>
      <c r="C58" s="24"/>
      <c r="D58" s="24"/>
      <c r="E58" s="618">
        <v>38466.228605837343</v>
      </c>
      <c r="F58" s="538" t="s">
        <v>417</v>
      </c>
      <c r="G58" s="18" t="s">
        <v>481</v>
      </c>
      <c r="H58" s="279">
        <f t="shared" si="3"/>
        <v>9</v>
      </c>
    </row>
    <row r="59" spans="1:10">
      <c r="A59" s="279">
        <f t="shared" si="2"/>
        <v>10</v>
      </c>
      <c r="B59" s="20"/>
      <c r="C59" s="20"/>
      <c r="D59" s="20"/>
      <c r="E59" s="364"/>
      <c r="F59" s="365"/>
      <c r="G59" s="18"/>
      <c r="H59" s="279">
        <f t="shared" si="3"/>
        <v>10</v>
      </c>
    </row>
    <row r="60" spans="1:10">
      <c r="A60" s="279">
        <f t="shared" si="2"/>
        <v>11</v>
      </c>
      <c r="B60" s="288" t="s">
        <v>109</v>
      </c>
      <c r="C60" s="21"/>
      <c r="D60" s="21"/>
      <c r="E60" s="311">
        <f>E58/E50</f>
        <v>7.6382465671437612E-3</v>
      </c>
      <c r="F60" s="42"/>
      <c r="G60" s="18" t="s">
        <v>460</v>
      </c>
      <c r="H60" s="279">
        <f t="shared" si="3"/>
        <v>11</v>
      </c>
    </row>
    <row r="61" spans="1:10">
      <c r="A61" s="279">
        <f t="shared" si="2"/>
        <v>12</v>
      </c>
      <c r="B61" s="21"/>
      <c r="C61" s="21"/>
      <c r="D61" s="21"/>
      <c r="E61" s="313"/>
      <c r="F61" s="29"/>
      <c r="G61" s="18"/>
      <c r="H61" s="279">
        <f t="shared" si="3"/>
        <v>12</v>
      </c>
    </row>
    <row r="62" spans="1:10">
      <c r="A62" s="279">
        <f t="shared" si="2"/>
        <v>13</v>
      </c>
      <c r="B62" s="22" t="s">
        <v>346</v>
      </c>
      <c r="C62" s="21"/>
      <c r="D62" s="21"/>
      <c r="E62" s="313"/>
      <c r="F62" s="29"/>
      <c r="G62" s="18"/>
      <c r="H62" s="279">
        <f t="shared" si="3"/>
        <v>13</v>
      </c>
    </row>
    <row r="63" spans="1:10">
      <c r="A63" s="279">
        <f t="shared" si="2"/>
        <v>14</v>
      </c>
      <c r="B63" s="288" t="s">
        <v>306</v>
      </c>
      <c r="C63" s="21"/>
      <c r="D63" s="21"/>
      <c r="E63" s="619">
        <v>49612.974713583768</v>
      </c>
      <c r="F63" s="29"/>
      <c r="G63" s="18" t="s">
        <v>461</v>
      </c>
      <c r="H63" s="279">
        <f t="shared" si="3"/>
        <v>14</v>
      </c>
    </row>
    <row r="64" spans="1:10">
      <c r="A64" s="279">
        <f t="shared" si="2"/>
        <v>15</v>
      </c>
      <c r="B64" s="21"/>
      <c r="C64" s="21"/>
      <c r="D64" s="21"/>
      <c r="E64" s="364"/>
      <c r="F64" s="29"/>
      <c r="G64" s="18"/>
      <c r="H64" s="279">
        <f t="shared" si="3"/>
        <v>15</v>
      </c>
    </row>
    <row r="65" spans="1:8">
      <c r="A65" s="279">
        <f t="shared" si="2"/>
        <v>16</v>
      </c>
      <c r="B65" s="288" t="s">
        <v>350</v>
      </c>
      <c r="C65" s="21"/>
      <c r="D65" s="21"/>
      <c r="E65" s="311">
        <f>E63/E50</f>
        <v>9.8516581304337672E-3</v>
      </c>
      <c r="F65" s="29"/>
      <c r="G65" s="18" t="s">
        <v>462</v>
      </c>
      <c r="H65" s="279">
        <f t="shared" si="3"/>
        <v>16</v>
      </c>
    </row>
    <row r="66" spans="1:8">
      <c r="A66" s="279">
        <f t="shared" si="2"/>
        <v>17</v>
      </c>
      <c r="B66" s="21"/>
      <c r="C66" s="21"/>
      <c r="D66" s="21"/>
      <c r="E66" s="313"/>
      <c r="F66" s="29"/>
      <c r="G66" s="18"/>
      <c r="H66" s="279">
        <f t="shared" si="3"/>
        <v>17</v>
      </c>
    </row>
    <row r="67" spans="1:8">
      <c r="A67" s="279">
        <f t="shared" si="2"/>
        <v>18</v>
      </c>
      <c r="B67" s="22" t="s">
        <v>347</v>
      </c>
      <c r="C67" s="22"/>
      <c r="D67" s="22"/>
      <c r="E67" s="313"/>
      <c r="F67" s="29"/>
      <c r="G67" s="18"/>
      <c r="H67" s="279">
        <f t="shared" si="3"/>
        <v>18</v>
      </c>
    </row>
    <row r="68" spans="1:8">
      <c r="A68" s="279">
        <f t="shared" si="2"/>
        <v>19</v>
      </c>
      <c r="B68" s="24" t="s">
        <v>307</v>
      </c>
      <c r="C68" s="24"/>
      <c r="D68" s="24"/>
      <c r="E68" s="619">
        <v>1339.4234411339403</v>
      </c>
      <c r="F68" s="19"/>
      <c r="G68" s="18" t="s">
        <v>463</v>
      </c>
      <c r="H68" s="279">
        <f t="shared" si="3"/>
        <v>19</v>
      </c>
    </row>
    <row r="69" spans="1:8">
      <c r="A69" s="279">
        <f t="shared" si="2"/>
        <v>20</v>
      </c>
      <c r="B69" s="21"/>
      <c r="C69" s="21"/>
      <c r="D69" s="21"/>
      <c r="E69" s="313"/>
      <c r="F69" s="29"/>
      <c r="G69" s="18"/>
      <c r="H69" s="279">
        <f t="shared" si="3"/>
        <v>20</v>
      </c>
    </row>
    <row r="70" spans="1:8">
      <c r="A70" s="279">
        <f t="shared" si="2"/>
        <v>21</v>
      </c>
      <c r="B70" s="288" t="s">
        <v>110</v>
      </c>
      <c r="C70" s="21"/>
      <c r="D70" s="21"/>
      <c r="E70" s="311">
        <f>E68/E50</f>
        <v>2.659695757031051E-4</v>
      </c>
      <c r="F70" s="42"/>
      <c r="G70" s="18" t="s">
        <v>464</v>
      </c>
      <c r="H70" s="279">
        <f t="shared" si="3"/>
        <v>21</v>
      </c>
    </row>
    <row r="71" spans="1:8">
      <c r="A71" s="279">
        <f t="shared" si="2"/>
        <v>22</v>
      </c>
      <c r="B71" s="21"/>
      <c r="C71" s="21"/>
      <c r="D71" s="21"/>
      <c r="E71" s="313"/>
      <c r="F71" s="29"/>
      <c r="G71" s="18"/>
      <c r="H71" s="279">
        <f t="shared" si="3"/>
        <v>22</v>
      </c>
    </row>
    <row r="72" spans="1:8">
      <c r="A72" s="279">
        <f t="shared" si="2"/>
        <v>23</v>
      </c>
      <c r="B72" s="22" t="s">
        <v>348</v>
      </c>
      <c r="C72" s="22"/>
      <c r="D72" s="22"/>
      <c r="E72" s="314"/>
      <c r="F72" s="30"/>
      <c r="G72" s="18"/>
      <c r="H72" s="279">
        <f t="shared" si="3"/>
        <v>23</v>
      </c>
    </row>
    <row r="73" spans="1:8">
      <c r="A73" s="279">
        <f t="shared" si="2"/>
        <v>24</v>
      </c>
      <c r="B73" s="289" t="s">
        <v>482</v>
      </c>
      <c r="C73" s="20"/>
      <c r="D73" s="20"/>
      <c r="E73" s="314"/>
      <c r="F73" s="30"/>
      <c r="G73" s="18"/>
      <c r="H73" s="279">
        <f t="shared" si="3"/>
        <v>24</v>
      </c>
    </row>
    <row r="74" spans="1:8">
      <c r="A74" s="279">
        <f t="shared" si="2"/>
        <v>25</v>
      </c>
      <c r="B74" s="24" t="s">
        <v>242</v>
      </c>
      <c r="C74" s="24"/>
      <c r="D74" s="24"/>
      <c r="E74" s="315">
        <v>50559.74647056016</v>
      </c>
      <c r="F74" s="19"/>
      <c r="G74" s="18" t="s">
        <v>465</v>
      </c>
      <c r="H74" s="279">
        <f t="shared" si="3"/>
        <v>25</v>
      </c>
    </row>
    <row r="75" spans="1:8">
      <c r="A75" s="279">
        <f t="shared" si="2"/>
        <v>26</v>
      </c>
      <c r="B75" s="24" t="s">
        <v>243</v>
      </c>
      <c r="C75" s="24"/>
      <c r="D75" s="24"/>
      <c r="E75" s="316">
        <v>25324.807208075756</v>
      </c>
      <c r="F75" s="19"/>
      <c r="G75" s="18" t="s">
        <v>466</v>
      </c>
      <c r="H75" s="279">
        <f t="shared" si="3"/>
        <v>26</v>
      </c>
    </row>
    <row r="76" spans="1:8">
      <c r="A76" s="279">
        <f t="shared" si="2"/>
        <v>27</v>
      </c>
      <c r="B76" s="24" t="s">
        <v>244</v>
      </c>
      <c r="C76" s="24"/>
      <c r="D76" s="24"/>
      <c r="E76" s="620">
        <v>9039.5465619796687</v>
      </c>
      <c r="F76" s="538" t="s">
        <v>417</v>
      </c>
      <c r="G76" s="18" t="s">
        <v>467</v>
      </c>
      <c r="H76" s="279">
        <f t="shared" si="3"/>
        <v>27</v>
      </c>
    </row>
    <row r="77" spans="1:8">
      <c r="A77" s="279">
        <f t="shared" si="2"/>
        <v>28</v>
      </c>
      <c r="B77" s="24" t="s">
        <v>112</v>
      </c>
      <c r="C77" s="20"/>
      <c r="D77" s="20"/>
      <c r="E77" s="621">
        <f>SUM(E74:E76)</f>
        <v>84924.100240615589</v>
      </c>
      <c r="F77" s="538" t="s">
        <v>417</v>
      </c>
      <c r="G77" s="18" t="s">
        <v>468</v>
      </c>
      <c r="H77" s="279">
        <f t="shared" si="3"/>
        <v>28</v>
      </c>
    </row>
    <row r="78" spans="1:8">
      <c r="A78" s="279">
        <f t="shared" si="2"/>
        <v>29</v>
      </c>
      <c r="B78" s="20"/>
      <c r="C78" s="20"/>
      <c r="D78" s="20"/>
      <c r="E78" s="317"/>
      <c r="F78" s="31"/>
      <c r="G78" s="18"/>
      <c r="H78" s="279">
        <f t="shared" si="3"/>
        <v>29</v>
      </c>
    </row>
    <row r="79" spans="1:8">
      <c r="A79" s="279">
        <f t="shared" si="2"/>
        <v>30</v>
      </c>
      <c r="B79" s="24" t="s">
        <v>317</v>
      </c>
      <c r="C79" s="24"/>
      <c r="D79" s="24"/>
      <c r="E79" s="318">
        <v>0.10404980118007628</v>
      </c>
      <c r="F79" s="19"/>
      <c r="G79" s="18" t="s">
        <v>446</v>
      </c>
      <c r="H79" s="279">
        <f t="shared" si="3"/>
        <v>30</v>
      </c>
    </row>
    <row r="80" spans="1:8">
      <c r="A80" s="279">
        <f t="shared" si="2"/>
        <v>31</v>
      </c>
      <c r="B80" s="20"/>
      <c r="C80" s="20"/>
      <c r="D80" s="20"/>
      <c r="E80" s="317"/>
      <c r="F80" s="31"/>
      <c r="G80" s="18"/>
      <c r="H80" s="279">
        <f t="shared" si="3"/>
        <v>31</v>
      </c>
    </row>
    <row r="81" spans="1:9">
      <c r="A81" s="279">
        <f t="shared" si="2"/>
        <v>32</v>
      </c>
      <c r="B81" s="24" t="s">
        <v>113</v>
      </c>
      <c r="C81" s="20"/>
      <c r="D81" s="20"/>
      <c r="E81" s="622">
        <f>E77*E79</f>
        <v>8836.3357454329198</v>
      </c>
      <c r="F81" s="538" t="s">
        <v>417</v>
      </c>
      <c r="G81" s="18" t="s">
        <v>469</v>
      </c>
      <c r="H81" s="279">
        <f t="shared" si="3"/>
        <v>32</v>
      </c>
    </row>
    <row r="82" spans="1:9">
      <c r="A82" s="279">
        <f t="shared" si="2"/>
        <v>33</v>
      </c>
      <c r="B82" s="20"/>
      <c r="C82" s="20"/>
      <c r="D82" s="20"/>
      <c r="E82" s="317"/>
      <c r="F82" s="31"/>
      <c r="G82" s="18"/>
      <c r="H82" s="279">
        <f t="shared" si="3"/>
        <v>33</v>
      </c>
    </row>
    <row r="83" spans="1:9">
      <c r="A83" s="279">
        <f t="shared" si="2"/>
        <v>34</v>
      </c>
      <c r="B83" s="24" t="s">
        <v>114</v>
      </c>
      <c r="C83" s="20"/>
      <c r="D83" s="20"/>
      <c r="E83" s="311">
        <f>E81/E50</f>
        <v>1.7546329239940177E-3</v>
      </c>
      <c r="F83" s="42"/>
      <c r="G83" s="18" t="s">
        <v>470</v>
      </c>
      <c r="H83" s="279">
        <f t="shared" si="3"/>
        <v>34</v>
      </c>
    </row>
    <row r="84" spans="1:9">
      <c r="A84" s="279">
        <f t="shared" si="2"/>
        <v>35</v>
      </c>
      <c r="B84" s="24"/>
      <c r="C84" s="20"/>
      <c r="D84" s="20"/>
      <c r="E84" s="287"/>
      <c r="F84" s="42"/>
      <c r="G84" s="18"/>
      <c r="H84" s="279">
        <f t="shared" si="3"/>
        <v>35</v>
      </c>
    </row>
    <row r="85" spans="1:9">
      <c r="A85" s="279">
        <f t="shared" si="2"/>
        <v>36</v>
      </c>
      <c r="B85" s="22" t="s">
        <v>349</v>
      </c>
      <c r="C85" s="395"/>
      <c r="D85" s="395"/>
      <c r="E85" s="623"/>
      <c r="F85" s="623"/>
      <c r="G85" s="623"/>
      <c r="H85" s="279">
        <f t="shared" si="3"/>
        <v>36</v>
      </c>
    </row>
    <row r="86" spans="1:9">
      <c r="A86" s="279">
        <f t="shared" si="2"/>
        <v>37</v>
      </c>
      <c r="B86" s="24" t="s">
        <v>314</v>
      </c>
      <c r="C86" s="395"/>
      <c r="D86" s="395"/>
      <c r="E86" s="235">
        <v>29317.665249830297</v>
      </c>
      <c r="F86" s="623"/>
      <c r="G86" s="18" t="s">
        <v>471</v>
      </c>
      <c r="H86" s="279">
        <f t="shared" si="3"/>
        <v>37</v>
      </c>
    </row>
    <row r="87" spans="1:9">
      <c r="A87" s="279">
        <f t="shared" si="2"/>
        <v>38</v>
      </c>
      <c r="B87" s="22"/>
      <c r="C87" s="395"/>
      <c r="D87" s="395"/>
      <c r="E87" s="623"/>
      <c r="F87" s="623"/>
      <c r="G87" s="623"/>
      <c r="H87" s="279">
        <f t="shared" si="3"/>
        <v>38</v>
      </c>
    </row>
    <row r="88" spans="1:9">
      <c r="A88" s="279">
        <f t="shared" si="2"/>
        <v>39</v>
      </c>
      <c r="B88" s="24" t="s">
        <v>313</v>
      </c>
      <c r="C88" s="395"/>
      <c r="D88" s="395"/>
      <c r="E88" s="430">
        <v>55105.899285469299</v>
      </c>
      <c r="F88" s="623"/>
      <c r="G88" s="18" t="s">
        <v>472</v>
      </c>
      <c r="H88" s="279">
        <f t="shared" si="3"/>
        <v>39</v>
      </c>
    </row>
    <row r="89" spans="1:9" ht="20.25">
      <c r="A89" s="279">
        <f t="shared" si="2"/>
        <v>40</v>
      </c>
      <c r="B89" s="395"/>
      <c r="C89" s="397"/>
      <c r="D89" s="397"/>
      <c r="E89" s="400"/>
      <c r="F89" s="401"/>
      <c r="G89" s="395"/>
      <c r="H89" s="279">
        <f t="shared" si="3"/>
        <v>40</v>
      </c>
    </row>
    <row r="90" spans="1:9">
      <c r="A90" s="279">
        <f t="shared" si="2"/>
        <v>41</v>
      </c>
      <c r="B90" s="24" t="s">
        <v>315</v>
      </c>
      <c r="C90" s="397"/>
      <c r="D90" s="397"/>
      <c r="E90" s="431">
        <f>E86+E88</f>
        <v>84423.564535299593</v>
      </c>
      <c r="F90" s="399"/>
      <c r="G90" s="18" t="s">
        <v>473</v>
      </c>
      <c r="H90" s="279">
        <f t="shared" si="3"/>
        <v>41</v>
      </c>
    </row>
    <row r="91" spans="1:9">
      <c r="A91" s="279">
        <f t="shared" si="2"/>
        <v>42</v>
      </c>
      <c r="B91" s="394"/>
      <c r="C91" s="397"/>
      <c r="D91" s="397"/>
      <c r="E91" s="402"/>
      <c r="F91" s="399"/>
      <c r="G91" s="392"/>
      <c r="H91" s="279">
        <f t="shared" si="3"/>
        <v>42</v>
      </c>
    </row>
    <row r="92" spans="1:9">
      <c r="A92" s="279">
        <f t="shared" si="2"/>
        <v>43</v>
      </c>
      <c r="B92" s="24" t="s">
        <v>317</v>
      </c>
      <c r="C92" s="397"/>
      <c r="D92" s="397"/>
      <c r="E92" s="429">
        <f>E79</f>
        <v>0.10404980118007628</v>
      </c>
      <c r="F92" s="399"/>
      <c r="G92" s="18" t="s">
        <v>474</v>
      </c>
      <c r="H92" s="279">
        <f t="shared" si="3"/>
        <v>43</v>
      </c>
    </row>
    <row r="93" spans="1:9">
      <c r="A93" s="279">
        <f t="shared" si="2"/>
        <v>44</v>
      </c>
      <c r="B93" s="395"/>
      <c r="C93" s="397"/>
      <c r="D93" s="397"/>
      <c r="E93" s="403"/>
      <c r="F93" s="404"/>
      <c r="G93" s="395"/>
      <c r="H93" s="279">
        <f t="shared" si="3"/>
        <v>44</v>
      </c>
    </row>
    <row r="94" spans="1:9">
      <c r="A94" s="279">
        <f t="shared" si="2"/>
        <v>45</v>
      </c>
      <c r="B94" s="24" t="s">
        <v>325</v>
      </c>
      <c r="C94" s="397"/>
      <c r="D94" s="397"/>
      <c r="E94" s="432">
        <f>E90*E92</f>
        <v>8784.2551048112618</v>
      </c>
      <c r="F94" s="406"/>
      <c r="G94" s="18" t="s">
        <v>475</v>
      </c>
      <c r="H94" s="279">
        <f t="shared" si="3"/>
        <v>45</v>
      </c>
    </row>
    <row r="95" spans="1:9">
      <c r="A95" s="279">
        <f t="shared" si="2"/>
        <v>46</v>
      </c>
      <c r="B95" s="394"/>
      <c r="C95" s="397"/>
      <c r="D95" s="397"/>
      <c r="E95" s="405"/>
      <c r="F95" s="406"/>
      <c r="G95" s="392"/>
      <c r="H95" s="279">
        <f t="shared" si="3"/>
        <v>46</v>
      </c>
    </row>
    <row r="96" spans="1:9">
      <c r="A96" s="279">
        <f t="shared" si="2"/>
        <v>47</v>
      </c>
      <c r="B96" s="24" t="s">
        <v>316</v>
      </c>
      <c r="C96" s="397"/>
      <c r="D96" s="397"/>
      <c r="E96" s="453">
        <v>11716.206406892918</v>
      </c>
      <c r="F96" s="406"/>
      <c r="G96" s="18" t="s">
        <v>476</v>
      </c>
      <c r="H96" s="279">
        <f t="shared" si="3"/>
        <v>47</v>
      </c>
      <c r="I96" s="397"/>
    </row>
    <row r="97" spans="1:8">
      <c r="A97" s="279">
        <f t="shared" si="2"/>
        <v>48</v>
      </c>
      <c r="B97" s="24"/>
      <c r="C97" s="397"/>
      <c r="D97" s="397"/>
      <c r="E97" s="343"/>
      <c r="F97" s="406"/>
      <c r="G97" s="18"/>
      <c r="H97" s="279">
        <f t="shared" si="3"/>
        <v>48</v>
      </c>
    </row>
    <row r="98" spans="1:8">
      <c r="A98" s="279">
        <f t="shared" si="2"/>
        <v>49</v>
      </c>
      <c r="B98" s="24" t="s">
        <v>373</v>
      </c>
      <c r="C98" s="397"/>
      <c r="D98" s="397"/>
      <c r="E98" s="343">
        <f>E94+E96</f>
        <v>20500.461511704179</v>
      </c>
      <c r="F98" s="406"/>
      <c r="G98" s="18" t="s">
        <v>477</v>
      </c>
      <c r="H98" s="279">
        <f t="shared" si="3"/>
        <v>49</v>
      </c>
    </row>
    <row r="99" spans="1:8">
      <c r="A99" s="279">
        <f t="shared" si="2"/>
        <v>50</v>
      </c>
      <c r="B99" s="395"/>
      <c r="C99" s="397"/>
      <c r="D99" s="397"/>
      <c r="E99" s="416"/>
      <c r="F99" s="395"/>
      <c r="G99" s="395"/>
      <c r="H99" s="279">
        <f t="shared" si="3"/>
        <v>50</v>
      </c>
    </row>
    <row r="100" spans="1:8" ht="16.5" thickBot="1">
      <c r="A100" s="279">
        <f t="shared" si="2"/>
        <v>51</v>
      </c>
      <c r="B100" s="24" t="s">
        <v>381</v>
      </c>
      <c r="C100" s="397"/>
      <c r="D100" s="397"/>
      <c r="E100" s="433">
        <f>E98/E50</f>
        <v>4.0707806676653167E-3</v>
      </c>
      <c r="F100" s="407"/>
      <c r="G100" s="18" t="s">
        <v>478</v>
      </c>
      <c r="H100" s="279">
        <f t="shared" si="3"/>
        <v>51</v>
      </c>
    </row>
    <row r="101" spans="1:8" ht="16.5" thickTop="1">
      <c r="A101" s="281"/>
    </row>
    <row r="102" spans="1:8">
      <c r="A102" s="538" t="s">
        <v>417</v>
      </c>
      <c r="B102" s="5" t="s">
        <v>442</v>
      </c>
    </row>
    <row r="103" spans="1:8">
      <c r="A103" s="281"/>
    </row>
    <row r="104" spans="1:8">
      <c r="A104" s="281"/>
    </row>
    <row r="105" spans="1:8">
      <c r="A105" s="281"/>
    </row>
    <row r="106" spans="1:8">
      <c r="A106" s="281"/>
    </row>
    <row r="107" spans="1:8">
      <c r="A107" s="281"/>
    </row>
    <row r="108" spans="1:8">
      <c r="A108" s="281"/>
    </row>
    <row r="109" spans="1:8">
      <c r="A109" s="281"/>
    </row>
    <row r="110" spans="1:8">
      <c r="A110" s="281"/>
    </row>
    <row r="111" spans="1:8">
      <c r="A111" s="281"/>
    </row>
    <row r="112" spans="1:8">
      <c r="A112" s="281"/>
    </row>
    <row r="113" spans="1:1">
      <c r="A113" s="281"/>
    </row>
    <row r="114" spans="1:1">
      <c r="A114" s="281"/>
    </row>
    <row r="115" spans="1:1">
      <c r="A115" s="281"/>
    </row>
    <row r="116" spans="1:1">
      <c r="A116" s="281"/>
    </row>
    <row r="117" spans="1:1">
      <c r="A117" s="281"/>
    </row>
    <row r="118" spans="1:1">
      <c r="A118" s="281"/>
    </row>
    <row r="119" spans="1:1">
      <c r="A119" s="281"/>
    </row>
    <row r="120" spans="1:1">
      <c r="A120" s="281"/>
    </row>
    <row r="121" spans="1:1">
      <c r="A121" s="281"/>
    </row>
    <row r="122" spans="1:1">
      <c r="A122" s="281"/>
    </row>
    <row r="123" spans="1:1">
      <c r="A123" s="281"/>
    </row>
    <row r="124" spans="1:1">
      <c r="A124" s="281"/>
    </row>
    <row r="125" spans="1:1">
      <c r="A125" s="281"/>
    </row>
    <row r="126" spans="1:1">
      <c r="A126" s="281"/>
    </row>
    <row r="127" spans="1:1">
      <c r="A127" s="281"/>
    </row>
    <row r="128" spans="1:1">
      <c r="A128" s="281"/>
    </row>
    <row r="129" spans="1:1">
      <c r="A129" s="281"/>
    </row>
    <row r="130" spans="1:1">
      <c r="A130" s="281"/>
    </row>
    <row r="131" spans="1:1">
      <c r="A131" s="281"/>
    </row>
    <row r="132" spans="1:1">
      <c r="A132" s="281"/>
    </row>
    <row r="133" spans="1:1">
      <c r="A133" s="281"/>
    </row>
    <row r="134" spans="1:1">
      <c r="A134" s="281"/>
    </row>
    <row r="135" spans="1:1">
      <c r="A135" s="281"/>
    </row>
    <row r="136" spans="1:1">
      <c r="A136" s="281"/>
    </row>
    <row r="137" spans="1:1">
      <c r="A137" s="281"/>
    </row>
    <row r="138" spans="1:1">
      <c r="A138" s="281"/>
    </row>
    <row r="139" spans="1:1">
      <c r="A139" s="281"/>
    </row>
    <row r="140" spans="1:1">
      <c r="A140" s="281"/>
    </row>
    <row r="141" spans="1:1">
      <c r="A141" s="281"/>
    </row>
    <row r="142" spans="1:1">
      <c r="A142" s="281"/>
    </row>
    <row r="143" spans="1:1">
      <c r="A143" s="281"/>
    </row>
    <row r="144" spans="1:1">
      <c r="A144" s="281"/>
    </row>
    <row r="145" spans="1:6">
      <c r="A145" s="281"/>
    </row>
    <row r="146" spans="1:6">
      <c r="A146" s="281"/>
    </row>
    <row r="147" spans="1:6">
      <c r="A147" s="281"/>
    </row>
    <row r="148" spans="1:6">
      <c r="A148" s="281"/>
    </row>
    <row r="149" spans="1:6">
      <c r="A149" s="281"/>
    </row>
    <row r="150" spans="1:6">
      <c r="A150" s="281"/>
    </row>
    <row r="151" spans="1:6">
      <c r="A151" s="281"/>
    </row>
    <row r="152" spans="1:6">
      <c r="A152" s="281"/>
    </row>
    <row r="153" spans="1:6">
      <c r="A153" s="281"/>
    </row>
    <row r="154" spans="1:6">
      <c r="A154" s="281"/>
      <c r="B154" s="181"/>
      <c r="C154" s="181"/>
      <c r="D154" s="181"/>
      <c r="E154" s="181"/>
      <c r="F154" s="181"/>
    </row>
    <row r="155" spans="1:6">
      <c r="A155" s="281"/>
      <c r="B155" s="181"/>
      <c r="C155" s="181"/>
      <c r="D155" s="181"/>
      <c r="E155" s="181"/>
      <c r="F155" s="181"/>
    </row>
    <row r="160" spans="1:6">
      <c r="A160" s="398"/>
      <c r="B160" s="181"/>
      <c r="C160" s="181"/>
      <c r="D160" s="181"/>
      <c r="E160" s="32"/>
      <c r="F160" s="32"/>
    </row>
  </sheetData>
  <mergeCells count="10">
    <mergeCell ref="B42:G42"/>
    <mergeCell ref="B43:G43"/>
    <mergeCell ref="B44:G44"/>
    <mergeCell ref="B45:G45"/>
    <mergeCell ref="B3:G3"/>
    <mergeCell ref="B4:G4"/>
    <mergeCell ref="B5:G5"/>
    <mergeCell ref="B6:G6"/>
    <mergeCell ref="B7:G7"/>
    <mergeCell ref="B41:G41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 SEC.2 WITH COST ADJ INCL. IN APPENDIX XII CYCLE 4 (ER22-133)</oddHeader>
    <oddFooter>&amp;L&amp;F&amp;CPage 6.&amp;P&amp;R&amp;A</oddFooter>
  </headerFooter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0CD5-0E3B-4083-A945-07F0E31F072E}">
  <sheetPr>
    <pageSetUpPr fitToPage="1"/>
  </sheetPr>
  <dimension ref="A1:S42"/>
  <sheetViews>
    <sheetView zoomScale="80" zoomScaleNormal="80" workbookViewId="0"/>
  </sheetViews>
  <sheetFormatPr defaultColWidth="9.140625" defaultRowHeight="15.75"/>
  <cols>
    <col min="1" max="1" width="5.140625" style="101" customWidth="1"/>
    <col min="2" max="2" width="12.5703125" style="98" customWidth="1"/>
    <col min="3" max="3" width="20" style="98" customWidth="1"/>
    <col min="4" max="7" width="21.5703125" style="98" customWidth="1"/>
    <col min="8" max="8" width="22.85546875" style="98" bestFit="1" customWidth="1"/>
    <col min="9" max="11" width="21.5703125" style="98" customWidth="1"/>
    <col min="12" max="12" width="2" style="98" bestFit="1" customWidth="1"/>
    <col min="13" max="14" width="21.5703125" style="98" customWidth="1"/>
    <col min="15" max="15" width="2" style="98" bestFit="1" customWidth="1"/>
    <col min="16" max="16" width="5.140625" style="101" customWidth="1"/>
    <col min="17" max="17" width="13.5703125" style="98" customWidth="1"/>
    <col min="18" max="18" width="12.5703125" style="98" customWidth="1"/>
    <col min="19" max="16384" width="9.140625" style="98"/>
  </cols>
  <sheetData>
    <row r="1" spans="1:16">
      <c r="I1" s="100"/>
      <c r="N1" s="585"/>
      <c r="O1" s="585"/>
    </row>
    <row r="2" spans="1:16">
      <c r="B2" s="784" t="s">
        <v>12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</row>
    <row r="3" spans="1:16">
      <c r="B3" s="777" t="s">
        <v>380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</row>
    <row r="4" spans="1:16">
      <c r="B4" s="777" t="s">
        <v>382</v>
      </c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</row>
    <row r="5" spans="1:16">
      <c r="B5" s="785" t="s">
        <v>484</v>
      </c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</row>
    <row r="6" spans="1:16">
      <c r="B6" s="786" t="s">
        <v>1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352"/>
      <c r="P6" s="183"/>
    </row>
    <row r="7" spans="1:16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>
      <c r="A8" s="101" t="s">
        <v>2</v>
      </c>
      <c r="B8" s="203"/>
      <c r="E8" s="194"/>
      <c r="F8" s="239"/>
      <c r="G8" s="239"/>
      <c r="P8" s="101" t="s">
        <v>2</v>
      </c>
    </row>
    <row r="9" spans="1:16">
      <c r="A9" s="101" t="s">
        <v>14</v>
      </c>
      <c r="B9" s="203"/>
      <c r="E9" s="194"/>
      <c r="F9" s="239"/>
      <c r="G9" s="239"/>
      <c r="P9" s="101" t="s">
        <v>14</v>
      </c>
    </row>
    <row r="10" spans="1:16">
      <c r="A10" s="101">
        <v>1</v>
      </c>
      <c r="D10" s="538"/>
      <c r="E10" s="194"/>
      <c r="I10" s="538"/>
      <c r="J10" s="366"/>
      <c r="K10" s="538"/>
      <c r="L10" s="538"/>
      <c r="N10" s="538"/>
      <c r="O10" s="538"/>
      <c r="P10" s="101">
        <v>1</v>
      </c>
    </row>
    <row r="11" spans="1:16">
      <c r="A11" s="101">
        <f t="shared" ref="A11:A31" si="0">A10+1</f>
        <v>2</v>
      </c>
      <c r="C11" s="340" t="s">
        <v>246</v>
      </c>
      <c r="D11" s="340" t="s">
        <v>247</v>
      </c>
      <c r="E11" s="340" t="s">
        <v>248</v>
      </c>
      <c r="F11" s="340" t="s">
        <v>249</v>
      </c>
      <c r="G11" s="340" t="s">
        <v>250</v>
      </c>
      <c r="H11" s="340" t="s">
        <v>251</v>
      </c>
      <c r="I11" s="340" t="s">
        <v>252</v>
      </c>
      <c r="J11" s="340" t="s">
        <v>253</v>
      </c>
      <c r="K11" s="340" t="s">
        <v>254</v>
      </c>
      <c r="L11" s="340"/>
      <c r="M11" s="340" t="s">
        <v>255</v>
      </c>
      <c r="N11" s="340" t="s">
        <v>256</v>
      </c>
      <c r="O11" s="340"/>
      <c r="P11" s="101">
        <f t="shared" ref="P11:P31" si="1">P10+1</f>
        <v>2</v>
      </c>
    </row>
    <row r="12" spans="1:16">
      <c r="A12" s="101">
        <f t="shared" si="0"/>
        <v>3</v>
      </c>
      <c r="B12" s="194" t="s">
        <v>257</v>
      </c>
      <c r="C12" s="101"/>
      <c r="D12" s="101"/>
      <c r="E12" s="101"/>
      <c r="F12" s="101" t="str">
        <f>"= "&amp;F11&amp;"; Line "&amp;A31&amp;" / 12"</f>
        <v>= Col. 4; Line 22 / 12</v>
      </c>
      <c r="G12" s="101"/>
      <c r="H12" s="191" t="str">
        <f>"= Sum "&amp;E11&amp;" thru "&amp;G11</f>
        <v>= Sum Col. 3 thru Col. 5</v>
      </c>
      <c r="I12" s="191" t="str">
        <f>"= "&amp;D11&amp;" - "&amp;H11</f>
        <v>= Col. 2 - Col. 6</v>
      </c>
      <c r="J12" s="101"/>
      <c r="K12" s="101" t="str">
        <f>"See Footnote "&amp;A41</f>
        <v>See Footnote 6</v>
      </c>
      <c r="L12" s="101"/>
      <c r="M12" s="101" t="str">
        <f>"See Footnote "&amp;A42</f>
        <v>See Footnote 7</v>
      </c>
      <c r="N12" s="191" t="str">
        <f>"= "&amp;K11&amp;" + "&amp;M11</f>
        <v>= Col. 9 + Col. 10</v>
      </c>
      <c r="O12" s="191"/>
      <c r="P12" s="101">
        <f t="shared" si="1"/>
        <v>3</v>
      </c>
    </row>
    <row r="13" spans="1:16">
      <c r="A13" s="101">
        <f t="shared" si="0"/>
        <v>4</v>
      </c>
      <c r="B13" s="194"/>
      <c r="C13" s="101"/>
      <c r="D13" s="101"/>
      <c r="E13" s="101"/>
      <c r="F13" s="101"/>
      <c r="G13" s="101"/>
      <c r="H13" s="191"/>
      <c r="I13" s="191"/>
      <c r="J13" s="101"/>
      <c r="K13" s="101"/>
      <c r="L13" s="101"/>
      <c r="M13" s="101"/>
      <c r="N13" s="191"/>
      <c r="O13" s="191"/>
      <c r="P13" s="101">
        <f t="shared" si="1"/>
        <v>4</v>
      </c>
    </row>
    <row r="14" spans="1:16">
      <c r="A14" s="101">
        <f t="shared" si="0"/>
        <v>5</v>
      </c>
      <c r="C14" s="340"/>
      <c r="H14" s="183"/>
      <c r="K14" s="183" t="s">
        <v>258</v>
      </c>
      <c r="L14" s="183"/>
      <c r="N14" s="183" t="s">
        <v>258</v>
      </c>
      <c r="O14" s="183"/>
      <c r="P14" s="101">
        <f t="shared" si="1"/>
        <v>5</v>
      </c>
    </row>
    <row r="15" spans="1:16">
      <c r="A15" s="101">
        <f t="shared" si="0"/>
        <v>6</v>
      </c>
      <c r="C15" s="340"/>
      <c r="D15" s="538"/>
      <c r="F15" s="183"/>
      <c r="G15" s="183"/>
      <c r="H15" s="183"/>
      <c r="I15" s="183" t="s">
        <v>259</v>
      </c>
      <c r="J15" s="183"/>
      <c r="K15" s="183" t="s">
        <v>260</v>
      </c>
      <c r="L15" s="183"/>
      <c r="N15" s="183" t="s">
        <v>260</v>
      </c>
      <c r="O15" s="183"/>
      <c r="P15" s="101">
        <f t="shared" si="1"/>
        <v>6</v>
      </c>
    </row>
    <row r="16" spans="1:16">
      <c r="A16" s="101">
        <f t="shared" si="0"/>
        <v>7</v>
      </c>
      <c r="C16" s="183"/>
      <c r="D16" s="183" t="s">
        <v>259</v>
      </c>
      <c r="E16" s="183" t="s">
        <v>259</v>
      </c>
      <c r="F16" s="183" t="s">
        <v>261</v>
      </c>
      <c r="G16" s="183"/>
      <c r="H16" s="183" t="s">
        <v>262</v>
      </c>
      <c r="I16" s="183" t="s">
        <v>260</v>
      </c>
      <c r="J16" s="183" t="s">
        <v>259</v>
      </c>
      <c r="K16" s="183" t="s">
        <v>263</v>
      </c>
      <c r="L16" s="183"/>
      <c r="N16" s="183" t="s">
        <v>263</v>
      </c>
      <c r="O16" s="183"/>
      <c r="P16" s="101">
        <f t="shared" si="1"/>
        <v>7</v>
      </c>
    </row>
    <row r="17" spans="1:19">
      <c r="A17" s="101">
        <f t="shared" si="0"/>
        <v>8</v>
      </c>
      <c r="C17" s="183"/>
      <c r="D17" s="183" t="s">
        <v>264</v>
      </c>
      <c r="E17" s="183" t="s">
        <v>264</v>
      </c>
      <c r="F17" s="183" t="s">
        <v>264</v>
      </c>
      <c r="G17" s="183" t="s">
        <v>265</v>
      </c>
      <c r="H17" s="183" t="s">
        <v>264</v>
      </c>
      <c r="I17" s="183" t="s">
        <v>263</v>
      </c>
      <c r="J17" s="183" t="s">
        <v>266</v>
      </c>
      <c r="K17" s="183" t="s">
        <v>267</v>
      </c>
      <c r="L17" s="183"/>
      <c r="M17" s="183"/>
      <c r="N17" s="183" t="s">
        <v>267</v>
      </c>
      <c r="O17" s="183"/>
      <c r="P17" s="101">
        <f t="shared" si="1"/>
        <v>8</v>
      </c>
    </row>
    <row r="18" spans="1:19" ht="18.75">
      <c r="A18" s="101">
        <f t="shared" si="0"/>
        <v>9</v>
      </c>
      <c r="B18" s="341" t="s">
        <v>13</v>
      </c>
      <c r="C18" s="341" t="s">
        <v>268</v>
      </c>
      <c r="D18" s="239" t="s">
        <v>291</v>
      </c>
      <c r="E18" s="239" t="s">
        <v>269</v>
      </c>
      <c r="F18" s="239" t="s">
        <v>270</v>
      </c>
      <c r="G18" s="239" t="s">
        <v>292</v>
      </c>
      <c r="H18" s="239" t="s">
        <v>271</v>
      </c>
      <c r="I18" s="239" t="s">
        <v>267</v>
      </c>
      <c r="J18" s="239" t="s">
        <v>272</v>
      </c>
      <c r="K18" s="239" t="s">
        <v>273</v>
      </c>
      <c r="L18" s="239"/>
      <c r="M18" s="239" t="s">
        <v>266</v>
      </c>
      <c r="N18" s="239" t="s">
        <v>274</v>
      </c>
      <c r="O18" s="239"/>
      <c r="P18" s="101">
        <f t="shared" si="1"/>
        <v>9</v>
      </c>
    </row>
    <row r="19" spans="1:19">
      <c r="A19" s="101">
        <f t="shared" si="0"/>
        <v>10</v>
      </c>
      <c r="B19" s="12" t="s">
        <v>275</v>
      </c>
      <c r="C19" s="342" t="str">
        <f>RIGHT(B5,4)</f>
        <v>2019</v>
      </c>
      <c r="D19" s="247">
        <v>0</v>
      </c>
      <c r="E19" s="210">
        <v>0</v>
      </c>
      <c r="F19" s="210">
        <v>0</v>
      </c>
      <c r="G19" s="210">
        <v>0</v>
      </c>
      <c r="H19" s="343">
        <f>SUM(E19:G19)</f>
        <v>0</v>
      </c>
      <c r="I19" s="210">
        <f>D19-H19</f>
        <v>0</v>
      </c>
      <c r="J19" s="367">
        <v>4.4000000000000003E-3</v>
      </c>
      <c r="K19" s="189">
        <f>I19</f>
        <v>0</v>
      </c>
      <c r="L19" s="189"/>
      <c r="M19" s="368">
        <f>(I19/2)*J19</f>
        <v>0</v>
      </c>
      <c r="N19" s="368">
        <f t="shared" ref="N19:N30" si="2">K19+M19</f>
        <v>0</v>
      </c>
      <c r="O19" s="368"/>
      <c r="P19" s="101">
        <f t="shared" si="1"/>
        <v>10</v>
      </c>
      <c r="Q19" s="92"/>
    </row>
    <row r="20" spans="1:19">
      <c r="A20" s="101">
        <f t="shared" si="0"/>
        <v>11</v>
      </c>
      <c r="B20" s="12" t="s">
        <v>276</v>
      </c>
      <c r="C20" s="342" t="str">
        <f>C19</f>
        <v>2019</v>
      </c>
      <c r="D20" s="369">
        <v>0</v>
      </c>
      <c r="E20" s="229">
        <v>0</v>
      </c>
      <c r="F20" s="229">
        <v>0</v>
      </c>
      <c r="G20" s="229">
        <v>0</v>
      </c>
      <c r="H20" s="344">
        <f>SUM(E20:G20)</f>
        <v>0</v>
      </c>
      <c r="I20" s="229">
        <f t="shared" ref="I20:I30" si="3">D20-H20</f>
        <v>0</v>
      </c>
      <c r="J20" s="367">
        <v>4.0000000000000001E-3</v>
      </c>
      <c r="K20" s="370">
        <f>N19+I20</f>
        <v>0</v>
      </c>
      <c r="L20" s="370"/>
      <c r="M20" s="371">
        <f t="shared" ref="M20:M30" si="4">(N19+K20)/2*J20</f>
        <v>0</v>
      </c>
      <c r="N20" s="371">
        <f t="shared" si="2"/>
        <v>0</v>
      </c>
      <c r="O20" s="371"/>
      <c r="P20" s="101">
        <f t="shared" si="1"/>
        <v>11</v>
      </c>
      <c r="Q20" s="238"/>
    </row>
    <row r="21" spans="1:19">
      <c r="A21" s="101">
        <f t="shared" si="0"/>
        <v>12</v>
      </c>
      <c r="B21" s="12" t="s">
        <v>277</v>
      </c>
      <c r="C21" s="342" t="str">
        <f>C19</f>
        <v>2019</v>
      </c>
      <c r="D21" s="369">
        <v>0</v>
      </c>
      <c r="E21" s="229">
        <v>0</v>
      </c>
      <c r="F21" s="229">
        <v>0</v>
      </c>
      <c r="G21" s="229">
        <v>0</v>
      </c>
      <c r="H21" s="344">
        <f t="shared" ref="H21:H29" si="5">SUM(E21:G21)</f>
        <v>0</v>
      </c>
      <c r="I21" s="229">
        <f t="shared" si="3"/>
        <v>0</v>
      </c>
      <c r="J21" s="367">
        <v>4.4000000000000003E-3</v>
      </c>
      <c r="K21" s="370">
        <f t="shared" ref="K21:K30" si="6">N20+I21</f>
        <v>0</v>
      </c>
      <c r="L21" s="370"/>
      <c r="M21" s="371">
        <f>(N20+K21)/2*J21</f>
        <v>0</v>
      </c>
      <c r="N21" s="371">
        <f t="shared" si="2"/>
        <v>0</v>
      </c>
      <c r="O21" s="371"/>
      <c r="P21" s="101">
        <f t="shared" si="1"/>
        <v>12</v>
      </c>
      <c r="Q21" s="238"/>
    </row>
    <row r="22" spans="1:19">
      <c r="A22" s="101">
        <f t="shared" si="0"/>
        <v>13</v>
      </c>
      <c r="B22" s="12" t="s">
        <v>278</v>
      </c>
      <c r="C22" s="342" t="str">
        <f>C19</f>
        <v>2019</v>
      </c>
      <c r="D22" s="369">
        <v>0</v>
      </c>
      <c r="E22" s="229">
        <v>0</v>
      </c>
      <c r="F22" s="229">
        <v>0</v>
      </c>
      <c r="G22" s="229">
        <v>0</v>
      </c>
      <c r="H22" s="344">
        <f t="shared" si="5"/>
        <v>0</v>
      </c>
      <c r="I22" s="229">
        <f>D22-H22</f>
        <v>0</v>
      </c>
      <c r="J22" s="367">
        <v>4.4999999999999997E-3</v>
      </c>
      <c r="K22" s="370">
        <f t="shared" si="6"/>
        <v>0</v>
      </c>
      <c r="L22" s="370"/>
      <c r="M22" s="371">
        <f>(N21+K22)/2*J22</f>
        <v>0</v>
      </c>
      <c r="N22" s="371">
        <f t="shared" si="2"/>
        <v>0</v>
      </c>
      <c r="O22" s="371"/>
      <c r="P22" s="101">
        <f t="shared" si="1"/>
        <v>13</v>
      </c>
      <c r="Q22" s="238"/>
      <c r="S22" s="372"/>
    </row>
    <row r="23" spans="1:19">
      <c r="A23" s="101">
        <f t="shared" si="0"/>
        <v>14</v>
      </c>
      <c r="B23" s="12" t="s">
        <v>279</v>
      </c>
      <c r="C23" s="342" t="str">
        <f>C19</f>
        <v>2019</v>
      </c>
      <c r="D23" s="369">
        <v>0</v>
      </c>
      <c r="E23" s="229">
        <v>0</v>
      </c>
      <c r="F23" s="229">
        <v>0</v>
      </c>
      <c r="G23" s="229">
        <v>0</v>
      </c>
      <c r="H23" s="344">
        <f t="shared" si="5"/>
        <v>0</v>
      </c>
      <c r="I23" s="229">
        <f t="shared" si="3"/>
        <v>0</v>
      </c>
      <c r="J23" s="367">
        <v>4.5999999999999999E-3</v>
      </c>
      <c r="K23" s="370">
        <f t="shared" si="6"/>
        <v>0</v>
      </c>
      <c r="L23" s="370"/>
      <c r="M23" s="371">
        <f t="shared" si="4"/>
        <v>0</v>
      </c>
      <c r="N23" s="371">
        <f t="shared" si="2"/>
        <v>0</v>
      </c>
      <c r="O23" s="371"/>
      <c r="P23" s="101">
        <f t="shared" si="1"/>
        <v>14</v>
      </c>
      <c r="Q23" s="238"/>
    </row>
    <row r="24" spans="1:19">
      <c r="A24" s="101">
        <f t="shared" si="0"/>
        <v>15</v>
      </c>
      <c r="B24" s="12" t="s">
        <v>280</v>
      </c>
      <c r="C24" s="342" t="str">
        <f>C19</f>
        <v>2019</v>
      </c>
      <c r="D24" s="211">
        <f>'Pg3 Rev App XII C3'!C40</f>
        <v>69.612227714382641</v>
      </c>
      <c r="E24" s="211">
        <v>75.821720569928246</v>
      </c>
      <c r="F24" s="211">
        <v>0</v>
      </c>
      <c r="G24" s="211">
        <v>0</v>
      </c>
      <c r="H24" s="344">
        <f t="shared" si="5"/>
        <v>75.821720569928246</v>
      </c>
      <c r="I24" s="229">
        <f t="shared" si="3"/>
        <v>-6.209492855545605</v>
      </c>
      <c r="J24" s="367">
        <v>4.4999999999999997E-3</v>
      </c>
      <c r="K24" s="370">
        <f t="shared" si="6"/>
        <v>-6.209492855545605</v>
      </c>
      <c r="L24" s="370"/>
      <c r="M24" s="371">
        <f>(N23+K24)/2*J24</f>
        <v>-1.397135892497761E-2</v>
      </c>
      <c r="N24" s="371">
        <f t="shared" si="2"/>
        <v>-6.2234642144705825</v>
      </c>
      <c r="O24" s="626"/>
      <c r="P24" s="101">
        <f t="shared" si="1"/>
        <v>15</v>
      </c>
      <c r="Q24" s="238"/>
    </row>
    <row r="25" spans="1:19">
      <c r="A25" s="101">
        <f t="shared" si="0"/>
        <v>16</v>
      </c>
      <c r="B25" s="12" t="s">
        <v>281</v>
      </c>
      <c r="C25" s="342" t="str">
        <f>C19</f>
        <v>2019</v>
      </c>
      <c r="D25" s="369">
        <f>$D$24</f>
        <v>69.612227714382641</v>
      </c>
      <c r="E25" s="229">
        <f>$E$24</f>
        <v>75.821720569928246</v>
      </c>
      <c r="F25" s="229">
        <f>$F$24</f>
        <v>0</v>
      </c>
      <c r="G25" s="229">
        <f>$G$24</f>
        <v>0</v>
      </c>
      <c r="H25" s="344">
        <f t="shared" si="5"/>
        <v>75.821720569928246</v>
      </c>
      <c r="I25" s="229">
        <f t="shared" si="3"/>
        <v>-6.209492855545605</v>
      </c>
      <c r="J25" s="367">
        <v>4.7000000000000002E-3</v>
      </c>
      <c r="K25" s="625">
        <f t="shared" si="6"/>
        <v>-12.432957070016187</v>
      </c>
      <c r="L25" s="538" t="s">
        <v>417</v>
      </c>
      <c r="M25" s="371">
        <f t="shared" si="4"/>
        <v>-4.384259001854391E-2</v>
      </c>
      <c r="N25" s="371">
        <f t="shared" si="2"/>
        <v>-12.476799660034731</v>
      </c>
      <c r="O25" s="626"/>
      <c r="P25" s="101">
        <f t="shared" si="1"/>
        <v>16</v>
      </c>
      <c r="Q25" s="238"/>
    </row>
    <row r="26" spans="1:19">
      <c r="A26" s="101">
        <f t="shared" si="0"/>
        <v>17</v>
      </c>
      <c r="B26" s="12" t="s">
        <v>282</v>
      </c>
      <c r="C26" s="342" t="str">
        <f>C19</f>
        <v>2019</v>
      </c>
      <c r="D26" s="369">
        <f t="shared" ref="D26:D30" si="7">$D$24</f>
        <v>69.612227714382641</v>
      </c>
      <c r="E26" s="229">
        <f t="shared" ref="E26:E30" si="8">$E$24</f>
        <v>75.821720569928246</v>
      </c>
      <c r="F26" s="229">
        <f t="shared" ref="F26:F30" si="9">$F$24</f>
        <v>0</v>
      </c>
      <c r="G26" s="229">
        <f t="shared" ref="G26:G30" si="10">$G$24</f>
        <v>0</v>
      </c>
      <c r="H26" s="344">
        <f t="shared" si="5"/>
        <v>75.821720569928246</v>
      </c>
      <c r="I26" s="229">
        <f t="shared" si="3"/>
        <v>-6.209492855545605</v>
      </c>
      <c r="J26" s="367">
        <v>4.7000000000000002E-3</v>
      </c>
      <c r="K26" s="370">
        <f t="shared" si="6"/>
        <v>-18.686292515580334</v>
      </c>
      <c r="L26" s="370"/>
      <c r="M26" s="371">
        <f t="shared" si="4"/>
        <v>-7.32332666126954E-2</v>
      </c>
      <c r="N26" s="371">
        <f t="shared" si="2"/>
        <v>-18.75952578219303</v>
      </c>
      <c r="O26" s="626"/>
      <c r="P26" s="101">
        <f t="shared" si="1"/>
        <v>17</v>
      </c>
      <c r="Q26" s="238"/>
    </row>
    <row r="27" spans="1:19">
      <c r="A27" s="101">
        <f t="shared" si="0"/>
        <v>18</v>
      </c>
      <c r="B27" s="12" t="s">
        <v>283</v>
      </c>
      <c r="C27" s="342" t="str">
        <f>C19</f>
        <v>2019</v>
      </c>
      <c r="D27" s="369">
        <f t="shared" si="7"/>
        <v>69.612227714382641</v>
      </c>
      <c r="E27" s="229">
        <f t="shared" si="8"/>
        <v>75.821720569928246</v>
      </c>
      <c r="F27" s="229">
        <f t="shared" si="9"/>
        <v>0</v>
      </c>
      <c r="G27" s="229">
        <f t="shared" si="10"/>
        <v>0</v>
      </c>
      <c r="H27" s="344">
        <f t="shared" si="5"/>
        <v>75.821720569928246</v>
      </c>
      <c r="I27" s="229">
        <f t="shared" si="3"/>
        <v>-6.209492855545605</v>
      </c>
      <c r="J27" s="367">
        <v>4.4999999999999997E-3</v>
      </c>
      <c r="K27" s="370">
        <f t="shared" si="6"/>
        <v>-24.969018637738635</v>
      </c>
      <c r="M27" s="371">
        <f t="shared" si="4"/>
        <v>-9.838922494484624E-2</v>
      </c>
      <c r="N27" s="371">
        <f t="shared" si="2"/>
        <v>-25.067407862683481</v>
      </c>
      <c r="P27" s="101">
        <f t="shared" si="1"/>
        <v>18</v>
      </c>
      <c r="Q27" s="238"/>
    </row>
    <row r="28" spans="1:19">
      <c r="A28" s="101">
        <f t="shared" si="0"/>
        <v>19</v>
      </c>
      <c r="B28" s="12" t="s">
        <v>284</v>
      </c>
      <c r="C28" s="342" t="str">
        <f>C19</f>
        <v>2019</v>
      </c>
      <c r="D28" s="369">
        <f t="shared" si="7"/>
        <v>69.612227714382641</v>
      </c>
      <c r="E28" s="229">
        <f t="shared" si="8"/>
        <v>75.821720569928246</v>
      </c>
      <c r="F28" s="229">
        <f t="shared" si="9"/>
        <v>0</v>
      </c>
      <c r="G28" s="229">
        <f t="shared" si="10"/>
        <v>0</v>
      </c>
      <c r="H28" s="344">
        <f t="shared" si="5"/>
        <v>75.821720569928246</v>
      </c>
      <c r="I28" s="229">
        <f t="shared" si="3"/>
        <v>-6.209492855545605</v>
      </c>
      <c r="J28" s="367">
        <v>4.5999999999999999E-3</v>
      </c>
      <c r="K28" s="625">
        <f t="shared" si="6"/>
        <v>-31.276900718229086</v>
      </c>
      <c r="L28" s="538" t="s">
        <v>417</v>
      </c>
      <c r="M28" s="371">
        <f t="shared" si="4"/>
        <v>-0.12959190973609891</v>
      </c>
      <c r="N28" s="626">
        <f t="shared" si="2"/>
        <v>-31.406492627965186</v>
      </c>
      <c r="O28" s="538" t="s">
        <v>417</v>
      </c>
      <c r="P28" s="101">
        <f t="shared" si="1"/>
        <v>19</v>
      </c>
      <c r="Q28" s="238"/>
    </row>
    <row r="29" spans="1:19">
      <c r="A29" s="101">
        <f t="shared" si="0"/>
        <v>20</v>
      </c>
      <c r="B29" s="12" t="s">
        <v>285</v>
      </c>
      <c r="C29" s="342" t="str">
        <f>C19</f>
        <v>2019</v>
      </c>
      <c r="D29" s="369">
        <f t="shared" si="7"/>
        <v>69.612227714382641</v>
      </c>
      <c r="E29" s="229">
        <f t="shared" si="8"/>
        <v>75.821720569928246</v>
      </c>
      <c r="F29" s="229">
        <f t="shared" si="9"/>
        <v>0</v>
      </c>
      <c r="G29" s="229">
        <f t="shared" si="10"/>
        <v>0</v>
      </c>
      <c r="H29" s="344">
        <f t="shared" si="5"/>
        <v>75.821720569928246</v>
      </c>
      <c r="I29" s="229">
        <f t="shared" si="3"/>
        <v>-6.209492855545605</v>
      </c>
      <c r="J29" s="367">
        <v>4.4999999999999997E-3</v>
      </c>
      <c r="K29" s="370">
        <f t="shared" si="6"/>
        <v>-37.615985483510791</v>
      </c>
      <c r="L29" s="538"/>
      <c r="M29" s="371">
        <f t="shared" si="4"/>
        <v>-0.15530057575082093</v>
      </c>
      <c r="N29" s="371">
        <f t="shared" si="2"/>
        <v>-37.771286059261612</v>
      </c>
      <c r="O29" s="538"/>
      <c r="P29" s="101">
        <f t="shared" si="1"/>
        <v>20</v>
      </c>
      <c r="Q29" s="238"/>
    </row>
    <row r="30" spans="1:19">
      <c r="A30" s="101">
        <f t="shared" si="0"/>
        <v>21</v>
      </c>
      <c r="B30" s="346" t="s">
        <v>286</v>
      </c>
      <c r="C30" s="347" t="str">
        <f>C19</f>
        <v>2019</v>
      </c>
      <c r="D30" s="369">
        <f t="shared" si="7"/>
        <v>69.612227714382641</v>
      </c>
      <c r="E30" s="229">
        <f t="shared" si="8"/>
        <v>75.821720569928246</v>
      </c>
      <c r="F30" s="286">
        <f t="shared" si="9"/>
        <v>0</v>
      </c>
      <c r="G30" s="229">
        <f t="shared" si="10"/>
        <v>0</v>
      </c>
      <c r="H30" s="349">
        <f>SUM(E30:G30)</f>
        <v>75.821720569928246</v>
      </c>
      <c r="I30" s="286">
        <f t="shared" si="3"/>
        <v>-6.209492855545605</v>
      </c>
      <c r="J30" s="373">
        <v>4.5999999999999999E-3</v>
      </c>
      <c r="K30" s="629">
        <f t="shared" si="6"/>
        <v>-43.980778914807217</v>
      </c>
      <c r="L30" s="772" t="s">
        <v>417</v>
      </c>
      <c r="M30" s="374">
        <f t="shared" si="4"/>
        <v>-0.1880297494403583</v>
      </c>
      <c r="N30" s="630">
        <f t="shared" si="2"/>
        <v>-44.168808664247578</v>
      </c>
      <c r="O30" s="538" t="s">
        <v>417</v>
      </c>
      <c r="P30" s="101">
        <f t="shared" si="1"/>
        <v>21</v>
      </c>
      <c r="Q30" s="238"/>
    </row>
    <row r="31" spans="1:19" ht="16.5" thickBot="1">
      <c r="A31" s="101">
        <f t="shared" si="0"/>
        <v>22</v>
      </c>
      <c r="D31" s="375">
        <f t="shared" ref="D31:I31" si="11">SUM(D19:D30)</f>
        <v>487.28559400067849</v>
      </c>
      <c r="E31" s="375">
        <f t="shared" si="11"/>
        <v>530.75204398949768</v>
      </c>
      <c r="F31" s="375">
        <f t="shared" si="11"/>
        <v>0</v>
      </c>
      <c r="G31" s="375">
        <f t="shared" si="11"/>
        <v>0</v>
      </c>
      <c r="H31" s="375">
        <f t="shared" si="11"/>
        <v>530.75204398949768</v>
      </c>
      <c r="I31" s="631">
        <f t="shared" si="11"/>
        <v>-43.466449988819235</v>
      </c>
      <c r="J31" s="376"/>
      <c r="K31" s="377"/>
      <c r="L31" s="377"/>
      <c r="M31" s="375">
        <f>SUM(M19:M30)</f>
        <v>-0.70235867542834129</v>
      </c>
      <c r="N31" s="377"/>
      <c r="O31" s="377"/>
      <c r="P31" s="101">
        <f t="shared" si="1"/>
        <v>22</v>
      </c>
    </row>
    <row r="32" spans="1:19" ht="16.5" thickTop="1">
      <c r="D32" s="731"/>
      <c r="E32" s="378"/>
      <c r="F32" s="378"/>
      <c r="G32" s="378"/>
      <c r="H32" s="378"/>
      <c r="I32" s="731" t="s">
        <v>417</v>
      </c>
      <c r="J32" s="378"/>
      <c r="K32" s="378"/>
      <c r="L32" s="378"/>
      <c r="M32" s="378"/>
      <c r="N32" s="378"/>
      <c r="O32" s="378"/>
    </row>
    <row r="33" spans="1:15"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>
      <c r="A34" s="538" t="s">
        <v>417</v>
      </c>
      <c r="B34" s="5" t="s">
        <v>633</v>
      </c>
      <c r="F34" s="379"/>
      <c r="G34" s="379"/>
    </row>
    <row r="35" spans="1:15" ht="18.75">
      <c r="A35" s="351">
        <v>1</v>
      </c>
      <c r="B35" s="98" t="s">
        <v>485</v>
      </c>
      <c r="F35" s="379"/>
      <c r="G35" s="379"/>
    </row>
    <row r="36" spans="1:15" ht="18.75">
      <c r="A36" s="351">
        <v>2</v>
      </c>
      <c r="B36" s="98" t="s">
        <v>396</v>
      </c>
    </row>
    <row r="37" spans="1:15" ht="18.75">
      <c r="A37" s="351">
        <v>3</v>
      </c>
      <c r="B37" s="98" t="s">
        <v>293</v>
      </c>
    </row>
    <row r="38" spans="1:15" ht="18.75">
      <c r="A38" s="351">
        <v>4</v>
      </c>
      <c r="B38" s="98" t="s">
        <v>294</v>
      </c>
    </row>
    <row r="39" spans="1:15" ht="18.75">
      <c r="A39" s="351"/>
      <c r="B39" s="98" t="s">
        <v>287</v>
      </c>
    </row>
    <row r="40" spans="1:15" ht="18.75">
      <c r="A40" s="351">
        <v>5</v>
      </c>
      <c r="B40" s="98" t="s">
        <v>288</v>
      </c>
      <c r="C40" s="100"/>
    </row>
    <row r="41" spans="1:15" ht="18.75">
      <c r="A41" s="351">
        <v>6</v>
      </c>
      <c r="B41" s="98" t="s">
        <v>289</v>
      </c>
    </row>
    <row r="42" spans="1:15" ht="18.75">
      <c r="A42" s="351">
        <v>7</v>
      </c>
      <c r="B42" s="98" t="s">
        <v>290</v>
      </c>
    </row>
  </sheetData>
  <mergeCells count="5">
    <mergeCell ref="B2:P2"/>
    <mergeCell ref="B3:P3"/>
    <mergeCell ref="B4:P4"/>
    <mergeCell ref="B5:P5"/>
    <mergeCell ref="B6:N6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Roman,Bold"&amp;7REVISED</oddHeader>
    <oddFooter>&amp;L&amp;F&amp;CPage 7&amp;R&amp;A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016A-C6E6-4FA1-AB49-67EA291F3BD5}">
  <sheetPr>
    <pageSetUpPr fitToPage="1"/>
  </sheetPr>
  <dimension ref="A1:Q42"/>
  <sheetViews>
    <sheetView zoomScale="80" zoomScaleNormal="80" workbookViewId="0"/>
  </sheetViews>
  <sheetFormatPr defaultColWidth="9.140625" defaultRowHeight="15.75"/>
  <cols>
    <col min="1" max="1" width="5.140625" style="101" customWidth="1"/>
    <col min="2" max="2" width="12.5703125" style="98" customWidth="1"/>
    <col min="3" max="3" width="20" style="98" customWidth="1"/>
    <col min="4" max="7" width="21.5703125" style="98" customWidth="1"/>
    <col min="8" max="8" width="22.85546875" style="98" bestFit="1" customWidth="1"/>
    <col min="9" max="13" width="21.5703125" style="98" customWidth="1"/>
    <col min="14" max="14" width="5.140625" style="101" customWidth="1"/>
    <col min="15" max="15" width="13.5703125" style="98" customWidth="1"/>
    <col min="16" max="16" width="12.5703125" style="98" customWidth="1"/>
    <col min="17" max="16384" width="9.140625" style="98"/>
  </cols>
  <sheetData>
    <row r="1" spans="1:14">
      <c r="A1" s="605" t="s">
        <v>486</v>
      </c>
    </row>
    <row r="2" spans="1:14">
      <c r="I2" s="100"/>
      <c r="M2" s="585"/>
    </row>
    <row r="3" spans="1:14">
      <c r="B3" s="784" t="s">
        <v>12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</row>
    <row r="4" spans="1:14">
      <c r="B4" s="777" t="s">
        <v>380</v>
      </c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</row>
    <row r="5" spans="1:14">
      <c r="B5" s="777" t="s">
        <v>382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</row>
    <row r="6" spans="1:14">
      <c r="B6" s="785" t="s">
        <v>484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</row>
    <row r="7" spans="1:14">
      <c r="B7" s="786" t="s">
        <v>1</v>
      </c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183"/>
    </row>
    <row r="8" spans="1:14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>
      <c r="A9" s="101" t="s">
        <v>2</v>
      </c>
      <c r="B9" s="203"/>
      <c r="E9" s="194"/>
      <c r="F9" s="239"/>
      <c r="G9" s="239"/>
      <c r="N9" s="101" t="s">
        <v>2</v>
      </c>
    </row>
    <row r="10" spans="1:14">
      <c r="A10" s="101" t="s">
        <v>14</v>
      </c>
      <c r="B10" s="203"/>
      <c r="E10" s="194"/>
      <c r="F10" s="239"/>
      <c r="G10" s="239"/>
      <c r="N10" s="101" t="s">
        <v>14</v>
      </c>
    </row>
    <row r="11" spans="1:14">
      <c r="A11" s="101">
        <v>1</v>
      </c>
      <c r="D11" s="538" t="s">
        <v>417</v>
      </c>
      <c r="E11" s="194"/>
      <c r="I11" s="538" t="s">
        <v>417</v>
      </c>
      <c r="J11" s="366"/>
      <c r="K11" s="538" t="s">
        <v>417</v>
      </c>
      <c r="M11" s="538" t="s">
        <v>417</v>
      </c>
      <c r="N11" s="101">
        <v>1</v>
      </c>
    </row>
    <row r="12" spans="1:14">
      <c r="A12" s="101">
        <f t="shared" ref="A12:A32" si="0">A11+1</f>
        <v>2</v>
      </c>
      <c r="C12" s="340" t="s">
        <v>246</v>
      </c>
      <c r="D12" s="340" t="s">
        <v>247</v>
      </c>
      <c r="E12" s="340" t="s">
        <v>248</v>
      </c>
      <c r="F12" s="340" t="s">
        <v>249</v>
      </c>
      <c r="G12" s="340" t="s">
        <v>250</v>
      </c>
      <c r="H12" s="340" t="s">
        <v>251</v>
      </c>
      <c r="I12" s="340" t="s">
        <v>252</v>
      </c>
      <c r="J12" s="340" t="s">
        <v>253</v>
      </c>
      <c r="K12" s="340" t="s">
        <v>254</v>
      </c>
      <c r="L12" s="340" t="s">
        <v>255</v>
      </c>
      <c r="M12" s="340" t="s">
        <v>256</v>
      </c>
      <c r="N12" s="101">
        <f t="shared" ref="N12:N32" si="1">N11+1</f>
        <v>2</v>
      </c>
    </row>
    <row r="13" spans="1:14">
      <c r="A13" s="101">
        <f t="shared" si="0"/>
        <v>3</v>
      </c>
      <c r="B13" s="194" t="s">
        <v>257</v>
      </c>
      <c r="C13" s="101"/>
      <c r="D13" s="101"/>
      <c r="E13" s="101"/>
      <c r="F13" s="101" t="str">
        <f>"= "&amp;F12&amp;"; Line "&amp;A32&amp;" / 12"</f>
        <v>= Col. 4; Line 22 / 12</v>
      </c>
      <c r="G13" s="101"/>
      <c r="H13" s="191" t="str">
        <f>"= Sum "&amp;E12&amp;" thru "&amp;G12</f>
        <v>= Sum Col. 3 thru Col. 5</v>
      </c>
      <c r="I13" s="191" t="str">
        <f>"= "&amp;D12&amp;" - "&amp;H12</f>
        <v>= Col. 2 - Col. 6</v>
      </c>
      <c r="J13" s="101"/>
      <c r="K13" s="101" t="str">
        <f>"See Footnote "&amp;A41</f>
        <v>See Footnote 6</v>
      </c>
      <c r="L13" s="101" t="str">
        <f>"See Footnote "&amp;A42</f>
        <v>See Footnote 7</v>
      </c>
      <c r="M13" s="191" t="str">
        <f>"= "&amp;K12&amp;" + "&amp;L12</f>
        <v>= Col. 9 + Col. 10</v>
      </c>
      <c r="N13" s="101">
        <f t="shared" si="1"/>
        <v>3</v>
      </c>
    </row>
    <row r="14" spans="1:14">
      <c r="A14" s="101">
        <f t="shared" si="0"/>
        <v>4</v>
      </c>
      <c r="B14" s="194"/>
      <c r="C14" s="101"/>
      <c r="D14" s="101"/>
      <c r="E14" s="101"/>
      <c r="F14" s="101"/>
      <c r="G14" s="101"/>
      <c r="H14" s="191"/>
      <c r="I14" s="191"/>
      <c r="J14" s="101"/>
      <c r="K14" s="101"/>
      <c r="L14" s="101"/>
      <c r="M14" s="191"/>
      <c r="N14" s="101">
        <f t="shared" si="1"/>
        <v>4</v>
      </c>
    </row>
    <row r="15" spans="1:14">
      <c r="A15" s="101">
        <f t="shared" si="0"/>
        <v>5</v>
      </c>
      <c r="C15" s="340"/>
      <c r="H15" s="183"/>
      <c r="K15" s="183" t="s">
        <v>258</v>
      </c>
      <c r="M15" s="183" t="s">
        <v>258</v>
      </c>
      <c r="N15" s="101">
        <f t="shared" si="1"/>
        <v>5</v>
      </c>
    </row>
    <row r="16" spans="1:14">
      <c r="A16" s="101">
        <f t="shared" si="0"/>
        <v>6</v>
      </c>
      <c r="C16" s="340"/>
      <c r="D16" s="538"/>
      <c r="F16" s="183"/>
      <c r="G16" s="183"/>
      <c r="H16" s="183"/>
      <c r="I16" s="183" t="s">
        <v>259</v>
      </c>
      <c r="J16" s="183"/>
      <c r="K16" s="183" t="s">
        <v>260</v>
      </c>
      <c r="M16" s="183" t="s">
        <v>260</v>
      </c>
      <c r="N16" s="101">
        <f t="shared" si="1"/>
        <v>6</v>
      </c>
    </row>
    <row r="17" spans="1:17">
      <c r="A17" s="101">
        <f t="shared" si="0"/>
        <v>7</v>
      </c>
      <c r="C17" s="183"/>
      <c r="D17" s="183" t="s">
        <v>259</v>
      </c>
      <c r="E17" s="183" t="s">
        <v>259</v>
      </c>
      <c r="F17" s="183" t="s">
        <v>261</v>
      </c>
      <c r="G17" s="183"/>
      <c r="H17" s="183" t="s">
        <v>262</v>
      </c>
      <c r="I17" s="183" t="s">
        <v>260</v>
      </c>
      <c r="J17" s="183" t="s">
        <v>259</v>
      </c>
      <c r="K17" s="183" t="s">
        <v>263</v>
      </c>
      <c r="M17" s="183" t="s">
        <v>263</v>
      </c>
      <c r="N17" s="101">
        <f t="shared" si="1"/>
        <v>7</v>
      </c>
    </row>
    <row r="18" spans="1:17">
      <c r="A18" s="101">
        <f t="shared" si="0"/>
        <v>8</v>
      </c>
      <c r="C18" s="183"/>
      <c r="D18" s="183" t="s">
        <v>264</v>
      </c>
      <c r="E18" s="183" t="s">
        <v>264</v>
      </c>
      <c r="F18" s="183" t="s">
        <v>264</v>
      </c>
      <c r="G18" s="183" t="s">
        <v>265</v>
      </c>
      <c r="H18" s="183" t="s">
        <v>264</v>
      </c>
      <c r="I18" s="183" t="s">
        <v>263</v>
      </c>
      <c r="J18" s="183" t="s">
        <v>266</v>
      </c>
      <c r="K18" s="183" t="s">
        <v>267</v>
      </c>
      <c r="L18" s="183"/>
      <c r="M18" s="183" t="s">
        <v>267</v>
      </c>
      <c r="N18" s="101">
        <f t="shared" si="1"/>
        <v>8</v>
      </c>
    </row>
    <row r="19" spans="1:17" ht="18.75">
      <c r="A19" s="101">
        <f t="shared" si="0"/>
        <v>9</v>
      </c>
      <c r="B19" s="341" t="s">
        <v>13</v>
      </c>
      <c r="C19" s="341" t="s">
        <v>268</v>
      </c>
      <c r="D19" s="239" t="s">
        <v>291</v>
      </c>
      <c r="E19" s="239" t="s">
        <v>269</v>
      </c>
      <c r="F19" s="239" t="s">
        <v>270</v>
      </c>
      <c r="G19" s="239" t="s">
        <v>292</v>
      </c>
      <c r="H19" s="239" t="s">
        <v>271</v>
      </c>
      <c r="I19" s="239" t="s">
        <v>267</v>
      </c>
      <c r="J19" s="239" t="s">
        <v>272</v>
      </c>
      <c r="K19" s="239" t="s">
        <v>273</v>
      </c>
      <c r="L19" s="239" t="s">
        <v>266</v>
      </c>
      <c r="M19" s="239" t="s">
        <v>274</v>
      </c>
      <c r="N19" s="101">
        <f t="shared" si="1"/>
        <v>9</v>
      </c>
    </row>
    <row r="20" spans="1:17">
      <c r="A20" s="101">
        <f t="shared" si="0"/>
        <v>10</v>
      </c>
      <c r="B20" s="12" t="s">
        <v>275</v>
      </c>
      <c r="C20" s="342" t="str">
        <f>RIGHT(B6,4)</f>
        <v>2019</v>
      </c>
      <c r="D20" s="247">
        <v>0</v>
      </c>
      <c r="E20" s="210">
        <v>0</v>
      </c>
      <c r="F20" s="210">
        <v>0</v>
      </c>
      <c r="G20" s="210">
        <v>0</v>
      </c>
      <c r="H20" s="343">
        <f>SUM(E20:G20)</f>
        <v>0</v>
      </c>
      <c r="I20" s="210">
        <f>D20-H20</f>
        <v>0</v>
      </c>
      <c r="J20" s="367">
        <v>4.4000000000000003E-3</v>
      </c>
      <c r="K20" s="189">
        <f>I20</f>
        <v>0</v>
      </c>
      <c r="L20" s="368">
        <f>(I20/2)*J20</f>
        <v>0</v>
      </c>
      <c r="M20" s="368">
        <f t="shared" ref="M20:M31" si="2">K20+L20</f>
        <v>0</v>
      </c>
      <c r="N20" s="101">
        <f t="shared" si="1"/>
        <v>10</v>
      </c>
      <c r="O20" s="92"/>
    </row>
    <row r="21" spans="1:17">
      <c r="A21" s="101">
        <f t="shared" si="0"/>
        <v>11</v>
      </c>
      <c r="B21" s="12" t="s">
        <v>276</v>
      </c>
      <c r="C21" s="342" t="str">
        <f>C20</f>
        <v>2019</v>
      </c>
      <c r="D21" s="369">
        <v>0</v>
      </c>
      <c r="E21" s="229">
        <v>0</v>
      </c>
      <c r="F21" s="229">
        <v>0</v>
      </c>
      <c r="G21" s="229">
        <v>0</v>
      </c>
      <c r="H21" s="344">
        <f>SUM(E21:G21)</f>
        <v>0</v>
      </c>
      <c r="I21" s="229">
        <f t="shared" ref="I21:I31" si="3">D21-H21</f>
        <v>0</v>
      </c>
      <c r="J21" s="367">
        <v>4.0000000000000001E-3</v>
      </c>
      <c r="K21" s="370">
        <f>M20+I21</f>
        <v>0</v>
      </c>
      <c r="L21" s="371">
        <f t="shared" ref="L21:L31" si="4">(M20+K21)/2*J21</f>
        <v>0</v>
      </c>
      <c r="M21" s="371">
        <f t="shared" si="2"/>
        <v>0</v>
      </c>
      <c r="N21" s="101">
        <f t="shared" si="1"/>
        <v>11</v>
      </c>
      <c r="O21" s="238"/>
    </row>
    <row r="22" spans="1:17">
      <c r="A22" s="101">
        <f t="shared" si="0"/>
        <v>12</v>
      </c>
      <c r="B22" s="12" t="s">
        <v>277</v>
      </c>
      <c r="C22" s="342" t="str">
        <f>C20</f>
        <v>2019</v>
      </c>
      <c r="D22" s="369">
        <v>0</v>
      </c>
      <c r="E22" s="229">
        <v>0</v>
      </c>
      <c r="F22" s="229">
        <v>0</v>
      </c>
      <c r="G22" s="229">
        <v>0</v>
      </c>
      <c r="H22" s="344">
        <f t="shared" ref="H22:H30" si="5">SUM(E22:G22)</f>
        <v>0</v>
      </c>
      <c r="I22" s="229">
        <f t="shared" si="3"/>
        <v>0</v>
      </c>
      <c r="J22" s="367">
        <v>4.4000000000000003E-3</v>
      </c>
      <c r="K22" s="370">
        <f t="shared" ref="K22:K31" si="6">M21+I22</f>
        <v>0</v>
      </c>
      <c r="L22" s="371">
        <f>(M21+K22)/2*J22</f>
        <v>0</v>
      </c>
      <c r="M22" s="371">
        <f t="shared" si="2"/>
        <v>0</v>
      </c>
      <c r="N22" s="101">
        <f t="shared" si="1"/>
        <v>12</v>
      </c>
      <c r="O22" s="238"/>
    </row>
    <row r="23" spans="1:17">
      <c r="A23" s="101">
        <f t="shared" si="0"/>
        <v>13</v>
      </c>
      <c r="B23" s="12" t="s">
        <v>278</v>
      </c>
      <c r="C23" s="342" t="str">
        <f>C20</f>
        <v>2019</v>
      </c>
      <c r="D23" s="369">
        <v>0</v>
      </c>
      <c r="E23" s="229">
        <v>0</v>
      </c>
      <c r="F23" s="229">
        <v>0</v>
      </c>
      <c r="G23" s="229">
        <v>0</v>
      </c>
      <c r="H23" s="344">
        <f t="shared" si="5"/>
        <v>0</v>
      </c>
      <c r="I23" s="229">
        <f>D23-H23</f>
        <v>0</v>
      </c>
      <c r="J23" s="367">
        <v>4.4999999999999997E-3</v>
      </c>
      <c r="K23" s="370">
        <f t="shared" si="6"/>
        <v>0</v>
      </c>
      <c r="L23" s="371">
        <f>(M22+K23)/2*J23</f>
        <v>0</v>
      </c>
      <c r="M23" s="371">
        <f t="shared" si="2"/>
        <v>0</v>
      </c>
      <c r="N23" s="101">
        <f t="shared" si="1"/>
        <v>13</v>
      </c>
      <c r="O23" s="238"/>
      <c r="Q23" s="372"/>
    </row>
    <row r="24" spans="1:17">
      <c r="A24" s="101">
        <f t="shared" si="0"/>
        <v>14</v>
      </c>
      <c r="B24" s="12" t="s">
        <v>279</v>
      </c>
      <c r="C24" s="342" t="str">
        <f>C20</f>
        <v>2019</v>
      </c>
      <c r="D24" s="369">
        <v>0</v>
      </c>
      <c r="E24" s="229">
        <v>0</v>
      </c>
      <c r="F24" s="229">
        <v>0</v>
      </c>
      <c r="G24" s="229">
        <v>0</v>
      </c>
      <c r="H24" s="344">
        <f t="shared" si="5"/>
        <v>0</v>
      </c>
      <c r="I24" s="229">
        <f t="shared" si="3"/>
        <v>0</v>
      </c>
      <c r="J24" s="367">
        <v>4.5999999999999999E-3</v>
      </c>
      <c r="K24" s="370">
        <f t="shared" si="6"/>
        <v>0</v>
      </c>
      <c r="L24" s="371">
        <f t="shared" si="4"/>
        <v>0</v>
      </c>
      <c r="M24" s="371">
        <f t="shared" si="2"/>
        <v>0</v>
      </c>
      <c r="N24" s="101">
        <f t="shared" si="1"/>
        <v>14</v>
      </c>
      <c r="O24" s="238"/>
    </row>
    <row r="25" spans="1:17">
      <c r="A25" s="101">
        <f t="shared" si="0"/>
        <v>15</v>
      </c>
      <c r="B25" s="12" t="s">
        <v>280</v>
      </c>
      <c r="C25" s="342" t="str">
        <f>C20</f>
        <v>2019</v>
      </c>
      <c r="D25" s="624">
        <v>69.523367442619318</v>
      </c>
      <c r="E25" s="211">
        <v>75.821720569928246</v>
      </c>
      <c r="F25" s="211">
        <v>0</v>
      </c>
      <c r="G25" s="211">
        <v>0</v>
      </c>
      <c r="H25" s="344">
        <f t="shared" si="5"/>
        <v>75.821720569928246</v>
      </c>
      <c r="I25" s="319">
        <f t="shared" si="3"/>
        <v>-6.2983531273089284</v>
      </c>
      <c r="J25" s="367">
        <v>4.4999999999999997E-3</v>
      </c>
      <c r="K25" s="625">
        <f t="shared" si="6"/>
        <v>-6.2983531273089284</v>
      </c>
      <c r="L25" s="371">
        <f>(M24+K25)/2*J25</f>
        <v>-1.4171294536445087E-2</v>
      </c>
      <c r="M25" s="626">
        <f t="shared" si="2"/>
        <v>-6.3125244218453735</v>
      </c>
      <c r="N25" s="101">
        <f t="shared" si="1"/>
        <v>15</v>
      </c>
      <c r="O25" s="238"/>
    </row>
    <row r="26" spans="1:17">
      <c r="A26" s="101">
        <f t="shared" si="0"/>
        <v>16</v>
      </c>
      <c r="B26" s="12" t="s">
        <v>281</v>
      </c>
      <c r="C26" s="342" t="str">
        <f>C20</f>
        <v>2019</v>
      </c>
      <c r="D26" s="627">
        <f>$D$25</f>
        <v>69.523367442619318</v>
      </c>
      <c r="E26" s="229">
        <f>$E$25</f>
        <v>75.821720569928246</v>
      </c>
      <c r="F26" s="229">
        <f>$F$25</f>
        <v>0</v>
      </c>
      <c r="G26" s="229">
        <f>$G$25</f>
        <v>0</v>
      </c>
      <c r="H26" s="344">
        <f t="shared" si="5"/>
        <v>75.821720569928246</v>
      </c>
      <c r="I26" s="319">
        <f t="shared" si="3"/>
        <v>-6.2983531273089284</v>
      </c>
      <c r="J26" s="367">
        <v>4.7000000000000002E-3</v>
      </c>
      <c r="K26" s="625">
        <f t="shared" si="6"/>
        <v>-12.610877549154303</v>
      </c>
      <c r="L26" s="371">
        <f t="shared" si="4"/>
        <v>-4.4469994631849245E-2</v>
      </c>
      <c r="M26" s="626">
        <f t="shared" si="2"/>
        <v>-12.655347543786153</v>
      </c>
      <c r="N26" s="101">
        <f t="shared" si="1"/>
        <v>16</v>
      </c>
      <c r="O26" s="238"/>
    </row>
    <row r="27" spans="1:17">
      <c r="A27" s="101">
        <f t="shared" si="0"/>
        <v>17</v>
      </c>
      <c r="B27" s="12" t="s">
        <v>282</v>
      </c>
      <c r="C27" s="342" t="str">
        <f>C20</f>
        <v>2019</v>
      </c>
      <c r="D27" s="627">
        <f t="shared" ref="D27:D31" si="7">$D$25</f>
        <v>69.523367442619318</v>
      </c>
      <c r="E27" s="229">
        <f t="shared" ref="E27:E31" si="8">$E$25</f>
        <v>75.821720569928246</v>
      </c>
      <c r="F27" s="229">
        <f t="shared" ref="F27:F31" si="9">$F$25</f>
        <v>0</v>
      </c>
      <c r="G27" s="229">
        <f t="shared" ref="G27:G31" si="10">$G$25</f>
        <v>0</v>
      </c>
      <c r="H27" s="344">
        <f t="shared" si="5"/>
        <v>75.821720569928246</v>
      </c>
      <c r="I27" s="319">
        <f t="shared" si="3"/>
        <v>-6.2983531273089284</v>
      </c>
      <c r="J27" s="367">
        <v>4.7000000000000002E-3</v>
      </c>
      <c r="K27" s="625">
        <f t="shared" si="6"/>
        <v>-18.953700671095081</v>
      </c>
      <c r="L27" s="371">
        <f t="shared" si="4"/>
        <v>-7.428126330497091E-2</v>
      </c>
      <c r="M27" s="626">
        <f t="shared" si="2"/>
        <v>-19.027981934400053</v>
      </c>
      <c r="N27" s="101">
        <f t="shared" si="1"/>
        <v>17</v>
      </c>
      <c r="O27" s="238"/>
    </row>
    <row r="28" spans="1:17">
      <c r="A28" s="101">
        <f t="shared" si="0"/>
        <v>18</v>
      </c>
      <c r="B28" s="12" t="s">
        <v>283</v>
      </c>
      <c r="C28" s="342" t="str">
        <f>C20</f>
        <v>2019</v>
      </c>
      <c r="D28" s="627">
        <f t="shared" si="7"/>
        <v>69.523367442619318</v>
      </c>
      <c r="E28" s="229">
        <f t="shared" si="8"/>
        <v>75.821720569928246</v>
      </c>
      <c r="F28" s="229">
        <f t="shared" si="9"/>
        <v>0</v>
      </c>
      <c r="G28" s="229">
        <f t="shared" si="10"/>
        <v>0</v>
      </c>
      <c r="H28" s="344">
        <f t="shared" si="5"/>
        <v>75.821720569928246</v>
      </c>
      <c r="I28" s="319">
        <f t="shared" si="3"/>
        <v>-6.2983531273089284</v>
      </c>
      <c r="J28" s="367">
        <v>4.4999999999999997E-3</v>
      </c>
      <c r="K28" s="625">
        <f t="shared" si="6"/>
        <v>-25.326335061708981</v>
      </c>
      <c r="L28" s="371">
        <f t="shared" si="4"/>
        <v>-9.9797213241245325E-2</v>
      </c>
      <c r="M28" s="626">
        <f t="shared" si="2"/>
        <v>-25.426132274950227</v>
      </c>
      <c r="N28" s="101">
        <f t="shared" si="1"/>
        <v>18</v>
      </c>
      <c r="O28" s="238"/>
    </row>
    <row r="29" spans="1:17">
      <c r="A29" s="101">
        <f t="shared" si="0"/>
        <v>19</v>
      </c>
      <c r="B29" s="12" t="s">
        <v>284</v>
      </c>
      <c r="C29" s="342" t="str">
        <f>C20</f>
        <v>2019</v>
      </c>
      <c r="D29" s="627">
        <f t="shared" si="7"/>
        <v>69.523367442619318</v>
      </c>
      <c r="E29" s="229">
        <f t="shared" si="8"/>
        <v>75.821720569928246</v>
      </c>
      <c r="F29" s="229">
        <f t="shared" si="9"/>
        <v>0</v>
      </c>
      <c r="G29" s="229">
        <f t="shared" si="10"/>
        <v>0</v>
      </c>
      <c r="H29" s="344">
        <f t="shared" si="5"/>
        <v>75.821720569928246</v>
      </c>
      <c r="I29" s="319">
        <f t="shared" si="3"/>
        <v>-6.2983531273089284</v>
      </c>
      <c r="J29" s="367">
        <v>4.5999999999999999E-3</v>
      </c>
      <c r="K29" s="625">
        <f t="shared" si="6"/>
        <v>-31.724485402259155</v>
      </c>
      <c r="L29" s="371">
        <f t="shared" si="4"/>
        <v>-0.13144642065758158</v>
      </c>
      <c r="M29" s="626">
        <f t="shared" si="2"/>
        <v>-31.855931822916737</v>
      </c>
      <c r="N29" s="101">
        <f t="shared" si="1"/>
        <v>19</v>
      </c>
      <c r="O29" s="238"/>
    </row>
    <row r="30" spans="1:17">
      <c r="A30" s="101">
        <f t="shared" si="0"/>
        <v>20</v>
      </c>
      <c r="B30" s="12" t="s">
        <v>285</v>
      </c>
      <c r="C30" s="342" t="str">
        <f>C20</f>
        <v>2019</v>
      </c>
      <c r="D30" s="627">
        <f t="shared" si="7"/>
        <v>69.523367442619318</v>
      </c>
      <c r="E30" s="229">
        <f t="shared" si="8"/>
        <v>75.821720569928246</v>
      </c>
      <c r="F30" s="229">
        <f t="shared" si="9"/>
        <v>0</v>
      </c>
      <c r="G30" s="229">
        <f t="shared" si="10"/>
        <v>0</v>
      </c>
      <c r="H30" s="344">
        <f t="shared" si="5"/>
        <v>75.821720569928246</v>
      </c>
      <c r="I30" s="319">
        <f t="shared" si="3"/>
        <v>-6.2983531273089284</v>
      </c>
      <c r="J30" s="367">
        <v>4.4999999999999997E-3</v>
      </c>
      <c r="K30" s="625">
        <f t="shared" si="6"/>
        <v>-38.154284950225666</v>
      </c>
      <c r="L30" s="371">
        <f t="shared" si="4"/>
        <v>-0.15752298773957041</v>
      </c>
      <c r="M30" s="626">
        <f t="shared" si="2"/>
        <v>-38.311807937965234</v>
      </c>
      <c r="N30" s="101">
        <f t="shared" si="1"/>
        <v>20</v>
      </c>
      <c r="O30" s="238"/>
    </row>
    <row r="31" spans="1:17">
      <c r="A31" s="101">
        <f t="shared" si="0"/>
        <v>21</v>
      </c>
      <c r="B31" s="346" t="s">
        <v>286</v>
      </c>
      <c r="C31" s="347" t="str">
        <f>C20</f>
        <v>2019</v>
      </c>
      <c r="D31" s="627">
        <f t="shared" si="7"/>
        <v>69.523367442619318</v>
      </c>
      <c r="E31" s="229">
        <f t="shared" si="8"/>
        <v>75.821720569928246</v>
      </c>
      <c r="F31" s="286">
        <f t="shared" si="9"/>
        <v>0</v>
      </c>
      <c r="G31" s="229">
        <f t="shared" si="10"/>
        <v>0</v>
      </c>
      <c r="H31" s="349">
        <f>SUM(E31:G31)</f>
        <v>75.821720569928246</v>
      </c>
      <c r="I31" s="628">
        <f t="shared" si="3"/>
        <v>-6.2983531273089284</v>
      </c>
      <c r="J31" s="373">
        <v>4.5999999999999999E-3</v>
      </c>
      <c r="K31" s="629">
        <f t="shared" si="6"/>
        <v>-44.610161065274163</v>
      </c>
      <c r="L31" s="374">
        <f t="shared" si="4"/>
        <v>-0.1907205287074506</v>
      </c>
      <c r="M31" s="630">
        <f t="shared" si="2"/>
        <v>-44.800881593981615</v>
      </c>
      <c r="N31" s="101">
        <f t="shared" si="1"/>
        <v>21</v>
      </c>
      <c r="O31" s="238"/>
    </row>
    <row r="32" spans="1:17" ht="16.5" thickBot="1">
      <c r="A32" s="101">
        <f t="shared" si="0"/>
        <v>22</v>
      </c>
      <c r="D32" s="631">
        <f t="shared" ref="D32:I32" si="11">SUM(D20:D31)</f>
        <v>486.66357209833518</v>
      </c>
      <c r="E32" s="375">
        <f t="shared" si="11"/>
        <v>530.75204398949768</v>
      </c>
      <c r="F32" s="375">
        <f t="shared" si="11"/>
        <v>0</v>
      </c>
      <c r="G32" s="375">
        <f t="shared" si="11"/>
        <v>0</v>
      </c>
      <c r="H32" s="375">
        <f t="shared" si="11"/>
        <v>530.75204398949768</v>
      </c>
      <c r="I32" s="631">
        <f t="shared" si="11"/>
        <v>-44.088471891162499</v>
      </c>
      <c r="J32" s="376"/>
      <c r="K32" s="377"/>
      <c r="L32" s="375">
        <f>SUM(L20:L31)</f>
        <v>-0.71240970281911309</v>
      </c>
      <c r="M32" s="377"/>
      <c r="N32" s="101">
        <f t="shared" si="1"/>
        <v>22</v>
      </c>
    </row>
    <row r="33" spans="1:13" ht="16.5" thickTop="1">
      <c r="D33" s="378"/>
      <c r="E33" s="378"/>
      <c r="F33" s="378"/>
      <c r="G33" s="378"/>
      <c r="H33" s="378"/>
      <c r="I33" s="378"/>
      <c r="J33" s="378"/>
      <c r="K33" s="378"/>
      <c r="L33" s="378"/>
      <c r="M33" s="378"/>
    </row>
    <row r="34" spans="1:13">
      <c r="A34" s="538" t="s">
        <v>417</v>
      </c>
      <c r="B34" s="5" t="s">
        <v>442</v>
      </c>
      <c r="F34" s="379"/>
      <c r="G34" s="379"/>
    </row>
    <row r="35" spans="1:13" ht="18.75">
      <c r="A35" s="351">
        <v>1</v>
      </c>
      <c r="B35" s="98" t="s">
        <v>485</v>
      </c>
      <c r="F35" s="379"/>
      <c r="G35" s="379"/>
    </row>
    <row r="36" spans="1:13" ht="18.75">
      <c r="A36" s="351">
        <v>2</v>
      </c>
      <c r="B36" s="98" t="s">
        <v>396</v>
      </c>
    </row>
    <row r="37" spans="1:13" ht="18.75">
      <c r="A37" s="351">
        <v>3</v>
      </c>
      <c r="B37" s="98" t="s">
        <v>293</v>
      </c>
    </row>
    <row r="38" spans="1:13" ht="18.75">
      <c r="A38" s="351">
        <v>4</v>
      </c>
      <c r="B38" s="98" t="s">
        <v>294</v>
      </c>
    </row>
    <row r="39" spans="1:13" ht="18.75">
      <c r="A39" s="351"/>
      <c r="B39" s="98" t="s">
        <v>287</v>
      </c>
    </row>
    <row r="40" spans="1:13" ht="18.75">
      <c r="A40" s="351">
        <v>5</v>
      </c>
      <c r="B40" s="98" t="s">
        <v>288</v>
      </c>
      <c r="C40" s="100"/>
    </row>
    <row r="41" spans="1:13" ht="18.75">
      <c r="A41" s="351">
        <v>6</v>
      </c>
      <c r="B41" s="98" t="s">
        <v>289</v>
      </c>
    </row>
    <row r="42" spans="1:13" ht="18.75">
      <c r="A42" s="351">
        <v>7</v>
      </c>
      <c r="B42" s="98" t="s">
        <v>290</v>
      </c>
    </row>
  </sheetData>
  <mergeCells count="5">
    <mergeCell ref="B3:N3"/>
    <mergeCell ref="B4:N4"/>
    <mergeCell ref="B5:N5"/>
    <mergeCell ref="B6:N6"/>
    <mergeCell ref="B7:M7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Roman,Bold"&amp;6AS FILED SEC. 4 WITH COST ADJ. INCL. IN APPENDIX XII CYCLE 4 (ER22-133)</oddHeader>
    <oddFooter>&amp;L&amp;F&amp;CPage 7.1&amp;R&amp;A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DDB4A-D5ED-42B9-BAFD-54A63E24A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B8DE4D-E370-4BFA-AFFE-9F6CD5EB49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1BA89-ED55-4C3F-975A-5A56332A739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2e183c04-4e8d-4715-bce7-54b439dc82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Pg1 App XII C3 Cost Adj</vt:lpstr>
      <vt:lpstr>Pg2 App XII C3 Comparison</vt:lpstr>
      <vt:lpstr>Pg3 Rev App XII C3</vt:lpstr>
      <vt:lpstr>Pg4 App XII C3-Cost Adj</vt:lpstr>
      <vt:lpstr>Pg4.1 Orig-As Filed App XII C3</vt:lpstr>
      <vt:lpstr>Pg5 Rev Sec 2-Non-Direct Exp</vt:lpstr>
      <vt:lpstr>Pg6 As Filed Sec. 2-Cost Adj</vt:lpstr>
      <vt:lpstr>Pg7 Rev Sec. 4-TU</vt:lpstr>
      <vt:lpstr>Pg7.1 Rev Sec 4-TU-Cost Adj</vt:lpstr>
      <vt:lpstr>Pg8 Rev Stmt AH</vt:lpstr>
      <vt:lpstr>Pg8.1 Rev Stmt AH-Cost Adj</vt:lpstr>
      <vt:lpstr>Pg8.2 Rev AH-3</vt:lpstr>
      <vt:lpstr>Pg8.3 Rev AH-3-Cost Adj</vt:lpstr>
      <vt:lpstr>Pg9 Rev Stmt AL</vt:lpstr>
      <vt:lpstr>Pg9.1 Rev Stmt AL-Cost Adj</vt:lpstr>
      <vt:lpstr>Pg10 Rev Stmt AV</vt:lpstr>
      <vt:lpstr>Pg11 As Filed Stmt AV-Cost Adj</vt:lpstr>
      <vt:lpstr>Pg12 Rev AV-4</vt:lpstr>
      <vt:lpstr>Pg13 As Filed AV-4-Cost Adj</vt:lpstr>
      <vt:lpstr>Pg14 App XII C3 Int Calc</vt:lpstr>
      <vt:lpstr>'Pg11 As Filed Stmt AV-Cost Adj'!Print_Area</vt:lpstr>
      <vt:lpstr>'Pg13 As Filed AV-4-Cost Adj'!Print_Area</vt:lpstr>
      <vt:lpstr>'Pg4 App XII C3-Cost Adj'!Print_Area</vt:lpstr>
      <vt:lpstr>'Pg4.1 Orig-As Filed App XII C3'!Print_Area</vt:lpstr>
      <vt:lpstr>'Pg6 As Filed Sec. 2-Cost Adj'!Print_Area</vt:lpstr>
      <vt:lpstr>'Pg7.1 Rev Sec 4-TU-Cost Adj'!Print_Area</vt:lpstr>
      <vt:lpstr>'Pg8.1 Rev Stmt AH-Cost Adj'!Print_Area</vt:lpstr>
      <vt:lpstr>'Pg8.3 Rev AH-3-Cost Adj'!Print_Area</vt:lpstr>
      <vt:lpstr>'Pg9.1 Rev Stmt AL-Cost Adj'!Print_Area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sward</dc:creator>
  <cp:lastModifiedBy>Pham, Jenny L.</cp:lastModifiedBy>
  <cp:lastPrinted>2023-10-11T23:36:32Z</cp:lastPrinted>
  <dcterms:created xsi:type="dcterms:W3CDTF">2016-08-29T13:22:03Z</dcterms:created>
  <dcterms:modified xsi:type="dcterms:W3CDTF">2023-10-11T23:36:48Z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0134-CCFA-AAA3-AE42</vt:lpwstr>
  </property>
  <property fmtid="{D5CDD505-2E9C-101B-9397-08002B2CF9AE}" pid="3" name="ContentTypeId">
    <vt:lpwstr>0x01010051C0C4427B38DE4E8452B3A89053EC88</vt:lpwstr>
  </property>
  <property fmtid="{D5CDD505-2E9C-101B-9397-08002B2CF9AE}" pid="4" name="Order">
    <vt:r8>76800</vt:r8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