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eptember" sheetId="1" r:id="rId1"/>
  </sheets>
  <externalReferences>
    <externalReference r:id="rId4"/>
  </externalReferences>
  <definedNames>
    <definedName name="_xlnm.Print_Area" localSheetId="0">'September'!$C$1:$H$268</definedName>
    <definedName name="_xlnm.Print_Titles" localSheetId="0">'September'!$7:$11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GABRIELLA VAZQUEZ</author>
  </authors>
  <commentList>
    <comment ref="F9" authorId="0">
      <text>
        <r>
          <rPr>
            <sz val="7"/>
            <rFont val="Tahoma"/>
            <family val="0"/>
          </rPr>
          <t xml:space="preserve">Acq. Value
</t>
        </r>
      </text>
    </comment>
    <comment ref="K33" authorId="0">
      <text>
        <r>
          <rPr>
            <b/>
            <sz val="7"/>
            <rFont val="Tahoma"/>
            <family val="0"/>
          </rPr>
          <t>C1430205
$10M - M&amp;S 
Spread between accounts 321 - 325. (Do Not include 320.2)</t>
        </r>
      </text>
    </comment>
    <comment ref="K34" authorId="0">
      <text>
        <r>
          <rPr>
            <sz val="7"/>
            <rFont val="Tahoma"/>
            <family val="0"/>
          </rPr>
          <t xml:space="preserve">$10,733918 SPREAD BASED ON % OF TOTAL (ACCT # 1430205)
</t>
        </r>
      </text>
    </comment>
    <comment ref="J193" authorId="0">
      <text>
        <r>
          <rPr>
            <b/>
            <sz val="7"/>
            <rFont val="Tahoma"/>
            <family val="0"/>
          </rPr>
          <t>1430000 + 1430200+1430400+1430500+1430550+1430580 vs total AMR and RMR accum depre.  $5160 is an unknown difference
Adjusted in acct 397</t>
        </r>
      </text>
    </comment>
  </commentList>
</comments>
</file>

<file path=xl/sharedStrings.xml><?xml version="1.0" encoding="utf-8"?>
<sst xmlns="http://schemas.openxmlformats.org/spreadsheetml/2006/main" count="932" uniqueCount="388">
  <si>
    <t>SAN DIEGO GAS &amp; ELECTRIC COMPANY</t>
  </si>
  <si>
    <t xml:space="preserve"> </t>
  </si>
  <si>
    <t>COST OF PROPERTY AND</t>
  </si>
  <si>
    <t>DEPRECIATION RESERVE APPLICABLE THERETO</t>
  </si>
  <si>
    <t>Reserve for</t>
  </si>
  <si>
    <t>Depreciation</t>
  </si>
  <si>
    <t>Natural</t>
  </si>
  <si>
    <t xml:space="preserve">Asset </t>
  </si>
  <si>
    <t>Original</t>
  </si>
  <si>
    <t>and</t>
  </si>
  <si>
    <t>Account No.</t>
  </si>
  <si>
    <t>Class</t>
  </si>
  <si>
    <t xml:space="preserve">   No.  </t>
  </si>
  <si>
    <t>Account</t>
  </si>
  <si>
    <t>Amortization</t>
  </si>
  <si>
    <t>AMR</t>
  </si>
  <si>
    <t>RMR</t>
  </si>
  <si>
    <t>Non-Reconciliation</t>
  </si>
  <si>
    <t>Accum Deprec</t>
  </si>
  <si>
    <t xml:space="preserve">         Total</t>
  </si>
  <si>
    <t>108 (Parent)</t>
  </si>
  <si>
    <t>108</t>
  </si>
  <si>
    <t>Accounts</t>
  </si>
  <si>
    <t xml:space="preserve">   ELECTRIC DEPARTMENT</t>
  </si>
  <si>
    <t>E01</t>
  </si>
  <si>
    <t>E08,G08</t>
  </si>
  <si>
    <t>E0130200</t>
  </si>
  <si>
    <t xml:space="preserve">   302</t>
  </si>
  <si>
    <t xml:space="preserve">Franchises and Consents                       </t>
  </si>
  <si>
    <t xml:space="preserve">Franchises and Consents                    </t>
  </si>
  <si>
    <t>E0130300</t>
  </si>
  <si>
    <t xml:space="preserve">   303</t>
  </si>
  <si>
    <t>Misc. Intangible Plant</t>
  </si>
  <si>
    <t>TOTAL INTANGIBLE PLANT</t>
  </si>
  <si>
    <t>E0131010</t>
  </si>
  <si>
    <t xml:space="preserve">   310.1</t>
  </si>
  <si>
    <t>Land</t>
  </si>
  <si>
    <t>E0131020</t>
  </si>
  <si>
    <t xml:space="preserve">   310.2</t>
  </si>
  <si>
    <t>Land Rights</t>
  </si>
  <si>
    <t>E0131100</t>
  </si>
  <si>
    <t xml:space="preserve">   311</t>
  </si>
  <si>
    <t>Structures and Improvements</t>
  </si>
  <si>
    <t>E0131200</t>
  </si>
  <si>
    <t xml:space="preserve">   312</t>
  </si>
  <si>
    <t>Boiler Plant Equipment</t>
  </si>
  <si>
    <t>E0131400</t>
  </si>
  <si>
    <t xml:space="preserve">   314</t>
  </si>
  <si>
    <t>Turbogenerator Units</t>
  </si>
  <si>
    <t>E0131500</t>
  </si>
  <si>
    <t xml:space="preserve">   315</t>
  </si>
  <si>
    <t>Accessory Electric Equipment</t>
  </si>
  <si>
    <t>E0131600</t>
  </si>
  <si>
    <t xml:space="preserve">   316</t>
  </si>
  <si>
    <t>Miscellaneous Power Plant Equipment</t>
  </si>
  <si>
    <t>Steam Production Decommissioning</t>
  </si>
  <si>
    <t>TOTAL STEAM PRODUCTION</t>
  </si>
  <si>
    <t xml:space="preserve">   320.1</t>
  </si>
  <si>
    <t>E0132020</t>
  </si>
  <si>
    <t xml:space="preserve">   320.2</t>
  </si>
  <si>
    <t>E0132110/E0132120</t>
  </si>
  <si>
    <t xml:space="preserve">   321</t>
  </si>
  <si>
    <t>E0132210/E0132220</t>
  </si>
  <si>
    <t xml:space="preserve">   322</t>
  </si>
  <si>
    <t>E0132310/E0132320</t>
  </si>
  <si>
    <t xml:space="preserve">   323</t>
  </si>
  <si>
    <t>E0132410/E0132420</t>
  </si>
  <si>
    <t xml:space="preserve">   324</t>
  </si>
  <si>
    <t>E0132510/E0132520</t>
  </si>
  <si>
    <t xml:space="preserve">   325</t>
  </si>
  <si>
    <t>Miscellaneous Power Plant</t>
  </si>
  <si>
    <t xml:space="preserve"> Equipment</t>
  </si>
  <si>
    <t>TOTAL NUCLEAR PRODUCTION</t>
  </si>
  <si>
    <t>E0134010</t>
  </si>
  <si>
    <t xml:space="preserve">   340.1</t>
  </si>
  <si>
    <t>E0134020</t>
  </si>
  <si>
    <t xml:space="preserve">   340.2</t>
  </si>
  <si>
    <t>E0134100</t>
  </si>
  <si>
    <t xml:space="preserve">   341</t>
  </si>
  <si>
    <t>E0134200</t>
  </si>
  <si>
    <t xml:space="preserve">   342</t>
  </si>
  <si>
    <t>Fuel Holders, Producers &amp; Accessories</t>
  </si>
  <si>
    <t>Fuel Holders, Producers &amp;</t>
  </si>
  <si>
    <t>E0134300</t>
  </si>
  <si>
    <t xml:space="preserve">   343</t>
  </si>
  <si>
    <t>Prime Movers</t>
  </si>
  <si>
    <t>E0134400</t>
  </si>
  <si>
    <t xml:space="preserve">   344</t>
  </si>
  <si>
    <t>Generators</t>
  </si>
  <si>
    <t>E0134500</t>
  </si>
  <si>
    <t xml:space="preserve">   345</t>
  </si>
  <si>
    <t>Other Production Decommissioning</t>
  </si>
  <si>
    <t>TOTAL OTHER PRODUCTION</t>
  </si>
  <si>
    <t>TOTAL ELECTRIC PRODUCTION</t>
  </si>
  <si>
    <t>E0135011/E0135012</t>
  </si>
  <si>
    <t xml:space="preserve">   350.1</t>
  </si>
  <si>
    <t xml:space="preserve">Land                                                          </t>
  </si>
  <si>
    <t>E0135021/E0135022</t>
  </si>
  <si>
    <t xml:space="preserve">   350.2</t>
  </si>
  <si>
    <t>E0135210/E0135220</t>
  </si>
  <si>
    <t xml:space="preserve">   352</t>
  </si>
  <si>
    <t>E0135310/E0135320/E0135330</t>
  </si>
  <si>
    <t xml:space="preserve">   353</t>
  </si>
  <si>
    <t>Station Equipment</t>
  </si>
  <si>
    <t>E0135410/E0135420</t>
  </si>
  <si>
    <t xml:space="preserve">   354</t>
  </si>
  <si>
    <t>Towers and Fixtures</t>
  </si>
  <si>
    <t>E0135510/E0135520</t>
  </si>
  <si>
    <t xml:space="preserve">   355</t>
  </si>
  <si>
    <t>Poles and Fixtures</t>
  </si>
  <si>
    <t>E0135610/E0135620</t>
  </si>
  <si>
    <t xml:space="preserve">   356</t>
  </si>
  <si>
    <t>Overhead Conductors and  Devices</t>
  </si>
  <si>
    <t>Overhead Conductors and</t>
  </si>
  <si>
    <t>E0135700</t>
  </si>
  <si>
    <t xml:space="preserve">   357</t>
  </si>
  <si>
    <t>Underground Conduit</t>
  </si>
  <si>
    <t>E0135800</t>
  </si>
  <si>
    <t xml:space="preserve">   358</t>
  </si>
  <si>
    <t>Underground Conductors and  Devices</t>
  </si>
  <si>
    <t>Underground Conductors and</t>
  </si>
  <si>
    <t>E0135910/E0135920</t>
  </si>
  <si>
    <t xml:space="preserve">   359</t>
  </si>
  <si>
    <t>Roads and Trails</t>
  </si>
  <si>
    <t>TOTAL TRANSMISSION</t>
  </si>
  <si>
    <t xml:space="preserve">   360.1</t>
  </si>
  <si>
    <t>E0136020</t>
  </si>
  <si>
    <t xml:space="preserve">   360.2</t>
  </si>
  <si>
    <t>E0136100</t>
  </si>
  <si>
    <t xml:space="preserve">   361</t>
  </si>
  <si>
    <t>E0136210</t>
  </si>
  <si>
    <t xml:space="preserve">   362</t>
  </si>
  <si>
    <t>E0136400</t>
  </si>
  <si>
    <t xml:space="preserve">   364</t>
  </si>
  <si>
    <t>Poles, Towers and Fixtures</t>
  </si>
  <si>
    <t>E0136500</t>
  </si>
  <si>
    <t xml:space="preserve">   365</t>
  </si>
  <si>
    <t>E0136600</t>
  </si>
  <si>
    <t xml:space="preserve">   366</t>
  </si>
  <si>
    <t>E0136700</t>
  </si>
  <si>
    <t xml:space="preserve">   367</t>
  </si>
  <si>
    <t>E0136810</t>
  </si>
  <si>
    <t xml:space="preserve">   368.1</t>
  </si>
  <si>
    <t>Line Transformers</t>
  </si>
  <si>
    <t>E0136820</t>
  </si>
  <si>
    <t xml:space="preserve">   368.2</t>
  </si>
  <si>
    <t>Protective Devices and Capacitors</t>
  </si>
  <si>
    <t>Protective Devices and</t>
  </si>
  <si>
    <t>E0136910</t>
  </si>
  <si>
    <t xml:space="preserve">   369.1</t>
  </si>
  <si>
    <t>Services Overhead</t>
  </si>
  <si>
    <t>E0136920</t>
  </si>
  <si>
    <t xml:space="preserve">   369.2</t>
  </si>
  <si>
    <t>Services Underground</t>
  </si>
  <si>
    <t>E0137010 + E0137015</t>
  </si>
  <si>
    <t xml:space="preserve">   370.1</t>
  </si>
  <si>
    <t>Meters</t>
  </si>
  <si>
    <t>E0137020</t>
  </si>
  <si>
    <t xml:space="preserve">   370.2</t>
  </si>
  <si>
    <t>Meter Installations</t>
  </si>
  <si>
    <t>E0137100</t>
  </si>
  <si>
    <t xml:space="preserve">   371</t>
  </si>
  <si>
    <t>Installations on Customers'  Premises</t>
  </si>
  <si>
    <t>Installations on Customers'</t>
  </si>
  <si>
    <t>**</t>
  </si>
  <si>
    <t xml:space="preserve">   373.1</t>
  </si>
  <si>
    <t>St. Lighting &amp; Signal  Sys.-Transformers</t>
  </si>
  <si>
    <t>St. Lighting &amp; Signal</t>
  </si>
  <si>
    <t>E0137320</t>
  </si>
  <si>
    <t xml:space="preserve">   373.2</t>
  </si>
  <si>
    <t>Street Lighting &amp; Signal  Systems</t>
  </si>
  <si>
    <t>Street Lighting &amp; Signal</t>
  </si>
  <si>
    <t>TOTAL DISTRIBUTION PLANT</t>
  </si>
  <si>
    <t xml:space="preserve">   389.1</t>
  </si>
  <si>
    <t xml:space="preserve">   389.2</t>
  </si>
  <si>
    <t>E0139000</t>
  </si>
  <si>
    <t xml:space="preserve">   390</t>
  </si>
  <si>
    <t>E0139210</t>
  </si>
  <si>
    <t xml:space="preserve">   392.1</t>
  </si>
  <si>
    <t>Transportation Equipment -  Autos</t>
  </si>
  <si>
    <t xml:space="preserve">Transportation Equipment - </t>
  </si>
  <si>
    <t>E0139220</t>
  </si>
  <si>
    <t xml:space="preserve">   392.2</t>
  </si>
  <si>
    <t>Transportation Equipment -  Trailers</t>
  </si>
  <si>
    <t xml:space="preserve">   393</t>
  </si>
  <si>
    <t>Stores Equipment</t>
  </si>
  <si>
    <t>E0139411</t>
  </si>
  <si>
    <t xml:space="preserve">   394.1</t>
  </si>
  <si>
    <t>Portable Tools</t>
  </si>
  <si>
    <t>E0139420</t>
  </si>
  <si>
    <t xml:space="preserve">   394.2</t>
  </si>
  <si>
    <t>Shop Equipment</t>
  </si>
  <si>
    <t xml:space="preserve">   395</t>
  </si>
  <si>
    <t>Laboratory Equipment</t>
  </si>
  <si>
    <t>E0139600</t>
  </si>
  <si>
    <t xml:space="preserve">   396</t>
  </si>
  <si>
    <t>Power Operated Equipment</t>
  </si>
  <si>
    <t>E0139710/E0139720/E0139730/E0139740</t>
  </si>
  <si>
    <t xml:space="preserve">   397</t>
  </si>
  <si>
    <t>Communication Equipment</t>
  </si>
  <si>
    <t>E0139810</t>
  </si>
  <si>
    <t xml:space="preserve">   398</t>
  </si>
  <si>
    <t>Miscellaneous Equipment</t>
  </si>
  <si>
    <t>TOTAL GENERAL PLANT</t>
  </si>
  <si>
    <t xml:space="preserve">   101</t>
  </si>
  <si>
    <t>TOTAL ELECTRIC PLANT</t>
  </si>
  <si>
    <t xml:space="preserve">   GAS PLANT</t>
  </si>
  <si>
    <t>G0130200</t>
  </si>
  <si>
    <t>Franchises and Consents</t>
  </si>
  <si>
    <t>G0130300</t>
  </si>
  <si>
    <t>Miscellaneous Intangible Plant</t>
  </si>
  <si>
    <t xml:space="preserve">Miscellaneous Intangible </t>
  </si>
  <si>
    <t xml:space="preserve">  </t>
  </si>
  <si>
    <t xml:space="preserve"> Plant</t>
  </si>
  <si>
    <t>G0136010</t>
  </si>
  <si>
    <t>G0136100</t>
  </si>
  <si>
    <t>G0136210</t>
  </si>
  <si>
    <t xml:space="preserve">   362.1</t>
  </si>
  <si>
    <t>Gas Holders</t>
  </si>
  <si>
    <t xml:space="preserve">   362.2</t>
  </si>
  <si>
    <t xml:space="preserve">Liquefied Natural Gas  Holders </t>
  </si>
  <si>
    <t>Liquefied Natural Gas</t>
  </si>
  <si>
    <t xml:space="preserve">   363</t>
  </si>
  <si>
    <t>Purification Equipment</t>
  </si>
  <si>
    <t xml:space="preserve">   363.1</t>
  </si>
  <si>
    <t>Liquefaction Equipment</t>
  </si>
  <si>
    <t xml:space="preserve">   363.2</t>
  </si>
  <si>
    <t>Vaporizing Equipment</t>
  </si>
  <si>
    <t>G0136330</t>
  </si>
  <si>
    <t xml:space="preserve">   363.3</t>
  </si>
  <si>
    <t>Compressor Equipment</t>
  </si>
  <si>
    <t xml:space="preserve">   363.4</t>
  </si>
  <si>
    <t>Measuring and Regulating  Equipment</t>
  </si>
  <si>
    <t>Measuring and Regulating</t>
  </si>
  <si>
    <t xml:space="preserve">   363.5</t>
  </si>
  <si>
    <t>Other Equipment</t>
  </si>
  <si>
    <t>G0136360</t>
  </si>
  <si>
    <t xml:space="preserve">   363.6</t>
  </si>
  <si>
    <t>LNG Distribution Storage Equipment</t>
  </si>
  <si>
    <t>LNG Distribution Storage</t>
  </si>
  <si>
    <t>.</t>
  </si>
  <si>
    <t>TOTAL STORAGE PLANT</t>
  </si>
  <si>
    <t>G0136510</t>
  </si>
  <si>
    <t xml:space="preserve">   365.1</t>
  </si>
  <si>
    <t>G0136520</t>
  </si>
  <si>
    <t xml:space="preserve">   365.2</t>
  </si>
  <si>
    <t>G0136600</t>
  </si>
  <si>
    <t>G0136700</t>
  </si>
  <si>
    <t>Mains</t>
  </si>
  <si>
    <t>G0136800</t>
  </si>
  <si>
    <t xml:space="preserve">   368</t>
  </si>
  <si>
    <t>Compressor Station Equipment</t>
  </si>
  <si>
    <t>G0136900</t>
  </si>
  <si>
    <t xml:space="preserve">   369</t>
  </si>
  <si>
    <t>TOTAL TRANSMISSION PLANT</t>
  </si>
  <si>
    <t>G0137410</t>
  </si>
  <si>
    <t xml:space="preserve">   374.1</t>
  </si>
  <si>
    <t>G0137420</t>
  </si>
  <si>
    <t xml:space="preserve">   374.2</t>
  </si>
  <si>
    <t>G0137500</t>
  </si>
  <si>
    <t xml:space="preserve">   375</t>
  </si>
  <si>
    <t xml:space="preserve">   376</t>
  </si>
  <si>
    <t>G0137800</t>
  </si>
  <si>
    <t xml:space="preserve">   378</t>
  </si>
  <si>
    <t>Measuring &amp; Regulating  Station Equipment</t>
  </si>
  <si>
    <t>Measuring &amp; Regulating</t>
  </si>
  <si>
    <t>G0138000</t>
  </si>
  <si>
    <t xml:space="preserve">   380</t>
  </si>
  <si>
    <t>Distribution Services</t>
  </si>
  <si>
    <t>Services</t>
  </si>
  <si>
    <t>G0138100</t>
  </si>
  <si>
    <t xml:space="preserve">   381</t>
  </si>
  <si>
    <t>Meters and Regulators</t>
  </si>
  <si>
    <t>G0138200</t>
  </si>
  <si>
    <t xml:space="preserve">   382</t>
  </si>
  <si>
    <t>Meter and Regulator  Installations</t>
  </si>
  <si>
    <t>Meter and Regulator</t>
  </si>
  <si>
    <t>G0138500</t>
  </si>
  <si>
    <t xml:space="preserve">   385</t>
  </si>
  <si>
    <t>Ind. Measuring &amp; Regulating  Station Equipment</t>
  </si>
  <si>
    <t>Ind. Measuring &amp; Regulating</t>
  </si>
  <si>
    <t xml:space="preserve">   386</t>
  </si>
  <si>
    <t>Other Property On Customers' Premises</t>
  </si>
  <si>
    <t>Other Property On Customers'</t>
  </si>
  <si>
    <t>G0138711/G0138712/G0138713</t>
  </si>
  <si>
    <t xml:space="preserve">   387</t>
  </si>
  <si>
    <t>G0139210</t>
  </si>
  <si>
    <t>G0139220</t>
  </si>
  <si>
    <t>Transportation Equipment - Trailers</t>
  </si>
  <si>
    <t>G0139410</t>
  </si>
  <si>
    <t>G0139420</t>
  </si>
  <si>
    <t>G0139500</t>
  </si>
  <si>
    <t>G0139600</t>
  </si>
  <si>
    <t>G0139700</t>
  </si>
  <si>
    <t>G0139800</t>
  </si>
  <si>
    <t>TOTAL GAS PLANT</t>
  </si>
  <si>
    <t>Page 4</t>
  </si>
  <si>
    <t xml:space="preserve">   COMMON PLANT</t>
  </si>
  <si>
    <t>C1830300</t>
  </si>
  <si>
    <t xml:space="preserve">Miscellaneous Intangible Plant                  </t>
  </si>
  <si>
    <t>C1838911/C1838912</t>
  </si>
  <si>
    <t>C1838920</t>
  </si>
  <si>
    <t>C1839010</t>
  </si>
  <si>
    <t xml:space="preserve">   391</t>
  </si>
  <si>
    <t>Office Furniture and</t>
  </si>
  <si>
    <t>C1839210</t>
  </si>
  <si>
    <t>Transportation Equipment - Autos</t>
  </si>
  <si>
    <t>Transportation Equipment -</t>
  </si>
  <si>
    <t>C1839220</t>
  </si>
  <si>
    <t>C1839310</t>
  </si>
  <si>
    <t>C1839411</t>
  </si>
  <si>
    <t>C1839421</t>
  </si>
  <si>
    <t>C1839431</t>
  </si>
  <si>
    <t xml:space="preserve">   394.3</t>
  </si>
  <si>
    <t>Garage Equipment</t>
  </si>
  <si>
    <t>C1839510</t>
  </si>
  <si>
    <t>C1839600</t>
  </si>
  <si>
    <t>C1839810</t>
  </si>
  <si>
    <t xml:space="preserve">   118.1</t>
  </si>
  <si>
    <t>TOTAL COMMON PLANT</t>
  </si>
  <si>
    <t xml:space="preserve">   101 &amp;</t>
  </si>
  <si>
    <t xml:space="preserve">    118.1</t>
  </si>
  <si>
    <t>TOTAL</t>
  </si>
  <si>
    <t xml:space="preserve">   102</t>
  </si>
  <si>
    <t>Plant Purchased or Sold</t>
  </si>
  <si>
    <t xml:space="preserve">  Electric </t>
  </si>
  <si>
    <t xml:space="preserve">  Gas</t>
  </si>
  <si>
    <t>TOTAL PLANT PURCHASED OR SOLD</t>
  </si>
  <si>
    <t xml:space="preserve">   105</t>
  </si>
  <si>
    <t>Plant Held for Future Use</t>
  </si>
  <si>
    <t>E0536010</t>
  </si>
  <si>
    <t xml:space="preserve">  Electric</t>
  </si>
  <si>
    <t>TOTAL PLANT HELD FOR</t>
  </si>
  <si>
    <t xml:space="preserve"> FUTURE USE</t>
  </si>
  <si>
    <t>1411500-C141180</t>
  </si>
  <si>
    <t>E07*,G07*,C8W*</t>
  </si>
  <si>
    <t xml:space="preserve">   107</t>
  </si>
  <si>
    <t>Construction Work in Progress</t>
  </si>
  <si>
    <t>Construction Work in</t>
  </si>
  <si>
    <t xml:space="preserve">  Common</t>
  </si>
  <si>
    <t>TOTAL CONSTRUCTION WORK</t>
  </si>
  <si>
    <t xml:space="preserve"> IN PROGRESS</t>
  </si>
  <si>
    <t>1430303-1430306</t>
  </si>
  <si>
    <t xml:space="preserve">   108.5</t>
  </si>
  <si>
    <t>Accumulated Nuclear</t>
  </si>
  <si>
    <t xml:space="preserve"> Decommissioning</t>
  </si>
  <si>
    <t>TOTAL ACCUMULATED NUCLEAR</t>
  </si>
  <si>
    <t xml:space="preserve"> DECOMMISSIONING</t>
  </si>
  <si>
    <t>CCL39010</t>
  </si>
  <si>
    <t xml:space="preserve">   111.3</t>
  </si>
  <si>
    <t>Capitalized Leases</t>
  </si>
  <si>
    <t>TOTAL CAPITALIZED</t>
  </si>
  <si>
    <t xml:space="preserve"> LEASES</t>
  </si>
  <si>
    <t xml:space="preserve">   114</t>
  </si>
  <si>
    <t>ELECTRIC PLANT</t>
  </si>
  <si>
    <t xml:space="preserve"> ACQUISITION ADJUSTMENT</t>
  </si>
  <si>
    <t xml:space="preserve">   120</t>
  </si>
  <si>
    <t>NUCLEAR FUEL  FABRICATION</t>
  </si>
  <si>
    <t xml:space="preserve">NUCLEAR FUEL </t>
  </si>
  <si>
    <t xml:space="preserve">UTILITY PLANT TOTAL                           </t>
  </si>
  <si>
    <t>UTILITY PLANT TOTAL</t>
  </si>
  <si>
    <t>Book cost is calculated by taking OrigInal Cost less Reserve for Depreciation and Amortization.</t>
  </si>
  <si>
    <t>Page 6</t>
  </si>
  <si>
    <t>Difference (should be 0.00)</t>
  </si>
  <si>
    <t>REPORT PRINT AREA: C1:G258</t>
  </si>
  <si>
    <t>REVIEW REPORT PRINT AREA: A1:L267</t>
  </si>
  <si>
    <t xml:space="preserve">      Cost     </t>
  </si>
  <si>
    <t>Per Balance Sheet*</t>
  </si>
  <si>
    <t xml:space="preserve">   143</t>
  </si>
  <si>
    <t>ICIP CWIP</t>
  </si>
  <si>
    <t>FAS 143 ASSETS - Legal Obligation</t>
  </si>
  <si>
    <t>FAS 143 ASSETS - Non-legal Obligation</t>
  </si>
  <si>
    <t>TOTAL FAS 143</t>
  </si>
  <si>
    <t>PLANT IN SERV-SONGS FULLY RECOVERED</t>
  </si>
  <si>
    <t xml:space="preserve">   391.1</t>
  </si>
  <si>
    <t xml:space="preserve">   391.2</t>
  </si>
  <si>
    <t>Office Furniture and Equipment - Computer Equipment</t>
  </si>
  <si>
    <t>Office Furniture and Equipment - Other</t>
  </si>
  <si>
    <t>C1839110</t>
  </si>
  <si>
    <t>C1839120</t>
  </si>
  <si>
    <t>C1839710</t>
  </si>
  <si>
    <t>E0136011</t>
  </si>
  <si>
    <t>E0138911</t>
  </si>
  <si>
    <t>E0139310</t>
  </si>
  <si>
    <t>E0139510</t>
  </si>
  <si>
    <t>G0137600</t>
  </si>
  <si>
    <t>E0137310</t>
  </si>
  <si>
    <t>AS OF SEPTEMBER 30,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</si>
</sst>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_);[Red]\(#,##0.000\)"/>
    <numFmt numFmtId="166" formatCode="#,##0.0000_);[Red]\(#,##0.0000\)"/>
    <numFmt numFmtId="167" formatCode="#,##0.0_);[Red]\(#,##0.0\)"/>
    <numFmt numFmtId="168" formatCode="#,##0.0_);\(#,##0.0\)"/>
    <numFmt numFmtId="169" formatCode="_(&quot;$&quot;* #,##0_);0\(&quot;$&quot;* \(#,##0\);_(&quot;$&quot;* &quot;-&quot;_);_(@_)"/>
    <numFmt numFmtId="170" formatCode="_(&quot;$&quot;* #,##0_);_(&quot;$&quot;* \(#,##0\);_(&quot;$&quot;* &quot;0&quot;_);_(@_)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</numFmts>
  <fonts count="19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2"/>
      <color indexed="10"/>
      <name val="Helv"/>
      <family val="0"/>
    </font>
    <font>
      <sz val="12"/>
      <color indexed="12"/>
      <name val="Helv"/>
      <family val="0"/>
    </font>
    <font>
      <b/>
      <u val="single"/>
      <sz val="12"/>
      <name val="Helv"/>
      <family val="0"/>
    </font>
    <font>
      <sz val="12"/>
      <color indexed="8"/>
      <name val="Helv"/>
      <family val="0"/>
    </font>
    <font>
      <sz val="9"/>
      <name val="Helv"/>
      <family val="0"/>
    </font>
    <font>
      <sz val="12"/>
      <color indexed="14"/>
      <name val="Helv"/>
      <family val="0"/>
    </font>
    <font>
      <sz val="12"/>
      <color indexed="10"/>
      <name val="Helv"/>
      <family val="0"/>
    </font>
    <font>
      <sz val="12"/>
      <color indexed="50"/>
      <name val="Helv"/>
      <family val="0"/>
    </font>
    <font>
      <sz val="7"/>
      <name val="Tahoma"/>
      <family val="0"/>
    </font>
    <font>
      <b/>
      <sz val="7"/>
      <name val="Tahoma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8"/>
      <name val="Helv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7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0" fillId="0" borderId="0" xfId="0" applyBorder="1" applyAlignment="1">
      <alignment horizontal="left"/>
    </xf>
    <xf numFmtId="164" fontId="7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 quotePrefix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42" fontId="7" fillId="0" borderId="0" xfId="0" applyNumberFormat="1" applyFont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38" fontId="7" fillId="0" borderId="0" xfId="15" applyNumberFormat="1" applyFont="1" applyAlignment="1" applyProtection="1">
      <alignment/>
      <protection/>
    </xf>
    <xf numFmtId="38" fontId="0" fillId="0" borderId="0" xfId="15" applyNumberFormat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8" fontId="7" fillId="0" borderId="2" xfId="15" applyNumberFormat="1" applyFont="1" applyBorder="1" applyAlignment="1" applyProtection="1">
      <alignment/>
      <protection/>
    </xf>
    <xf numFmtId="38" fontId="0" fillId="0" borderId="2" xfId="15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8" fontId="7" fillId="0" borderId="0" xfId="15" applyNumberFormat="1" applyFont="1" applyAlignment="1" applyProtection="1">
      <alignment horizontal="left"/>
      <protection/>
    </xf>
    <xf numFmtId="38" fontId="0" fillId="0" borderId="0" xfId="15" applyNumberFormat="1" applyAlignment="1" applyProtection="1">
      <alignment horizontal="left"/>
      <protection/>
    </xf>
    <xf numFmtId="37" fontId="9" fillId="0" borderId="2" xfId="0" applyNumberFormat="1" applyFon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8" fontId="9" fillId="0" borderId="2" xfId="15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2" borderId="0" xfId="15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8" fontId="0" fillId="0" borderId="0" xfId="15" applyNumberFormat="1" applyFill="1" applyAlignment="1" applyProtection="1">
      <alignment/>
      <protection/>
    </xf>
    <xf numFmtId="164" fontId="0" fillId="0" borderId="0" xfId="0" applyNumberFormat="1" applyAlignment="1" applyProtection="1" quotePrefix="1">
      <alignment horizontal="left"/>
      <protection/>
    </xf>
    <xf numFmtId="164" fontId="0" fillId="0" borderId="0" xfId="0" applyBorder="1" applyAlignment="1">
      <alignment/>
    </xf>
    <xf numFmtId="38" fontId="7" fillId="0" borderId="0" xfId="15" applyNumberFormat="1" applyFont="1" applyBorder="1" applyAlignment="1" applyProtection="1">
      <alignment/>
      <protection/>
    </xf>
    <xf numFmtId="38" fontId="0" fillId="0" borderId="0" xfId="15" applyNumberFormat="1" applyBorder="1" applyAlignment="1" applyProtection="1">
      <alignment/>
      <protection/>
    </xf>
    <xf numFmtId="38" fontId="0" fillId="0" borderId="1" xfId="15" applyNumberFormat="1" applyBorder="1" applyAlignment="1" applyProtection="1">
      <alignment/>
      <protection/>
    </xf>
    <xf numFmtId="38" fontId="7" fillId="0" borderId="0" xfId="0" applyNumberFormat="1" applyFont="1" applyAlignment="1">
      <alignment/>
    </xf>
    <xf numFmtId="164" fontId="10" fillId="0" borderId="0" xfId="0" applyFont="1" applyAlignment="1">
      <alignment/>
    </xf>
    <xf numFmtId="38" fontId="11" fillId="0" borderId="0" xfId="15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8" fontId="11" fillId="0" borderId="1" xfId="15" applyNumberFormat="1" applyFont="1" applyBorder="1" applyAlignment="1" applyProtection="1">
      <alignment/>
      <protection/>
    </xf>
    <xf numFmtId="38" fontId="0" fillId="0" borderId="0" xfId="15" applyNumberForma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38" fontId="0" fillId="0" borderId="0" xfId="15" applyNumberFormat="1" applyFont="1" applyAlignment="1" applyProtection="1">
      <alignment/>
      <protection/>
    </xf>
    <xf numFmtId="164" fontId="0" fillId="0" borderId="0" xfId="0" applyAlignment="1" quotePrefix="1">
      <alignment horizontal="left"/>
    </xf>
    <xf numFmtId="38" fontId="7" fillId="0" borderId="1" xfId="15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Alignment="1">
      <alignment horizontal="centerContinuous"/>
    </xf>
    <xf numFmtId="38" fontId="0" fillId="0" borderId="0" xfId="15" applyNumberFormat="1" applyAlignment="1">
      <alignment/>
    </xf>
    <xf numFmtId="37" fontId="12" fillId="0" borderId="0" xfId="0" applyNumberFormat="1" applyFont="1" applyAlignment="1" applyProtection="1">
      <alignment horizontal="right"/>
      <protection/>
    </xf>
    <xf numFmtId="40" fontId="0" fillId="0" borderId="0" xfId="0" applyNumberForma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40" fontId="0" fillId="0" borderId="0" xfId="15" applyAlignment="1">
      <alignment/>
    </xf>
    <xf numFmtId="42" fontId="0" fillId="0" borderId="3" xfId="0" applyNumberFormat="1" applyBorder="1" applyAlignment="1" applyProtection="1">
      <alignment/>
      <protection/>
    </xf>
    <xf numFmtId="38" fontId="0" fillId="0" borderId="3" xfId="15" applyNumberFormat="1" applyBorder="1" applyAlignment="1" applyProtection="1">
      <alignment/>
      <protection/>
    </xf>
    <xf numFmtId="164" fontId="0" fillId="0" borderId="0" xfId="0" applyFont="1" applyAlignment="1" quotePrefix="1">
      <alignment horizontal="left"/>
    </xf>
    <xf numFmtId="37" fontId="0" fillId="0" borderId="4" xfId="0" applyNumberFormat="1" applyBorder="1" applyAlignment="1" applyProtection="1">
      <alignment horizontal="right"/>
      <protection/>
    </xf>
    <xf numFmtId="164" fontId="13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38" fontId="0" fillId="0" borderId="0" xfId="0" applyNumberFormat="1" applyAlignment="1">
      <alignment/>
    </xf>
    <xf numFmtId="37" fontId="0" fillId="0" borderId="0" xfId="0" applyNumberForma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38" fontId="0" fillId="0" borderId="0" xfId="15" applyNumberFormat="1" applyBorder="1" applyAlignment="1" applyProtection="1">
      <alignment horizontal="left"/>
      <protection/>
    </xf>
    <xf numFmtId="0" fontId="0" fillId="0" borderId="0" xfId="0" applyNumberFormat="1" applyAlignment="1" applyProtection="1" quotePrefix="1">
      <alignment/>
      <protection/>
    </xf>
    <xf numFmtId="38" fontId="0" fillId="0" borderId="0" xfId="15" applyNumberFormat="1" applyFont="1" applyAlignment="1" applyProtection="1">
      <alignment horizontal="left"/>
      <protection/>
    </xf>
    <xf numFmtId="164" fontId="7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42" fontId="0" fillId="0" borderId="0" xfId="15" applyNumberFormat="1" applyAlignment="1">
      <alignment/>
    </xf>
    <xf numFmtId="42" fontId="0" fillId="0" borderId="0" xfId="0" applyNumberFormat="1" applyAlignment="1">
      <alignment/>
    </xf>
    <xf numFmtId="170" fontId="0" fillId="0" borderId="1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9" fontId="0" fillId="0" borderId="2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 quotePrefix="1">
      <alignment/>
      <protection/>
    </xf>
    <xf numFmtId="40" fontId="0" fillId="0" borderId="0" xfId="15" applyAlignment="1" applyProtection="1">
      <alignment horizontal="left"/>
      <protection/>
    </xf>
    <xf numFmtId="40" fontId="0" fillId="0" borderId="2" xfId="15" applyBorder="1" applyAlignment="1" applyProtection="1">
      <alignment/>
      <protection/>
    </xf>
    <xf numFmtId="40" fontId="0" fillId="0" borderId="1" xfId="15" applyBorder="1" applyAlignment="1" applyProtection="1">
      <alignment/>
      <protection/>
    </xf>
    <xf numFmtId="38" fontId="0" fillId="0" borderId="0" xfId="15" applyNumberFormat="1" applyFont="1" applyBorder="1" applyAlignment="1" applyProtection="1">
      <alignment/>
      <protection/>
    </xf>
    <xf numFmtId="41" fontId="7" fillId="0" borderId="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Pworkdir\September%202005%20Acqui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 2005 Acquisition"/>
    </sheetNames>
    <sheetDataSet>
      <sheetData sheetId="0">
        <row r="1">
          <cell r="A1" t="str">
            <v>C1830300</v>
          </cell>
          <cell r="B1">
            <v>163191341.26</v>
          </cell>
        </row>
        <row r="2">
          <cell r="A2" t="str">
            <v>C1838911</v>
          </cell>
          <cell r="B2">
            <v>4979377.91</v>
          </cell>
        </row>
        <row r="3">
          <cell r="A3" t="str">
            <v>C1838912</v>
          </cell>
          <cell r="B3">
            <v>832.02</v>
          </cell>
        </row>
        <row r="4">
          <cell r="A4" t="str">
            <v>C1838920</v>
          </cell>
          <cell r="B4">
            <v>1982376.75</v>
          </cell>
        </row>
        <row r="5">
          <cell r="A5" t="str">
            <v>C1839010</v>
          </cell>
          <cell r="B5">
            <v>116730309.26</v>
          </cell>
        </row>
        <row r="6">
          <cell r="A6" t="str">
            <v>C1839110</v>
          </cell>
          <cell r="B6">
            <v>21737795.55</v>
          </cell>
        </row>
        <row r="7">
          <cell r="A7" t="str">
            <v>C1839120</v>
          </cell>
          <cell r="B7">
            <v>51839761.4</v>
          </cell>
        </row>
        <row r="8">
          <cell r="A8" t="str">
            <v>C1839210</v>
          </cell>
          <cell r="B8">
            <v>33942.29</v>
          </cell>
        </row>
        <row r="9">
          <cell r="A9" t="str">
            <v>C1839220</v>
          </cell>
          <cell r="B9">
            <v>41566.5</v>
          </cell>
        </row>
        <row r="10">
          <cell r="A10" t="str">
            <v>C1839310</v>
          </cell>
          <cell r="B10">
            <v>150311.83</v>
          </cell>
        </row>
        <row r="11">
          <cell r="A11" t="str">
            <v>C1839411</v>
          </cell>
          <cell r="B11">
            <v>67023.21</v>
          </cell>
        </row>
        <row r="12">
          <cell r="A12" t="str">
            <v>C1839421</v>
          </cell>
          <cell r="B12">
            <v>319946.7</v>
          </cell>
        </row>
        <row r="13">
          <cell r="A13" t="str">
            <v>C1839431</v>
          </cell>
          <cell r="B13">
            <v>2552771.68</v>
          </cell>
        </row>
        <row r="14">
          <cell r="A14" t="str">
            <v>C1839510</v>
          </cell>
          <cell r="B14">
            <v>2105876.52</v>
          </cell>
        </row>
        <row r="15">
          <cell r="A15" t="str">
            <v>C1839710</v>
          </cell>
          <cell r="B15">
            <v>84177193.23</v>
          </cell>
        </row>
        <row r="16">
          <cell r="A16" t="str">
            <v>C1839810</v>
          </cell>
          <cell r="B16">
            <v>3057424.38</v>
          </cell>
        </row>
        <row r="17">
          <cell r="A17" t="str">
            <v>E0130200</v>
          </cell>
          <cell r="B17">
            <v>222841.36</v>
          </cell>
        </row>
        <row r="18">
          <cell r="A18" t="str">
            <v>E0130300</v>
          </cell>
          <cell r="B18">
            <v>22933194</v>
          </cell>
        </row>
        <row r="19">
          <cell r="A19" t="str">
            <v>E0131010</v>
          </cell>
          <cell r="B19">
            <v>46518.29</v>
          </cell>
        </row>
        <row r="20">
          <cell r="A20" t="str">
            <v>E0131020</v>
          </cell>
          <cell r="B20">
            <v>0</v>
          </cell>
        </row>
        <row r="21">
          <cell r="A21" t="str">
            <v>E0131100</v>
          </cell>
          <cell r="B21">
            <v>8125342.14</v>
          </cell>
        </row>
        <row r="22">
          <cell r="A22" t="str">
            <v>E0131200</v>
          </cell>
          <cell r="B22">
            <v>10633963.11</v>
          </cell>
        </row>
        <row r="23">
          <cell r="A23" t="str">
            <v>E0131400</v>
          </cell>
          <cell r="B23">
            <v>7484308.48</v>
          </cell>
        </row>
        <row r="24">
          <cell r="A24" t="str">
            <v>E0131500</v>
          </cell>
          <cell r="B24">
            <v>2172933.64</v>
          </cell>
        </row>
        <row r="25">
          <cell r="A25" t="str">
            <v>E0131600</v>
          </cell>
          <cell r="B25">
            <v>239053.49</v>
          </cell>
        </row>
        <row r="26">
          <cell r="A26" t="str">
            <v>E0132020</v>
          </cell>
          <cell r="B26">
            <v>283677.11</v>
          </cell>
        </row>
        <row r="27">
          <cell r="A27" t="str">
            <v>E0132110</v>
          </cell>
          <cell r="B27">
            <v>261153078.1</v>
          </cell>
        </row>
        <row r="28">
          <cell r="A28" t="str">
            <v>E0132120</v>
          </cell>
          <cell r="B28">
            <v>3839817.6</v>
          </cell>
        </row>
        <row r="29">
          <cell r="A29" t="str">
            <v>E0132130</v>
          </cell>
          <cell r="B29">
            <v>1138745.38</v>
          </cell>
        </row>
        <row r="30">
          <cell r="A30" t="str">
            <v>E0132210</v>
          </cell>
          <cell r="B30">
            <v>391652244.6</v>
          </cell>
        </row>
        <row r="31">
          <cell r="A31" t="str">
            <v>E0132220</v>
          </cell>
          <cell r="B31">
            <v>1919439.31</v>
          </cell>
        </row>
        <row r="32">
          <cell r="A32" t="str">
            <v>E0132310</v>
          </cell>
          <cell r="B32">
            <v>121760834.33</v>
          </cell>
        </row>
        <row r="33">
          <cell r="A33" t="str">
            <v>E0132320</v>
          </cell>
          <cell r="B33">
            <v>13683281.02</v>
          </cell>
        </row>
        <row r="34">
          <cell r="A34" t="str">
            <v>E0132410</v>
          </cell>
          <cell r="B34">
            <v>165833482.2</v>
          </cell>
        </row>
        <row r="35">
          <cell r="A35" t="str">
            <v>E0132420</v>
          </cell>
          <cell r="B35">
            <v>878067.6</v>
          </cell>
        </row>
        <row r="36">
          <cell r="A36" t="str">
            <v>E0132510</v>
          </cell>
          <cell r="B36">
            <v>153330325.98</v>
          </cell>
        </row>
        <row r="37">
          <cell r="A37" t="str">
            <v>E0132520</v>
          </cell>
          <cell r="B37">
            <v>41091721.14</v>
          </cell>
        </row>
        <row r="38">
          <cell r="A38" t="str">
            <v>E0132530</v>
          </cell>
          <cell r="B38">
            <v>33087261.13</v>
          </cell>
        </row>
        <row r="39">
          <cell r="A39" t="str">
            <v>E0134010</v>
          </cell>
          <cell r="B39">
            <v>143475.87</v>
          </cell>
        </row>
        <row r="40">
          <cell r="A40" t="str">
            <v>E0134020</v>
          </cell>
          <cell r="B40">
            <v>2427.96</v>
          </cell>
        </row>
        <row r="41">
          <cell r="A41" t="str">
            <v>E0134400</v>
          </cell>
          <cell r="B41">
            <v>35499024.11</v>
          </cell>
        </row>
        <row r="42">
          <cell r="A42" t="str">
            <v>E0135011</v>
          </cell>
          <cell r="B42">
            <v>13637870.49</v>
          </cell>
        </row>
        <row r="43">
          <cell r="A43" t="str">
            <v>E0135012</v>
          </cell>
          <cell r="B43">
            <v>3735127.41</v>
          </cell>
        </row>
        <row r="44">
          <cell r="A44" t="str">
            <v>E0135021</v>
          </cell>
          <cell r="B44">
            <v>40132484.33</v>
          </cell>
        </row>
        <row r="45">
          <cell r="A45" t="str">
            <v>E0135022</v>
          </cell>
          <cell r="B45">
            <v>15429516.55</v>
          </cell>
        </row>
        <row r="46">
          <cell r="A46" t="str">
            <v>E0135210</v>
          </cell>
          <cell r="B46">
            <v>55920847.06</v>
          </cell>
        </row>
        <row r="47">
          <cell r="A47" t="str">
            <v>E0135220</v>
          </cell>
          <cell r="B47">
            <v>10189341.09</v>
          </cell>
        </row>
        <row r="48">
          <cell r="A48" t="str">
            <v>E0135310</v>
          </cell>
          <cell r="B48">
            <v>301310124.27</v>
          </cell>
        </row>
        <row r="49">
          <cell r="A49" t="str">
            <v>E0135320</v>
          </cell>
          <cell r="B49">
            <v>138894199.47</v>
          </cell>
        </row>
        <row r="50">
          <cell r="A50" t="str">
            <v>E0135330</v>
          </cell>
          <cell r="B50">
            <v>5943752.68</v>
          </cell>
        </row>
        <row r="51">
          <cell r="A51" t="str">
            <v>E0135410</v>
          </cell>
          <cell r="B51">
            <v>33784166.87</v>
          </cell>
        </row>
        <row r="52">
          <cell r="A52" t="str">
            <v>E0135420</v>
          </cell>
          <cell r="B52">
            <v>61988482.36</v>
          </cell>
        </row>
        <row r="53">
          <cell r="A53" t="str">
            <v>E0135510</v>
          </cell>
          <cell r="B53">
            <v>94225653.15</v>
          </cell>
        </row>
        <row r="54">
          <cell r="A54" t="str">
            <v>E0135520</v>
          </cell>
          <cell r="B54">
            <v>7918275.26</v>
          </cell>
        </row>
        <row r="55">
          <cell r="A55" t="str">
            <v>E0135610</v>
          </cell>
          <cell r="B55">
            <v>133367555.59</v>
          </cell>
        </row>
        <row r="56">
          <cell r="A56" t="str">
            <v>E0135620</v>
          </cell>
          <cell r="B56">
            <v>42153628.07</v>
          </cell>
        </row>
        <row r="57">
          <cell r="A57" t="str">
            <v>E0135700</v>
          </cell>
          <cell r="B57">
            <v>40545485.35</v>
          </cell>
        </row>
        <row r="58">
          <cell r="A58" t="str">
            <v>E0135800</v>
          </cell>
          <cell r="B58">
            <v>27924959.13</v>
          </cell>
        </row>
        <row r="59">
          <cell r="A59" t="str">
            <v>E0135910</v>
          </cell>
          <cell r="B59">
            <v>10059415.62</v>
          </cell>
        </row>
        <row r="60">
          <cell r="A60" t="str">
            <v>E0135920</v>
          </cell>
          <cell r="B60">
            <v>4426862.71</v>
          </cell>
        </row>
        <row r="61">
          <cell r="A61" t="str">
            <v>E0136011</v>
          </cell>
          <cell r="B61">
            <v>18556844.65</v>
          </cell>
        </row>
        <row r="62">
          <cell r="A62" t="str">
            <v>E0136020</v>
          </cell>
          <cell r="B62">
            <v>62453585.52</v>
          </cell>
        </row>
        <row r="63">
          <cell r="A63" t="str">
            <v>E0136100</v>
          </cell>
          <cell r="B63">
            <v>3303346.95</v>
          </cell>
        </row>
        <row r="64">
          <cell r="A64" t="str">
            <v>E0136210</v>
          </cell>
          <cell r="B64">
            <v>269796389.58</v>
          </cell>
        </row>
        <row r="65">
          <cell r="A65" t="str">
            <v>E0136400</v>
          </cell>
          <cell r="B65">
            <v>328682121.53</v>
          </cell>
        </row>
        <row r="66">
          <cell r="A66" t="str">
            <v>E0136500</v>
          </cell>
          <cell r="B66">
            <v>267185935.96</v>
          </cell>
        </row>
        <row r="67">
          <cell r="A67" t="str">
            <v>E0136600</v>
          </cell>
          <cell r="B67">
            <v>690651474.46</v>
          </cell>
        </row>
        <row r="68">
          <cell r="A68" t="str">
            <v>E0136700</v>
          </cell>
          <cell r="B68">
            <v>888883476.33</v>
          </cell>
        </row>
        <row r="69">
          <cell r="A69" t="str">
            <v>E0136810</v>
          </cell>
          <cell r="B69">
            <v>318231814.3</v>
          </cell>
        </row>
        <row r="70">
          <cell r="A70" t="str">
            <v>E0136820</v>
          </cell>
          <cell r="B70">
            <v>23908043.56</v>
          </cell>
        </row>
        <row r="71">
          <cell r="A71" t="str">
            <v>E0136910</v>
          </cell>
          <cell r="B71">
            <v>86984976.15</v>
          </cell>
        </row>
        <row r="72">
          <cell r="A72" t="str">
            <v>E0136920</v>
          </cell>
          <cell r="B72">
            <v>235873118.15</v>
          </cell>
        </row>
        <row r="73">
          <cell r="A73" t="str">
            <v>E0137010</v>
          </cell>
          <cell r="B73">
            <v>79241307.74</v>
          </cell>
        </row>
        <row r="74">
          <cell r="A74" t="str">
            <v>E0137015</v>
          </cell>
          <cell r="B74">
            <v>1349489.61</v>
          </cell>
        </row>
        <row r="75">
          <cell r="A75" t="str">
            <v>E0137020</v>
          </cell>
          <cell r="B75">
            <v>38402240.84</v>
          </cell>
        </row>
        <row r="76">
          <cell r="A76" t="str">
            <v>E0137100</v>
          </cell>
          <cell r="B76">
            <v>5897177.25</v>
          </cell>
        </row>
        <row r="77">
          <cell r="A77" t="str">
            <v>E0137320</v>
          </cell>
          <cell r="B77">
            <v>23427850.84</v>
          </cell>
        </row>
        <row r="78">
          <cell r="A78" t="str">
            <v>E0138911</v>
          </cell>
          <cell r="B78">
            <v>1572702.95</v>
          </cell>
        </row>
        <row r="79">
          <cell r="A79" t="str">
            <v>E0139000</v>
          </cell>
          <cell r="B79">
            <v>24498433.78</v>
          </cell>
        </row>
        <row r="80">
          <cell r="A80" t="str">
            <v>E0139220</v>
          </cell>
          <cell r="B80">
            <v>175978.94</v>
          </cell>
        </row>
        <row r="81">
          <cell r="A81" t="str">
            <v>E0139310</v>
          </cell>
          <cell r="B81">
            <v>54330.97</v>
          </cell>
        </row>
        <row r="82">
          <cell r="A82" t="str">
            <v>E0139411</v>
          </cell>
          <cell r="B82">
            <v>10357660.84</v>
          </cell>
        </row>
        <row r="83">
          <cell r="A83" t="str">
            <v>E0139420</v>
          </cell>
          <cell r="B83">
            <v>578489.11</v>
          </cell>
        </row>
        <row r="84">
          <cell r="A84" t="str">
            <v>E0139510</v>
          </cell>
          <cell r="B84">
            <v>487294.07</v>
          </cell>
        </row>
        <row r="85">
          <cell r="A85" t="str">
            <v>E0139600</v>
          </cell>
          <cell r="B85">
            <v>92161.75</v>
          </cell>
        </row>
        <row r="86">
          <cell r="A86" t="str">
            <v>E0139710</v>
          </cell>
          <cell r="B86">
            <v>82754519.61</v>
          </cell>
        </row>
        <row r="87">
          <cell r="A87" t="str">
            <v>E0139720</v>
          </cell>
          <cell r="B87">
            <v>5256020.9</v>
          </cell>
        </row>
        <row r="88">
          <cell r="A88" t="str">
            <v>E0139740</v>
          </cell>
          <cell r="B88">
            <v>0</v>
          </cell>
        </row>
        <row r="89">
          <cell r="A89" t="str">
            <v>E0139810</v>
          </cell>
          <cell r="B89">
            <v>293120.67</v>
          </cell>
        </row>
        <row r="90">
          <cell r="A90" t="str">
            <v>G0130200</v>
          </cell>
          <cell r="B90">
            <v>86104.2</v>
          </cell>
        </row>
        <row r="91">
          <cell r="A91" t="str">
            <v>G0130300</v>
          </cell>
          <cell r="B91">
            <v>713558.74</v>
          </cell>
        </row>
        <row r="92">
          <cell r="A92" t="str">
            <v>G0136010</v>
          </cell>
          <cell r="B92">
            <v>0</v>
          </cell>
        </row>
        <row r="93">
          <cell r="A93" t="str">
            <v>G0136100</v>
          </cell>
          <cell r="B93">
            <v>412997.65</v>
          </cell>
        </row>
        <row r="94">
          <cell r="A94" t="str">
            <v>G0136210</v>
          </cell>
          <cell r="B94">
            <v>989282.66</v>
          </cell>
        </row>
        <row r="95">
          <cell r="A95" t="str">
            <v>G0136330</v>
          </cell>
          <cell r="B95">
            <v>558650.5</v>
          </cell>
        </row>
        <row r="96">
          <cell r="A96" t="str">
            <v>G0136360</v>
          </cell>
          <cell r="B96">
            <v>407546.31</v>
          </cell>
        </row>
        <row r="97">
          <cell r="A97" t="str">
            <v>G0136510</v>
          </cell>
          <cell r="B97">
            <v>4649143.75</v>
          </cell>
        </row>
        <row r="98">
          <cell r="A98" t="str">
            <v>G0136520</v>
          </cell>
          <cell r="B98">
            <v>2217185.28</v>
          </cell>
        </row>
        <row r="99">
          <cell r="A99" t="str">
            <v>G0136600</v>
          </cell>
          <cell r="B99">
            <v>10680724.72</v>
          </cell>
        </row>
        <row r="100">
          <cell r="A100" t="str">
            <v>G0136700</v>
          </cell>
          <cell r="B100">
            <v>119009351.64</v>
          </cell>
        </row>
        <row r="101">
          <cell r="A101" t="str">
            <v>G0136800</v>
          </cell>
          <cell r="B101">
            <v>59997587.43</v>
          </cell>
        </row>
        <row r="102">
          <cell r="A102" t="str">
            <v>G0136900</v>
          </cell>
          <cell r="B102">
            <v>14366390.09</v>
          </cell>
        </row>
        <row r="103">
          <cell r="A103" t="str">
            <v>G0137410</v>
          </cell>
          <cell r="B103">
            <v>102187.24</v>
          </cell>
        </row>
        <row r="104">
          <cell r="A104" t="str">
            <v>G0137420</v>
          </cell>
          <cell r="B104">
            <v>7707034.76</v>
          </cell>
        </row>
        <row r="105">
          <cell r="A105" t="str">
            <v>G0137500</v>
          </cell>
          <cell r="B105">
            <v>43446.91</v>
          </cell>
        </row>
        <row r="106">
          <cell r="A106" t="str">
            <v>G0137600</v>
          </cell>
          <cell r="B106">
            <v>461872212.06</v>
          </cell>
        </row>
        <row r="107">
          <cell r="A107" t="str">
            <v>G0137800</v>
          </cell>
          <cell r="B107">
            <v>8028088.84</v>
          </cell>
        </row>
        <row r="108">
          <cell r="A108" t="str">
            <v>G0138000</v>
          </cell>
          <cell r="B108">
            <v>220082247.99</v>
          </cell>
        </row>
        <row r="109">
          <cell r="A109" t="str">
            <v>G0138100</v>
          </cell>
          <cell r="B109">
            <v>66536984.35</v>
          </cell>
        </row>
        <row r="110">
          <cell r="A110" t="str">
            <v>G0138200</v>
          </cell>
          <cell r="B110">
            <v>55902125.44</v>
          </cell>
        </row>
        <row r="111">
          <cell r="A111" t="str">
            <v>G0138500</v>
          </cell>
          <cell r="B111">
            <v>1516810.7</v>
          </cell>
        </row>
        <row r="112">
          <cell r="A112" t="str">
            <v>G0138711</v>
          </cell>
          <cell r="B112">
            <v>166250.02</v>
          </cell>
        </row>
        <row r="113">
          <cell r="A113" t="str">
            <v>G0138712</v>
          </cell>
          <cell r="B113">
            <v>3622490.03</v>
          </cell>
        </row>
        <row r="114">
          <cell r="A114" t="str">
            <v>G0138713</v>
          </cell>
          <cell r="B114">
            <v>658196.33</v>
          </cell>
        </row>
        <row r="115">
          <cell r="A115" t="str">
            <v>G0139220</v>
          </cell>
          <cell r="B115">
            <v>76209.95</v>
          </cell>
        </row>
        <row r="116">
          <cell r="A116" t="str">
            <v>G0139410</v>
          </cell>
          <cell r="B116">
            <v>5803444.93</v>
          </cell>
        </row>
        <row r="117">
          <cell r="A117" t="str">
            <v>G0139420</v>
          </cell>
          <cell r="B117">
            <v>84597.08</v>
          </cell>
        </row>
        <row r="118">
          <cell r="A118" t="str">
            <v>G0139500</v>
          </cell>
          <cell r="B118">
            <v>363608.6</v>
          </cell>
        </row>
        <row r="119">
          <cell r="A119" t="str">
            <v>G0139600</v>
          </cell>
          <cell r="B119">
            <v>246939.44</v>
          </cell>
        </row>
        <row r="120">
          <cell r="A120" t="str">
            <v>G0139700</v>
          </cell>
          <cell r="B120">
            <v>3247090.06</v>
          </cell>
        </row>
        <row r="121">
          <cell r="A121" t="str">
            <v>G0139800</v>
          </cell>
          <cell r="B121">
            <v>188371.11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2"/>
  <sheetViews>
    <sheetView showGridLines="0" tabSelected="1" zoomScale="75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2.6640625" defaultRowHeight="15.75"/>
  <cols>
    <col min="1" max="1" width="10.77734375" style="0" customWidth="1"/>
    <col min="2" max="2" width="25.77734375" style="0" bestFit="1" customWidth="1"/>
    <col min="3" max="3" width="9.10546875" style="0" customWidth="1"/>
    <col min="4" max="4" width="39.99609375" style="0" bestFit="1" customWidth="1"/>
    <col min="5" max="5" width="1.77734375" style="0" customWidth="1"/>
    <col min="6" max="6" width="17.88671875" style="0" customWidth="1"/>
    <col min="7" max="7" width="3.5546875" style="0" customWidth="1"/>
    <col min="8" max="8" width="15.6640625" style="0" customWidth="1"/>
    <col min="9" max="9" width="17.77734375" style="0" customWidth="1"/>
    <col min="10" max="10" width="13.4453125" style="0" bestFit="1" customWidth="1"/>
    <col min="11" max="11" width="15.77734375" style="0" bestFit="1" customWidth="1"/>
    <col min="12" max="12" width="13.77734375" style="0" bestFit="1" customWidth="1"/>
    <col min="13" max="13" width="15.77734375" style="0" customWidth="1"/>
    <col min="14" max="14" width="6.21484375" style="0" customWidth="1"/>
    <col min="15" max="15" width="30.10546875" style="0" customWidth="1"/>
    <col min="19" max="19" width="15.21484375" style="0" bestFit="1" customWidth="1"/>
  </cols>
  <sheetData>
    <row r="1" spans="3:16" ht="15.75">
      <c r="C1" s="1" t="s">
        <v>0</v>
      </c>
      <c r="D1" s="2"/>
      <c r="E1" s="2"/>
      <c r="F1" s="2"/>
      <c r="G1" s="2"/>
      <c r="H1" s="2"/>
      <c r="O1" s="3"/>
      <c r="P1" s="4"/>
    </row>
    <row r="2" spans="3:16" ht="15.75">
      <c r="C2" s="5" t="s">
        <v>1</v>
      </c>
      <c r="D2" s="6"/>
      <c r="E2" s="6"/>
      <c r="F2" s="6"/>
      <c r="G2" s="6"/>
      <c r="H2" s="6"/>
      <c r="O2" s="3"/>
      <c r="P2" s="4"/>
    </row>
    <row r="3" spans="3:16" ht="15.75">
      <c r="C3" s="1" t="s">
        <v>2</v>
      </c>
      <c r="D3" s="2"/>
      <c r="E3" s="2"/>
      <c r="F3" s="2"/>
      <c r="G3" s="2"/>
      <c r="H3" s="2"/>
      <c r="O3" s="3"/>
      <c r="P3" s="4"/>
    </row>
    <row r="4" spans="3:16" ht="15.75">
      <c r="C4" s="1" t="s">
        <v>3</v>
      </c>
      <c r="D4" s="2"/>
      <c r="E4" s="2"/>
      <c r="F4" s="2"/>
      <c r="G4" s="2"/>
      <c r="H4" s="2"/>
      <c r="O4" s="3"/>
      <c r="P4" s="4"/>
    </row>
    <row r="5" spans="3:16" ht="15.75">
      <c r="C5" s="1" t="s">
        <v>387</v>
      </c>
      <c r="D5" s="2"/>
      <c r="E5" s="2"/>
      <c r="F5" s="2"/>
      <c r="G5" s="2"/>
      <c r="H5" s="2"/>
      <c r="O5" s="3"/>
      <c r="P5" s="4"/>
    </row>
    <row r="6" spans="4:16" ht="15.75">
      <c r="D6" s="4" t="s">
        <v>1</v>
      </c>
      <c r="E6" s="4"/>
      <c r="O6" s="3"/>
      <c r="P6" s="4"/>
    </row>
    <row r="7" spans="3:16" ht="15.75">
      <c r="C7" s="7"/>
      <c r="D7" s="5"/>
      <c r="E7" s="5"/>
      <c r="F7" s="5"/>
      <c r="G7" s="5"/>
      <c r="H7" s="1" t="s">
        <v>4</v>
      </c>
      <c r="O7" s="3"/>
      <c r="P7" s="4"/>
    </row>
    <row r="8" spans="3:8" ht="15.75">
      <c r="C8" s="8" t="s">
        <v>1</v>
      </c>
      <c r="D8" s="5"/>
      <c r="E8" s="5"/>
      <c r="F8" s="1" t="s">
        <v>1</v>
      </c>
      <c r="G8" s="5"/>
      <c r="H8" s="1" t="s">
        <v>5</v>
      </c>
    </row>
    <row r="9" spans="1:9" ht="15.75">
      <c r="A9" t="s">
        <v>6</v>
      </c>
      <c r="B9" s="9" t="s">
        <v>7</v>
      </c>
      <c r="C9" s="5"/>
      <c r="D9" s="5"/>
      <c r="E9" s="5"/>
      <c r="F9" s="72" t="s">
        <v>8</v>
      </c>
      <c r="G9" s="5"/>
      <c r="H9" s="1" t="s">
        <v>9</v>
      </c>
      <c r="I9" s="10"/>
    </row>
    <row r="10" spans="1:13" ht="15.75">
      <c r="A10" s="11" t="s">
        <v>10</v>
      </c>
      <c r="B10" s="12" t="s">
        <v>11</v>
      </c>
      <c r="C10" s="13" t="s">
        <v>12</v>
      </c>
      <c r="D10" s="14" t="s">
        <v>13</v>
      </c>
      <c r="E10" s="14"/>
      <c r="F10" s="73" t="s">
        <v>366</v>
      </c>
      <c r="G10" s="5"/>
      <c r="H10" s="14" t="s">
        <v>14</v>
      </c>
      <c r="I10" s="15" t="s">
        <v>15</v>
      </c>
      <c r="J10" s="15" t="s">
        <v>16</v>
      </c>
      <c r="K10" s="4" t="s">
        <v>17</v>
      </c>
      <c r="L10" s="4" t="s">
        <v>18</v>
      </c>
      <c r="M10" s="4" t="s">
        <v>19</v>
      </c>
    </row>
    <row r="11" spans="9:11" ht="15.75">
      <c r="I11" s="16" t="s">
        <v>20</v>
      </c>
      <c r="J11" s="17" t="s">
        <v>21</v>
      </c>
      <c r="K11" t="s">
        <v>22</v>
      </c>
    </row>
    <row r="12" spans="1:10" ht="15.75">
      <c r="A12" s="18"/>
      <c r="C12" s="8" t="s">
        <v>23</v>
      </c>
      <c r="I12" s="19" t="s">
        <v>24</v>
      </c>
      <c r="J12" s="19" t="s">
        <v>25</v>
      </c>
    </row>
    <row r="13" spans="3:8" ht="15.75">
      <c r="C13" s="4" t="s">
        <v>1</v>
      </c>
      <c r="D13" s="4" t="s">
        <v>1</v>
      </c>
      <c r="E13" s="4"/>
      <c r="F13" s="20"/>
      <c r="H13" s="20" t="s">
        <v>1</v>
      </c>
    </row>
    <row r="15" spans="1:15" ht="15.75">
      <c r="A15" s="18">
        <v>1410200</v>
      </c>
      <c r="B15" t="s">
        <v>26</v>
      </c>
      <c r="C15" s="4" t="s">
        <v>27</v>
      </c>
      <c r="D15" s="4" t="s">
        <v>28</v>
      </c>
      <c r="E15" s="4"/>
      <c r="F15" s="21">
        <v>222841.36</v>
      </c>
      <c r="H15" s="22">
        <f>$M15</f>
        <v>202900.3</v>
      </c>
      <c r="I15" s="23">
        <v>202900.3</v>
      </c>
      <c r="J15" s="24"/>
      <c r="K15" s="24"/>
      <c r="L15" s="24"/>
      <c r="M15" s="24">
        <f>SUM(I15:L15)</f>
        <v>202900.3</v>
      </c>
      <c r="N15" s="4" t="s">
        <v>27</v>
      </c>
      <c r="O15" s="4" t="s">
        <v>29</v>
      </c>
    </row>
    <row r="16" spans="1:15" ht="15.75">
      <c r="A16" s="18">
        <v>1410200</v>
      </c>
      <c r="B16" t="s">
        <v>30</v>
      </c>
      <c r="C16" s="4" t="s">
        <v>31</v>
      </c>
      <c r="D16" s="4" t="s">
        <v>32</v>
      </c>
      <c r="E16" s="4"/>
      <c r="F16" s="94">
        <v>22933194</v>
      </c>
      <c r="H16" s="26">
        <f>$M16</f>
        <v>15560573.25</v>
      </c>
      <c r="I16" s="27">
        <v>15560573.25</v>
      </c>
      <c r="J16" s="28"/>
      <c r="K16" s="28"/>
      <c r="L16" s="28"/>
      <c r="M16" s="43">
        <f>SUM(I16:L16)</f>
        <v>15560573.25</v>
      </c>
      <c r="N16" s="4" t="s">
        <v>31</v>
      </c>
      <c r="O16" s="4" t="s">
        <v>32</v>
      </c>
    </row>
    <row r="17" spans="6:13" ht="15.75">
      <c r="F17" s="29" t="s">
        <v>1</v>
      </c>
      <c r="H17" s="20" t="s">
        <v>1</v>
      </c>
      <c r="I17" s="30"/>
      <c r="J17" s="31" t="s">
        <v>1</v>
      </c>
      <c r="K17" s="31"/>
      <c r="L17" s="31"/>
      <c r="M17" s="31" t="s">
        <v>1</v>
      </c>
    </row>
    <row r="18" spans="4:15" ht="15.75">
      <c r="D18" s="4" t="s">
        <v>33</v>
      </c>
      <c r="E18" s="4"/>
      <c r="F18" s="32">
        <f>F15+F16</f>
        <v>23156035.36</v>
      </c>
      <c r="G18" s="20" t="s">
        <v>1</v>
      </c>
      <c r="H18" s="33">
        <f aca="true" t="shared" si="0" ref="H18:M18">H15+H16</f>
        <v>15763473.55</v>
      </c>
      <c r="I18" s="34">
        <f t="shared" si="0"/>
        <v>15763473.55</v>
      </c>
      <c r="J18" s="28">
        <f t="shared" si="0"/>
        <v>0</v>
      </c>
      <c r="K18" s="28">
        <f t="shared" si="0"/>
        <v>0</v>
      </c>
      <c r="L18" s="28">
        <f t="shared" si="0"/>
        <v>0</v>
      </c>
      <c r="M18" s="28">
        <f t="shared" si="0"/>
        <v>15763473.55</v>
      </c>
      <c r="O18" s="4" t="s">
        <v>33</v>
      </c>
    </row>
    <row r="19" spans="6:13" ht="15.75">
      <c r="F19" s="29" t="s">
        <v>1</v>
      </c>
      <c r="H19" s="35" t="s">
        <v>1</v>
      </c>
      <c r="I19" s="30" t="s">
        <v>1</v>
      </c>
      <c r="J19" s="31" t="s">
        <v>1</v>
      </c>
      <c r="K19" s="31"/>
      <c r="L19" s="31"/>
      <c r="M19" s="31" t="s">
        <v>1</v>
      </c>
    </row>
    <row r="20" spans="1:15" ht="15.75">
      <c r="A20" s="18">
        <v>1410200</v>
      </c>
      <c r="B20" t="s">
        <v>34</v>
      </c>
      <c r="C20" s="4" t="s">
        <v>35</v>
      </c>
      <c r="D20" s="4" t="s">
        <v>36</v>
      </c>
      <c r="E20" s="4"/>
      <c r="F20" s="23">
        <v>46518.29</v>
      </c>
      <c r="G20" s="35"/>
      <c r="H20" s="35">
        <f aca="true" t="shared" si="1" ref="H20:H27">$M20</f>
        <v>46518.29</v>
      </c>
      <c r="I20" s="36">
        <v>46518.29</v>
      </c>
      <c r="J20" s="24"/>
      <c r="K20" s="24"/>
      <c r="L20" s="24"/>
      <c r="M20" s="24">
        <f aca="true" t="shared" si="2" ref="M20:M27">SUM(I20:L20)</f>
        <v>46518.29</v>
      </c>
      <c r="N20" s="4" t="s">
        <v>35</v>
      </c>
      <c r="O20" s="4" t="s">
        <v>36</v>
      </c>
    </row>
    <row r="21" spans="1:15" ht="15.75">
      <c r="A21" s="18">
        <v>1410200</v>
      </c>
      <c r="B21" t="s">
        <v>37</v>
      </c>
      <c r="C21" s="4" t="s">
        <v>38</v>
      </c>
      <c r="D21" s="4" t="s">
        <v>39</v>
      </c>
      <c r="E21" s="4"/>
      <c r="F21" s="23">
        <v>0</v>
      </c>
      <c r="H21" s="35">
        <f t="shared" si="1"/>
        <v>0</v>
      </c>
      <c r="I21" s="23">
        <v>0</v>
      </c>
      <c r="J21" s="24"/>
      <c r="K21" s="24"/>
      <c r="L21" s="24"/>
      <c r="M21" s="24">
        <f t="shared" si="2"/>
        <v>0</v>
      </c>
      <c r="N21" s="4" t="s">
        <v>38</v>
      </c>
      <c r="O21" s="4" t="s">
        <v>39</v>
      </c>
    </row>
    <row r="22" spans="1:15" ht="15.75">
      <c r="A22" s="18">
        <v>1410200</v>
      </c>
      <c r="B22" t="s">
        <v>40</v>
      </c>
      <c r="C22" s="4" t="s">
        <v>41</v>
      </c>
      <c r="D22" s="4" t="s">
        <v>42</v>
      </c>
      <c r="E22" s="4"/>
      <c r="F22" s="23">
        <v>8125342.14</v>
      </c>
      <c r="H22" s="35">
        <f t="shared" si="1"/>
        <v>8125342.14</v>
      </c>
      <c r="I22" s="23">
        <v>8125342.14</v>
      </c>
      <c r="J22" s="24"/>
      <c r="K22" s="24"/>
      <c r="L22" s="24"/>
      <c r="M22" s="24">
        <f t="shared" si="2"/>
        <v>8125342.14</v>
      </c>
      <c r="N22" s="4" t="s">
        <v>41</v>
      </c>
      <c r="O22" s="4" t="s">
        <v>42</v>
      </c>
    </row>
    <row r="23" spans="1:15" ht="15.75">
      <c r="A23" s="18">
        <v>1410200</v>
      </c>
      <c r="B23" t="s">
        <v>43</v>
      </c>
      <c r="C23" s="4" t="s">
        <v>44</v>
      </c>
      <c r="D23" s="4" t="s">
        <v>45</v>
      </c>
      <c r="E23" s="4"/>
      <c r="F23" s="23">
        <v>10633963.11</v>
      </c>
      <c r="H23" s="35">
        <f t="shared" si="1"/>
        <v>17564439.529999997</v>
      </c>
      <c r="I23" s="23">
        <v>20035555.08</v>
      </c>
      <c r="J23" s="38">
        <v>-2471115.55</v>
      </c>
      <c r="K23" s="24">
        <v>0</v>
      </c>
      <c r="L23" s="24"/>
      <c r="M23" s="24">
        <f t="shared" si="2"/>
        <v>17564439.529999997</v>
      </c>
      <c r="N23" s="4" t="s">
        <v>44</v>
      </c>
      <c r="O23" s="4" t="s">
        <v>45</v>
      </c>
    </row>
    <row r="24" spans="1:15" ht="15.75">
      <c r="A24" s="18">
        <v>1410200</v>
      </c>
      <c r="B24" t="s">
        <v>46</v>
      </c>
      <c r="C24" s="4" t="s">
        <v>47</v>
      </c>
      <c r="D24" s="4" t="s">
        <v>48</v>
      </c>
      <c r="E24" s="4"/>
      <c r="F24" s="23">
        <v>7484308.48</v>
      </c>
      <c r="H24" s="35">
        <f t="shared" si="1"/>
        <v>7484308.48</v>
      </c>
      <c r="I24" s="23">
        <v>7484308.48</v>
      </c>
      <c r="J24" s="24"/>
      <c r="K24" s="24"/>
      <c r="L24" s="24"/>
      <c r="M24" s="24">
        <f t="shared" si="2"/>
        <v>7484308.48</v>
      </c>
      <c r="N24" s="4" t="s">
        <v>47</v>
      </c>
      <c r="O24" s="4" t="s">
        <v>48</v>
      </c>
    </row>
    <row r="25" spans="1:15" ht="15.75">
      <c r="A25" s="18">
        <v>1410200</v>
      </c>
      <c r="B25" t="s">
        <v>49</v>
      </c>
      <c r="C25" s="4" t="s">
        <v>50</v>
      </c>
      <c r="D25" s="4" t="s">
        <v>51</v>
      </c>
      <c r="E25" s="4"/>
      <c r="F25" s="23">
        <v>2172933.64</v>
      </c>
      <c r="H25" s="35">
        <f t="shared" si="1"/>
        <v>2172933.64</v>
      </c>
      <c r="I25" s="23">
        <v>2172933.64</v>
      </c>
      <c r="J25" s="24"/>
      <c r="K25" s="24"/>
      <c r="L25" s="24"/>
      <c r="M25" s="24">
        <f t="shared" si="2"/>
        <v>2172933.64</v>
      </c>
      <c r="N25" s="4" t="s">
        <v>50</v>
      </c>
      <c r="O25" s="4" t="s">
        <v>51</v>
      </c>
    </row>
    <row r="26" spans="1:15" ht="15.75">
      <c r="A26" s="18">
        <v>1410200</v>
      </c>
      <c r="B26" t="s">
        <v>52</v>
      </c>
      <c r="C26" s="4" t="s">
        <v>53</v>
      </c>
      <c r="D26" s="39" t="s">
        <v>54</v>
      </c>
      <c r="E26" s="4"/>
      <c r="F26" s="23">
        <v>239053.49</v>
      </c>
      <c r="G26" s="40"/>
      <c r="H26" s="35">
        <f t="shared" si="1"/>
        <v>239053.49</v>
      </c>
      <c r="I26" s="41">
        <v>239053.49</v>
      </c>
      <c r="J26" s="42"/>
      <c r="K26" s="42"/>
      <c r="L26" s="42"/>
      <c r="M26" s="24">
        <f t="shared" si="2"/>
        <v>239053.49</v>
      </c>
      <c r="N26" s="4" t="s">
        <v>53</v>
      </c>
      <c r="O26" s="39" t="s">
        <v>54</v>
      </c>
    </row>
    <row r="27" spans="1:15" ht="15.75">
      <c r="A27" s="18">
        <v>1410200</v>
      </c>
      <c r="C27" s="4"/>
      <c r="D27" s="4" t="s">
        <v>55</v>
      </c>
      <c r="E27" s="4"/>
      <c r="F27" s="54">
        <v>0</v>
      </c>
      <c r="H27" s="26">
        <f t="shared" si="1"/>
        <v>0</v>
      </c>
      <c r="I27" s="27">
        <v>0</v>
      </c>
      <c r="J27" s="28"/>
      <c r="K27" s="28"/>
      <c r="L27" s="28"/>
      <c r="M27" s="43">
        <f t="shared" si="2"/>
        <v>0</v>
      </c>
      <c r="N27" s="4"/>
      <c r="O27" s="4" t="s">
        <v>55</v>
      </c>
    </row>
    <row r="28" spans="4:15" ht="15.75">
      <c r="D28" s="4"/>
      <c r="E28" s="4"/>
      <c r="F28" s="86" t="s">
        <v>1</v>
      </c>
      <c r="H28" s="35" t="s">
        <v>1</v>
      </c>
      <c r="I28" s="31"/>
      <c r="J28" s="31"/>
      <c r="K28" s="31"/>
      <c r="L28" s="31"/>
      <c r="M28" s="31" t="s">
        <v>1</v>
      </c>
      <c r="O28" s="4"/>
    </row>
    <row r="29" spans="6:13" ht="15.75">
      <c r="F29" s="86" t="s">
        <v>1</v>
      </c>
      <c r="H29" s="20" t="s">
        <v>1</v>
      </c>
      <c r="I29" s="31"/>
      <c r="J29" s="31"/>
      <c r="K29" s="31"/>
      <c r="L29" s="31"/>
      <c r="M29" s="31" t="s">
        <v>1</v>
      </c>
    </row>
    <row r="30" spans="4:15" ht="15.75">
      <c r="D30" s="4" t="s">
        <v>56</v>
      </c>
      <c r="E30" s="4"/>
      <c r="F30" s="87">
        <f>SUM(F20:F27)</f>
        <v>28702119.15</v>
      </c>
      <c r="H30" s="33">
        <f aca="true" t="shared" si="3" ref="H30:M30">SUM(H20:H27)</f>
        <v>35632595.57</v>
      </c>
      <c r="I30" s="28">
        <f t="shared" si="3"/>
        <v>38103711.12</v>
      </c>
      <c r="J30" s="28">
        <f t="shared" si="3"/>
        <v>-2471115.55</v>
      </c>
      <c r="K30" s="28">
        <f t="shared" si="3"/>
        <v>0</v>
      </c>
      <c r="L30" s="28">
        <f t="shared" si="3"/>
        <v>0</v>
      </c>
      <c r="M30" s="28">
        <f t="shared" si="3"/>
        <v>35632595.57</v>
      </c>
      <c r="O30" s="4" t="s">
        <v>56</v>
      </c>
    </row>
    <row r="31" spans="6:13" ht="15.75">
      <c r="F31" s="20" t="s">
        <v>1</v>
      </c>
      <c r="H31" s="35"/>
      <c r="I31" s="31"/>
      <c r="J31" s="31"/>
      <c r="K31" s="31"/>
      <c r="L31" s="31"/>
      <c r="M31" s="31" t="s">
        <v>1</v>
      </c>
    </row>
    <row r="32" spans="1:15" ht="15.75">
      <c r="A32" s="18">
        <v>1410200</v>
      </c>
      <c r="C32" s="4" t="s">
        <v>57</v>
      </c>
      <c r="D32" s="4" t="s">
        <v>36</v>
      </c>
      <c r="E32" s="4"/>
      <c r="F32" s="37">
        <v>0</v>
      </c>
      <c r="G32" s="10"/>
      <c r="H32" s="75">
        <f aca="true" t="shared" si="4" ref="H32:H39">$M32</f>
        <v>0</v>
      </c>
      <c r="I32" s="23"/>
      <c r="J32" s="24"/>
      <c r="K32" s="24"/>
      <c r="L32" s="24"/>
      <c r="M32" s="24">
        <f aca="true" t="shared" si="5" ref="M32:M39">SUM(I32:L32)</f>
        <v>0</v>
      </c>
      <c r="N32" s="4" t="s">
        <v>57</v>
      </c>
      <c r="O32" s="4" t="s">
        <v>36</v>
      </c>
    </row>
    <row r="33" spans="1:15" ht="15.75">
      <c r="A33" s="18">
        <v>1410200</v>
      </c>
      <c r="B33" t="s">
        <v>58</v>
      </c>
      <c r="C33" s="4" t="s">
        <v>59</v>
      </c>
      <c r="D33" s="4" t="s">
        <v>39</v>
      </c>
      <c r="E33" s="4"/>
      <c r="F33" s="23">
        <f>VLOOKUP(B33,'[1]September 2005 Acquisition'!$A$1:$B$121,2,FALSE)</f>
        <v>283677.11</v>
      </c>
      <c r="G33" s="10"/>
      <c r="H33" s="75">
        <f t="shared" si="4"/>
        <v>283677.11</v>
      </c>
      <c r="I33" s="23">
        <v>283677.11</v>
      </c>
      <c r="J33" s="24"/>
      <c r="K33" s="44"/>
      <c r="L33" s="24"/>
      <c r="M33" s="24">
        <f t="shared" si="5"/>
        <v>283677.11</v>
      </c>
      <c r="N33" s="4" t="s">
        <v>59</v>
      </c>
      <c r="O33" s="4" t="s">
        <v>39</v>
      </c>
    </row>
    <row r="34" spans="1:15" ht="15.75">
      <c r="A34" s="18">
        <v>1410200</v>
      </c>
      <c r="B34" s="45" t="s">
        <v>60</v>
      </c>
      <c r="C34" s="4" t="s">
        <v>61</v>
      </c>
      <c r="D34" s="4" t="s">
        <v>42</v>
      </c>
      <c r="E34" s="4"/>
      <c r="F34" s="37">
        <f>261153078.1+3839817.6+1138745.38</f>
        <v>266131641.07999998</v>
      </c>
      <c r="G34" s="10"/>
      <c r="H34" s="75">
        <f t="shared" si="4"/>
        <v>265028707.24</v>
      </c>
      <c r="I34" s="23">
        <f>261198970.88+3787482.83+35811.54</f>
        <v>265022265.25</v>
      </c>
      <c r="J34" s="24">
        <f>-45892.78+52334.77</f>
        <v>6441.989999999998</v>
      </c>
      <c r="K34" s="46"/>
      <c r="L34" s="24"/>
      <c r="M34" s="24">
        <f t="shared" si="5"/>
        <v>265028707.24</v>
      </c>
      <c r="N34" s="4" t="s">
        <v>61</v>
      </c>
      <c r="O34" s="4" t="s">
        <v>42</v>
      </c>
    </row>
    <row r="35" spans="1:15" ht="15.75">
      <c r="A35" s="18">
        <v>1410200</v>
      </c>
      <c r="B35" s="45" t="s">
        <v>62</v>
      </c>
      <c r="C35" s="4" t="s">
        <v>63</v>
      </c>
      <c r="D35" s="4" t="s">
        <v>45</v>
      </c>
      <c r="E35" s="4"/>
      <c r="F35" s="37">
        <f>391652244.6+1919439.31</f>
        <v>393571683.91</v>
      </c>
      <c r="G35" s="10"/>
      <c r="H35" s="75">
        <f t="shared" si="4"/>
        <v>393571683.90999997</v>
      </c>
      <c r="I35" s="23">
        <f>392232682.2+1866511.06</f>
        <v>394099193.26</v>
      </c>
      <c r="J35" s="24">
        <f>-580437.6+52928.25</f>
        <v>-527509.35</v>
      </c>
      <c r="K35" s="46"/>
      <c r="L35" s="24"/>
      <c r="M35" s="24">
        <f t="shared" si="5"/>
        <v>393571683.90999997</v>
      </c>
      <c r="N35" s="4" t="s">
        <v>63</v>
      </c>
      <c r="O35" s="4" t="s">
        <v>45</v>
      </c>
    </row>
    <row r="36" spans="1:15" ht="15.75">
      <c r="A36" s="18">
        <v>1410200</v>
      </c>
      <c r="B36" s="45" t="s">
        <v>64</v>
      </c>
      <c r="C36" s="4" t="s">
        <v>65</v>
      </c>
      <c r="D36" s="4" t="s">
        <v>48</v>
      </c>
      <c r="E36" s="4"/>
      <c r="F36" s="37">
        <f>121760834.33+13683281.02</f>
        <v>135444115.35</v>
      </c>
      <c r="G36" s="10"/>
      <c r="H36" s="75">
        <f t="shared" si="4"/>
        <v>135444115.35</v>
      </c>
      <c r="I36" s="23">
        <f>123905621.27+13676556</f>
        <v>137582177.26999998</v>
      </c>
      <c r="J36" s="24">
        <f>-2144786.94+6725.02</f>
        <v>-2138061.92</v>
      </c>
      <c r="K36" s="46"/>
      <c r="L36" s="24"/>
      <c r="M36" s="24">
        <f t="shared" si="5"/>
        <v>135444115.35</v>
      </c>
      <c r="N36" s="4" t="s">
        <v>65</v>
      </c>
      <c r="O36" s="4" t="s">
        <v>48</v>
      </c>
    </row>
    <row r="37" spans="1:15" ht="15.75">
      <c r="A37" s="18">
        <v>1410200</v>
      </c>
      <c r="B37" s="45" t="s">
        <v>66</v>
      </c>
      <c r="C37" s="4" t="s">
        <v>67</v>
      </c>
      <c r="D37" s="4" t="s">
        <v>51</v>
      </c>
      <c r="E37" s="4"/>
      <c r="F37" s="37">
        <f>165833482.2+878067.6</f>
        <v>166711549.79999998</v>
      </c>
      <c r="G37" s="10"/>
      <c r="H37" s="75">
        <f t="shared" si="4"/>
        <v>166711549.8</v>
      </c>
      <c r="I37" s="23">
        <f>165833482.2+878682.02</f>
        <v>166712164.22</v>
      </c>
      <c r="J37" s="24">
        <v>-614.42</v>
      </c>
      <c r="K37" s="46"/>
      <c r="L37" s="24"/>
      <c r="M37" s="24">
        <f t="shared" si="5"/>
        <v>166711549.8</v>
      </c>
      <c r="N37" s="4" t="s">
        <v>67</v>
      </c>
      <c r="O37" s="4" t="s">
        <v>51</v>
      </c>
    </row>
    <row r="38" spans="1:15" ht="15.75">
      <c r="A38" s="18">
        <v>1410200</v>
      </c>
      <c r="B38" s="45" t="s">
        <v>68</v>
      </c>
      <c r="C38" s="4" t="s">
        <v>69</v>
      </c>
      <c r="D38" s="39" t="s">
        <v>54</v>
      </c>
      <c r="E38" s="4"/>
      <c r="F38" s="95">
        <f>153330325.98+41091721.14+33087261.13</f>
        <v>227509308.25</v>
      </c>
      <c r="G38" s="81"/>
      <c r="H38" s="82">
        <f t="shared" si="4"/>
        <v>195742751.42999998</v>
      </c>
      <c r="I38" s="41">
        <f>149751527.42+40087087.11+1389638.68</f>
        <v>191228253.20999998</v>
      </c>
      <c r="J38" s="42">
        <f>3578798.56+1004634.03-68934.37</f>
        <v>4514498.22</v>
      </c>
      <c r="K38" s="46"/>
      <c r="L38" s="42"/>
      <c r="M38" s="42">
        <f t="shared" si="5"/>
        <v>195742751.42999998</v>
      </c>
      <c r="N38" s="4" t="s">
        <v>69</v>
      </c>
      <c r="O38" s="4" t="s">
        <v>70</v>
      </c>
    </row>
    <row r="39" spans="1:15" ht="15.75">
      <c r="A39" s="18">
        <v>1410200</v>
      </c>
      <c r="B39" s="45" t="s">
        <v>68</v>
      </c>
      <c r="C39" s="4">
        <v>107</v>
      </c>
      <c r="D39" s="4" t="s">
        <v>369</v>
      </c>
      <c r="E39" s="4"/>
      <c r="F39" s="25">
        <v>0</v>
      </c>
      <c r="G39" s="10"/>
      <c r="H39" s="76">
        <f t="shared" si="4"/>
        <v>6316102.93</v>
      </c>
      <c r="I39" s="27">
        <v>6316102.93</v>
      </c>
      <c r="J39" s="28">
        <v>0</v>
      </c>
      <c r="K39" s="48"/>
      <c r="L39" s="28"/>
      <c r="M39" s="43">
        <f t="shared" si="5"/>
        <v>6316102.93</v>
      </c>
      <c r="N39" s="4" t="s">
        <v>69</v>
      </c>
      <c r="O39" s="4" t="s">
        <v>70</v>
      </c>
    </row>
    <row r="40" spans="4:15" ht="15.75">
      <c r="D40" s="4" t="s">
        <v>1</v>
      </c>
      <c r="E40" s="4"/>
      <c r="F40" s="86" t="s">
        <v>1</v>
      </c>
      <c r="H40" s="35" t="s">
        <v>1</v>
      </c>
      <c r="I40" s="31" t="s">
        <v>1</v>
      </c>
      <c r="J40" s="31" t="s">
        <v>1</v>
      </c>
      <c r="K40" s="49"/>
      <c r="L40" s="31"/>
      <c r="M40" s="31" t="s">
        <v>1</v>
      </c>
      <c r="O40" s="4" t="s">
        <v>71</v>
      </c>
    </row>
    <row r="41" spans="6:13" ht="15.75">
      <c r="F41" s="88"/>
      <c r="H41" s="20" t="s">
        <v>1</v>
      </c>
      <c r="I41" s="24"/>
      <c r="J41" s="24"/>
      <c r="K41" s="24"/>
      <c r="L41" s="24"/>
      <c r="M41" s="24"/>
    </row>
    <row r="42" spans="4:15" ht="15.75">
      <c r="D42" s="4" t="s">
        <v>72</v>
      </c>
      <c r="E42" s="4"/>
      <c r="F42" s="87">
        <f>SUM(F32:F39)</f>
        <v>1189651975.5</v>
      </c>
      <c r="H42" s="33">
        <f aca="true" t="shared" si="6" ref="H42:M42">SUM(H32:H39)</f>
        <v>1163098587.7700002</v>
      </c>
      <c r="I42" s="28">
        <f t="shared" si="6"/>
        <v>1161243833.25</v>
      </c>
      <c r="J42" s="28">
        <f t="shared" si="6"/>
        <v>1854754.52</v>
      </c>
      <c r="K42" s="28">
        <f t="shared" si="6"/>
        <v>0</v>
      </c>
      <c r="L42" s="28">
        <f t="shared" si="6"/>
        <v>0</v>
      </c>
      <c r="M42" s="28">
        <f t="shared" si="6"/>
        <v>1163098587.7700002</v>
      </c>
      <c r="O42" s="4" t="s">
        <v>72</v>
      </c>
    </row>
    <row r="43" spans="6:13" ht="15.75">
      <c r="F43" s="20" t="s">
        <v>1</v>
      </c>
      <c r="H43" s="75" t="s">
        <v>1</v>
      </c>
      <c r="I43" s="31" t="s">
        <v>1</v>
      </c>
      <c r="J43" s="31" t="s">
        <v>1</v>
      </c>
      <c r="K43" s="31"/>
      <c r="L43" s="31"/>
      <c r="M43" s="31" t="s">
        <v>1</v>
      </c>
    </row>
    <row r="44" spans="1:15" ht="15.75">
      <c r="A44" s="18">
        <v>1410200</v>
      </c>
      <c r="B44" t="s">
        <v>73</v>
      </c>
      <c r="C44" s="4" t="s">
        <v>74</v>
      </c>
      <c r="D44" s="4" t="s">
        <v>36</v>
      </c>
      <c r="E44" s="4"/>
      <c r="F44" s="23">
        <v>143475.87</v>
      </c>
      <c r="G44" s="10"/>
      <c r="H44" s="75">
        <f aca="true" t="shared" si="7" ref="H44:H51">$M44</f>
        <v>0</v>
      </c>
      <c r="I44" s="23">
        <v>0</v>
      </c>
      <c r="J44" s="24"/>
      <c r="K44" s="24"/>
      <c r="L44" s="24"/>
      <c r="M44" s="24">
        <f aca="true" t="shared" si="8" ref="M44:M51">SUM(I44:L44)</f>
        <v>0</v>
      </c>
      <c r="N44" s="4" t="s">
        <v>74</v>
      </c>
      <c r="O44" s="4" t="s">
        <v>36</v>
      </c>
    </row>
    <row r="45" spans="1:15" ht="15.75">
      <c r="A45" s="18">
        <v>1410200</v>
      </c>
      <c r="B45" t="s">
        <v>75</v>
      </c>
      <c r="C45" s="4" t="s">
        <v>76</v>
      </c>
      <c r="D45" s="4" t="s">
        <v>39</v>
      </c>
      <c r="E45" s="4"/>
      <c r="F45" s="23">
        <v>2427.96</v>
      </c>
      <c r="G45" s="10"/>
      <c r="H45" s="75">
        <f t="shared" si="7"/>
        <v>2427.96</v>
      </c>
      <c r="I45" s="23">
        <v>2427.96</v>
      </c>
      <c r="J45" s="24"/>
      <c r="K45" s="24"/>
      <c r="L45" s="24"/>
      <c r="M45" s="24">
        <f t="shared" si="8"/>
        <v>2427.96</v>
      </c>
      <c r="N45" s="4" t="s">
        <v>76</v>
      </c>
      <c r="O45" s="4" t="s">
        <v>39</v>
      </c>
    </row>
    <row r="46" spans="1:15" ht="15.75">
      <c r="A46" s="18">
        <v>1410200</v>
      </c>
      <c r="B46" t="s">
        <v>77</v>
      </c>
      <c r="C46" s="4" t="s">
        <v>78</v>
      </c>
      <c r="D46" s="4" t="s">
        <v>42</v>
      </c>
      <c r="E46" s="4"/>
      <c r="F46" s="23">
        <v>0</v>
      </c>
      <c r="H46" s="75">
        <f t="shared" si="7"/>
        <v>0</v>
      </c>
      <c r="I46" s="23">
        <v>0</v>
      </c>
      <c r="J46" s="24"/>
      <c r="K46" s="24"/>
      <c r="L46" s="24"/>
      <c r="M46" s="24">
        <f t="shared" si="8"/>
        <v>0</v>
      </c>
      <c r="N46" s="4" t="s">
        <v>78</v>
      </c>
      <c r="O46" s="4" t="s">
        <v>42</v>
      </c>
    </row>
    <row r="47" spans="1:15" ht="15.75">
      <c r="A47" s="18">
        <v>1410200</v>
      </c>
      <c r="B47" t="s">
        <v>79</v>
      </c>
      <c r="C47" s="4" t="s">
        <v>80</v>
      </c>
      <c r="D47" s="39" t="s">
        <v>81</v>
      </c>
      <c r="E47" s="4"/>
      <c r="F47" s="23">
        <v>0</v>
      </c>
      <c r="H47" s="75">
        <f t="shared" si="7"/>
        <v>0</v>
      </c>
      <c r="I47" s="23">
        <v>0</v>
      </c>
      <c r="J47" s="24"/>
      <c r="K47" s="24"/>
      <c r="L47" s="24"/>
      <c r="M47" s="24">
        <f t="shared" si="8"/>
        <v>0</v>
      </c>
      <c r="N47" s="4" t="s">
        <v>80</v>
      </c>
      <c r="O47" s="4" t="s">
        <v>82</v>
      </c>
    </row>
    <row r="48" spans="1:15" ht="15.75">
      <c r="A48" s="18">
        <v>1410200</v>
      </c>
      <c r="B48" t="s">
        <v>83</v>
      </c>
      <c r="C48" s="39" t="s">
        <v>84</v>
      </c>
      <c r="D48" s="4" t="s">
        <v>85</v>
      </c>
      <c r="E48" s="4"/>
      <c r="F48" s="23">
        <v>0</v>
      </c>
      <c r="H48" s="75">
        <f t="shared" si="7"/>
        <v>0</v>
      </c>
      <c r="I48" s="23">
        <v>0</v>
      </c>
      <c r="J48" s="24"/>
      <c r="K48" s="24"/>
      <c r="L48" s="24"/>
      <c r="M48" s="24">
        <f t="shared" si="8"/>
        <v>0</v>
      </c>
      <c r="O48" s="4"/>
    </row>
    <row r="49" spans="1:15" ht="15.75">
      <c r="A49" s="18">
        <v>1410200</v>
      </c>
      <c r="B49" t="s">
        <v>86</v>
      </c>
      <c r="C49" s="4" t="s">
        <v>87</v>
      </c>
      <c r="D49" s="4" t="s">
        <v>88</v>
      </c>
      <c r="E49" s="4"/>
      <c r="F49" s="23">
        <v>35499024.11</v>
      </c>
      <c r="H49" s="75">
        <f t="shared" si="7"/>
        <v>311366.47</v>
      </c>
      <c r="I49" s="23">
        <v>311366.47</v>
      </c>
      <c r="J49" s="24"/>
      <c r="K49" s="24"/>
      <c r="L49" s="24"/>
      <c r="M49" s="24">
        <f t="shared" si="8"/>
        <v>311366.47</v>
      </c>
      <c r="N49" s="4" t="s">
        <v>87</v>
      </c>
      <c r="O49" s="4" t="s">
        <v>88</v>
      </c>
    </row>
    <row r="50" spans="1:15" ht="15.75">
      <c r="A50" s="18">
        <v>1410200</v>
      </c>
      <c r="B50" t="s">
        <v>89</v>
      </c>
      <c r="C50" s="4" t="s">
        <v>90</v>
      </c>
      <c r="D50" s="4" t="s">
        <v>51</v>
      </c>
      <c r="E50" s="4"/>
      <c r="F50" s="23">
        <v>0</v>
      </c>
      <c r="G50" s="10"/>
      <c r="H50" s="75">
        <f t="shared" si="7"/>
        <v>0</v>
      </c>
      <c r="I50" s="23">
        <v>0</v>
      </c>
      <c r="J50" s="24"/>
      <c r="K50" s="24"/>
      <c r="L50" s="24"/>
      <c r="M50" s="24">
        <f t="shared" si="8"/>
        <v>0</v>
      </c>
      <c r="N50" s="4" t="s">
        <v>87</v>
      </c>
      <c r="O50" s="4" t="s">
        <v>88</v>
      </c>
    </row>
    <row r="51" spans="1:15" ht="15.75">
      <c r="A51" s="18">
        <v>1410200</v>
      </c>
      <c r="C51" s="4"/>
      <c r="D51" s="4" t="s">
        <v>91</v>
      </c>
      <c r="E51" s="4"/>
      <c r="F51" s="54">
        <v>0</v>
      </c>
      <c r="H51" s="76">
        <f t="shared" si="7"/>
        <v>0</v>
      </c>
      <c r="I51" s="27">
        <v>0</v>
      </c>
      <c r="J51" s="28"/>
      <c r="K51" s="28"/>
      <c r="L51" s="28"/>
      <c r="M51" s="43">
        <f t="shared" si="8"/>
        <v>0</v>
      </c>
      <c r="N51" s="4" t="s">
        <v>90</v>
      </c>
      <c r="O51" s="4" t="s">
        <v>51</v>
      </c>
    </row>
    <row r="52" spans="6:13" ht="15.75">
      <c r="F52" s="90" t="s">
        <v>1</v>
      </c>
      <c r="H52" s="35" t="s">
        <v>1</v>
      </c>
      <c r="I52" s="31" t="s">
        <v>1</v>
      </c>
      <c r="J52" s="31" t="s">
        <v>1</v>
      </c>
      <c r="K52" s="31"/>
      <c r="L52" s="31"/>
      <c r="M52" s="31" t="s">
        <v>1</v>
      </c>
    </row>
    <row r="53" spans="4:15" ht="15.75">
      <c r="D53" s="4" t="s">
        <v>92</v>
      </c>
      <c r="E53" s="4"/>
      <c r="F53" s="91">
        <f>SUM(F44:F51)</f>
        <v>35644927.94</v>
      </c>
      <c r="H53" s="33">
        <f aca="true" t="shared" si="9" ref="H53:M53">SUM(H44:H51)</f>
        <v>313794.43</v>
      </c>
      <c r="I53" s="28">
        <f t="shared" si="9"/>
        <v>313794.43</v>
      </c>
      <c r="J53" s="28">
        <f t="shared" si="9"/>
        <v>0</v>
      </c>
      <c r="K53" s="28">
        <f t="shared" si="9"/>
        <v>0</v>
      </c>
      <c r="L53" s="28">
        <f t="shared" si="9"/>
        <v>0</v>
      </c>
      <c r="M53" s="28">
        <f t="shared" si="9"/>
        <v>313794.43</v>
      </c>
      <c r="O53" s="4" t="s">
        <v>92</v>
      </c>
    </row>
    <row r="54" spans="6:13" ht="15.75">
      <c r="F54" s="20" t="s">
        <v>1</v>
      </c>
      <c r="H54" s="20" t="s">
        <v>1</v>
      </c>
      <c r="I54" s="31" t="s">
        <v>1</v>
      </c>
      <c r="J54" s="31" t="s">
        <v>1</v>
      </c>
      <c r="K54" s="31"/>
      <c r="L54" s="31"/>
      <c r="M54" s="31" t="s">
        <v>1</v>
      </c>
    </row>
    <row r="55" spans="4:15" ht="15.75">
      <c r="D55" s="4" t="s">
        <v>93</v>
      </c>
      <c r="E55" s="4"/>
      <c r="F55" s="87">
        <f>F30+F42+F53</f>
        <v>1253999022.5900002</v>
      </c>
      <c r="H55" s="33">
        <f aca="true" t="shared" si="10" ref="H55:M55">H30+H42+H53</f>
        <v>1199044977.7700002</v>
      </c>
      <c r="I55" s="28">
        <f t="shared" si="10"/>
        <v>1199661338.8</v>
      </c>
      <c r="J55" s="28">
        <f t="shared" si="10"/>
        <v>-616361.0299999998</v>
      </c>
      <c r="K55" s="28">
        <f t="shared" si="10"/>
        <v>0</v>
      </c>
      <c r="L55" s="28">
        <f t="shared" si="10"/>
        <v>0</v>
      </c>
      <c r="M55" s="28">
        <f t="shared" si="10"/>
        <v>1199044977.7700002</v>
      </c>
      <c r="O55" s="4" t="s">
        <v>93</v>
      </c>
    </row>
    <row r="56" spans="4:15" ht="15.75">
      <c r="D56" s="4"/>
      <c r="E56" s="4"/>
      <c r="F56" s="50"/>
      <c r="H56" s="50"/>
      <c r="I56" s="42"/>
      <c r="J56" s="42"/>
      <c r="K56" s="42"/>
      <c r="L56" s="42"/>
      <c r="M56" s="42"/>
      <c r="O56" s="4"/>
    </row>
    <row r="57" spans="1:15" ht="15.75">
      <c r="A57" s="18">
        <v>1410200</v>
      </c>
      <c r="B57" s="45" t="s">
        <v>94</v>
      </c>
      <c r="C57" s="4" t="s">
        <v>95</v>
      </c>
      <c r="D57" s="4" t="s">
        <v>96</v>
      </c>
      <c r="E57" s="4"/>
      <c r="F57" s="21">
        <f>13637870.49+3735127.41</f>
        <v>17372997.9</v>
      </c>
      <c r="G57" s="10"/>
      <c r="H57" s="77">
        <f aca="true" t="shared" si="11" ref="H57:H66">$M57</f>
        <v>0</v>
      </c>
      <c r="I57" s="23">
        <v>0</v>
      </c>
      <c r="J57" s="24"/>
      <c r="K57" s="24"/>
      <c r="L57" s="24"/>
      <c r="M57" s="24">
        <f aca="true" t="shared" si="12" ref="M57:M66">SUM(I57:L57)</f>
        <v>0</v>
      </c>
      <c r="N57" s="4" t="s">
        <v>95</v>
      </c>
      <c r="O57" s="4" t="s">
        <v>36</v>
      </c>
    </row>
    <row r="58" spans="1:15" ht="15.75">
      <c r="A58" s="18">
        <v>1410200</v>
      </c>
      <c r="B58" s="45" t="s">
        <v>97</v>
      </c>
      <c r="C58" s="4" t="s">
        <v>98</v>
      </c>
      <c r="D58" s="4" t="s">
        <v>39</v>
      </c>
      <c r="E58" s="4"/>
      <c r="F58" s="37">
        <f>40132484.33+15429516.55</f>
        <v>55562000.879999995</v>
      </c>
      <c r="G58" s="10"/>
      <c r="H58" s="75">
        <f t="shared" si="11"/>
        <v>8132125.36</v>
      </c>
      <c r="I58" s="23">
        <f>4831588.11+3322196.49</f>
        <v>8153784.600000001</v>
      </c>
      <c r="J58" s="24">
        <v>-21659.24</v>
      </c>
      <c r="K58" s="24"/>
      <c r="L58" s="24"/>
      <c r="M58" s="24">
        <f t="shared" si="12"/>
        <v>8132125.36</v>
      </c>
      <c r="N58" s="4" t="s">
        <v>98</v>
      </c>
      <c r="O58" s="4" t="s">
        <v>39</v>
      </c>
    </row>
    <row r="59" spans="1:15" ht="15.75">
      <c r="A59" s="18">
        <v>1410200</v>
      </c>
      <c r="B59" s="45" t="s">
        <v>99</v>
      </c>
      <c r="C59" s="4" t="s">
        <v>100</v>
      </c>
      <c r="D59" s="4" t="s">
        <v>42</v>
      </c>
      <c r="E59" s="4"/>
      <c r="F59" s="37">
        <f>55920847.06+10189341.09</f>
        <v>66110188.150000006</v>
      </c>
      <c r="G59" s="10"/>
      <c r="H59" s="75">
        <f t="shared" si="11"/>
        <v>23413505.39</v>
      </c>
      <c r="I59" s="23">
        <f>17184718.32+6576243.27</f>
        <v>23760961.59</v>
      </c>
      <c r="J59" s="24">
        <v>-347456.2</v>
      </c>
      <c r="K59" s="24"/>
      <c r="L59" s="24"/>
      <c r="M59" s="24">
        <f t="shared" si="12"/>
        <v>23413505.39</v>
      </c>
      <c r="N59" s="4" t="s">
        <v>100</v>
      </c>
      <c r="O59" s="4" t="s">
        <v>42</v>
      </c>
    </row>
    <row r="60" spans="1:15" ht="15.75">
      <c r="A60" s="18">
        <v>1410200</v>
      </c>
      <c r="B60" s="45" t="s">
        <v>101</v>
      </c>
      <c r="C60" s="4" t="s">
        <v>102</v>
      </c>
      <c r="D60" s="4" t="s">
        <v>103</v>
      </c>
      <c r="E60" s="4"/>
      <c r="F60" s="37">
        <f>301310124.27+138894199.47+5943752.68</f>
        <v>446148076.42</v>
      </c>
      <c r="G60" s="10"/>
      <c r="H60" s="75">
        <f t="shared" si="11"/>
        <v>114791898.25</v>
      </c>
      <c r="I60" s="23">
        <f>83076928.06+36046642.04+5943752.68</f>
        <v>125067322.78</v>
      </c>
      <c r="J60" s="24">
        <f>-7943939.48-2331485.05</f>
        <v>-10275424.530000001</v>
      </c>
      <c r="K60" s="24"/>
      <c r="L60" s="24"/>
      <c r="M60" s="24">
        <f t="shared" si="12"/>
        <v>114791898.25</v>
      </c>
      <c r="N60" s="4" t="s">
        <v>102</v>
      </c>
      <c r="O60" s="4" t="s">
        <v>103</v>
      </c>
    </row>
    <row r="61" spans="1:15" ht="15.75">
      <c r="A61" s="18">
        <v>1410200</v>
      </c>
      <c r="B61" s="45" t="s">
        <v>104</v>
      </c>
      <c r="C61" s="4" t="s">
        <v>105</v>
      </c>
      <c r="D61" s="4" t="s">
        <v>106</v>
      </c>
      <c r="E61" s="4"/>
      <c r="F61" s="37">
        <f>33784166.87+61988482.36</f>
        <v>95772649.22999999</v>
      </c>
      <c r="G61" s="10"/>
      <c r="H61" s="75">
        <f t="shared" si="11"/>
        <v>70337333.33</v>
      </c>
      <c r="I61" s="23">
        <f>26615208.31+43833146.96</f>
        <v>70448355.27</v>
      </c>
      <c r="J61" s="24">
        <v>-111021.94</v>
      </c>
      <c r="K61" s="24"/>
      <c r="L61" s="24"/>
      <c r="M61" s="24">
        <f t="shared" si="12"/>
        <v>70337333.33</v>
      </c>
      <c r="N61" s="4" t="s">
        <v>105</v>
      </c>
      <c r="O61" s="4" t="s">
        <v>106</v>
      </c>
    </row>
    <row r="62" spans="1:15" ht="15.75">
      <c r="A62" s="18">
        <v>1410200</v>
      </c>
      <c r="B62" s="45" t="s">
        <v>107</v>
      </c>
      <c r="C62" s="4" t="s">
        <v>108</v>
      </c>
      <c r="D62" s="4" t="s">
        <v>109</v>
      </c>
      <c r="E62" s="4"/>
      <c r="F62" s="37">
        <f>94225653.15+7918275.26-253723.45</f>
        <v>101890204.96000001</v>
      </c>
      <c r="G62" s="10"/>
      <c r="H62" s="75">
        <f t="shared" si="11"/>
        <v>37247488.13999999</v>
      </c>
      <c r="I62" s="23">
        <f>41144301.73+6554378.79</f>
        <v>47698680.519999996</v>
      </c>
      <c r="J62" s="24">
        <v>-10197468.93</v>
      </c>
      <c r="K62" s="24">
        <v>-253723.45</v>
      </c>
      <c r="L62" s="24"/>
      <c r="M62" s="24">
        <f t="shared" si="12"/>
        <v>37247488.13999999</v>
      </c>
      <c r="N62" s="4" t="s">
        <v>108</v>
      </c>
      <c r="O62" s="4" t="s">
        <v>109</v>
      </c>
    </row>
    <row r="63" spans="1:15" ht="15.75">
      <c r="A63" s="18">
        <v>1410200</v>
      </c>
      <c r="B63" s="45" t="s">
        <v>110</v>
      </c>
      <c r="C63" s="4" t="s">
        <v>111</v>
      </c>
      <c r="D63" s="4" t="s">
        <v>112</v>
      </c>
      <c r="E63" s="4"/>
      <c r="F63" s="37">
        <f>133367555.59+42153628.07-60920.94</f>
        <v>175460262.72</v>
      </c>
      <c r="G63" s="10"/>
      <c r="H63" s="75">
        <f t="shared" si="11"/>
        <v>129052714.33</v>
      </c>
      <c r="I63" s="23">
        <f>83858318.06+53796438.01</f>
        <v>137654756.07</v>
      </c>
      <c r="J63" s="24">
        <f>-8540773.55-347.25</f>
        <v>-8541120.8</v>
      </c>
      <c r="K63" s="24">
        <v>-60920.94</v>
      </c>
      <c r="L63" s="24"/>
      <c r="M63" s="24">
        <f t="shared" si="12"/>
        <v>129052714.33</v>
      </c>
      <c r="N63" s="4" t="s">
        <v>111</v>
      </c>
      <c r="O63" s="4" t="s">
        <v>113</v>
      </c>
    </row>
    <row r="64" spans="1:15" ht="15.75">
      <c r="A64" s="18">
        <v>1410200</v>
      </c>
      <c r="B64" t="s">
        <v>114</v>
      </c>
      <c r="C64" s="4" t="s">
        <v>115</v>
      </c>
      <c r="D64" s="4" t="s">
        <v>116</v>
      </c>
      <c r="E64" s="4"/>
      <c r="F64" s="37">
        <v>40545485.35</v>
      </c>
      <c r="G64" s="10"/>
      <c r="H64" s="75">
        <f t="shared" si="11"/>
        <v>6364189.16</v>
      </c>
      <c r="I64" s="23">
        <v>6608885.61</v>
      </c>
      <c r="J64" s="24">
        <v>-244696.45</v>
      </c>
      <c r="K64" s="24"/>
      <c r="L64" s="24"/>
      <c r="M64" s="24">
        <f t="shared" si="12"/>
        <v>6364189.16</v>
      </c>
      <c r="N64" s="4" t="s">
        <v>115</v>
      </c>
      <c r="O64" s="4" t="s">
        <v>116</v>
      </c>
    </row>
    <row r="65" spans="1:15" ht="15.75">
      <c r="A65" s="18">
        <v>1410200</v>
      </c>
      <c r="B65" t="s">
        <v>117</v>
      </c>
      <c r="C65" s="4" t="s">
        <v>118</v>
      </c>
      <c r="D65" s="4" t="s">
        <v>119</v>
      </c>
      <c r="E65" s="4"/>
      <c r="F65" s="37">
        <v>27924959.13</v>
      </c>
      <c r="G65" s="10"/>
      <c r="H65" s="75">
        <f t="shared" si="11"/>
        <v>9063823.78</v>
      </c>
      <c r="I65" s="23">
        <v>11213122.37</v>
      </c>
      <c r="J65" s="24">
        <v>-2149298.59</v>
      </c>
      <c r="K65" s="24"/>
      <c r="L65" s="24"/>
      <c r="M65" s="24">
        <f t="shared" si="12"/>
        <v>9063823.78</v>
      </c>
      <c r="N65" s="4" t="s">
        <v>118</v>
      </c>
      <c r="O65" s="4" t="s">
        <v>120</v>
      </c>
    </row>
    <row r="66" spans="1:15" ht="15.75">
      <c r="A66" s="18">
        <v>1410200</v>
      </c>
      <c r="B66" s="45" t="s">
        <v>121</v>
      </c>
      <c r="C66" s="4" t="s">
        <v>122</v>
      </c>
      <c r="D66" s="4" t="s">
        <v>123</v>
      </c>
      <c r="E66" s="4"/>
      <c r="F66" s="47">
        <f>10059415.62+4426862.71</f>
        <v>14486278.329999998</v>
      </c>
      <c r="G66" s="10"/>
      <c r="H66" s="76">
        <f t="shared" si="11"/>
        <v>4344159.87</v>
      </c>
      <c r="I66" s="27">
        <f>2461655.81+1904589.67</f>
        <v>4366245.48</v>
      </c>
      <c r="J66" s="28">
        <v>-22085.61</v>
      </c>
      <c r="K66" s="28"/>
      <c r="L66" s="28"/>
      <c r="M66" s="43">
        <f t="shared" si="12"/>
        <v>4344159.87</v>
      </c>
      <c r="N66" s="4" t="s">
        <v>122</v>
      </c>
      <c r="O66" s="4" t="s">
        <v>123</v>
      </c>
    </row>
    <row r="67" spans="6:13" ht="15.75">
      <c r="F67" s="20" t="s">
        <v>1</v>
      </c>
      <c r="H67" s="50"/>
      <c r="I67" s="31" t="s">
        <v>1</v>
      </c>
      <c r="J67" s="31" t="s">
        <v>1</v>
      </c>
      <c r="K67" s="31"/>
      <c r="L67" s="31"/>
      <c r="M67" s="78" t="s">
        <v>1</v>
      </c>
    </row>
    <row r="68" spans="4:15" ht="15.75">
      <c r="D68" s="4" t="s">
        <v>124</v>
      </c>
      <c r="E68" s="4"/>
      <c r="F68" s="33">
        <f>SUM(F57:F66)</f>
        <v>1041273103.0700002</v>
      </c>
      <c r="H68" s="33">
        <f aca="true" t="shared" si="13" ref="H68:M68">SUM(H57:H66)</f>
        <v>402747237.60999995</v>
      </c>
      <c r="I68" s="28">
        <f t="shared" si="13"/>
        <v>434972114.29</v>
      </c>
      <c r="J68" s="28">
        <f t="shared" si="13"/>
        <v>-31910232.29</v>
      </c>
      <c r="K68" s="28">
        <f t="shared" si="13"/>
        <v>-314644.39</v>
      </c>
      <c r="L68" s="28">
        <f t="shared" si="13"/>
        <v>0</v>
      </c>
      <c r="M68" s="28">
        <f t="shared" si="13"/>
        <v>402747237.60999995</v>
      </c>
      <c r="O68" s="4" t="s">
        <v>124</v>
      </c>
    </row>
    <row r="69" spans="6:13" ht="15.75">
      <c r="F69" s="20" t="s">
        <v>1</v>
      </c>
      <c r="H69" s="35" t="s">
        <v>1</v>
      </c>
      <c r="I69" s="31" t="s">
        <v>1</v>
      </c>
      <c r="J69" s="31" t="s">
        <v>1</v>
      </c>
      <c r="K69" s="31"/>
      <c r="L69" s="31"/>
      <c r="M69" s="31" t="s">
        <v>1</v>
      </c>
    </row>
    <row r="70" spans="6:13" ht="15.75">
      <c r="F70" s="35"/>
      <c r="H70" s="20" t="s">
        <v>1</v>
      </c>
      <c r="I70" s="24"/>
      <c r="J70" s="24"/>
      <c r="K70" s="24"/>
      <c r="L70" s="24"/>
      <c r="M70" s="24"/>
    </row>
    <row r="71" spans="1:15" ht="15.75">
      <c r="A71" s="18">
        <v>1410200</v>
      </c>
      <c r="B71" t="s">
        <v>381</v>
      </c>
      <c r="C71" s="4" t="s">
        <v>125</v>
      </c>
      <c r="D71" s="4" t="s">
        <v>36</v>
      </c>
      <c r="E71" s="4"/>
      <c r="F71" s="23">
        <v>18556844.65</v>
      </c>
      <c r="G71" s="10"/>
      <c r="H71" s="75">
        <f aca="true" t="shared" si="14" ref="H71:H87">$M71</f>
        <v>0</v>
      </c>
      <c r="I71" s="23">
        <v>0</v>
      </c>
      <c r="J71" s="24">
        <v>0</v>
      </c>
      <c r="K71" s="24"/>
      <c r="L71" s="24"/>
      <c r="M71" s="24">
        <f aca="true" t="shared" si="15" ref="M71:M87">SUM(I71:L71)</f>
        <v>0</v>
      </c>
      <c r="N71" s="4" t="s">
        <v>125</v>
      </c>
      <c r="O71" s="4" t="s">
        <v>36</v>
      </c>
    </row>
    <row r="72" spans="1:15" ht="15.75">
      <c r="A72" s="18">
        <v>1410200</v>
      </c>
      <c r="B72" t="s">
        <v>126</v>
      </c>
      <c r="C72" s="4" t="s">
        <v>127</v>
      </c>
      <c r="D72" s="4" t="s">
        <v>39</v>
      </c>
      <c r="E72" s="4"/>
      <c r="F72" s="23">
        <v>62453585.52</v>
      </c>
      <c r="G72" s="10"/>
      <c r="H72" s="75">
        <f t="shared" si="14"/>
        <v>23288248.55</v>
      </c>
      <c r="I72" s="23">
        <v>23601411.57</v>
      </c>
      <c r="J72" s="24">
        <v>-313163.02</v>
      </c>
      <c r="K72" s="24"/>
      <c r="L72" s="24"/>
      <c r="M72" s="24">
        <f t="shared" si="15"/>
        <v>23288248.55</v>
      </c>
      <c r="N72" s="4" t="s">
        <v>127</v>
      </c>
      <c r="O72" s="4" t="s">
        <v>39</v>
      </c>
    </row>
    <row r="73" spans="1:15" ht="15.75">
      <c r="A73" s="18">
        <v>1410200</v>
      </c>
      <c r="B73" t="s">
        <v>128</v>
      </c>
      <c r="C73" s="4" t="s">
        <v>129</v>
      </c>
      <c r="D73" s="4" t="s">
        <v>42</v>
      </c>
      <c r="E73" s="4"/>
      <c r="F73" s="23">
        <v>3303346.95</v>
      </c>
      <c r="G73" s="10"/>
      <c r="H73" s="75">
        <f t="shared" si="14"/>
        <v>1860264.89</v>
      </c>
      <c r="I73" s="23">
        <v>1867907.21</v>
      </c>
      <c r="J73" s="24">
        <v>-7642.32</v>
      </c>
      <c r="K73" s="24"/>
      <c r="L73" s="24"/>
      <c r="M73" s="24">
        <f t="shared" si="15"/>
        <v>1860264.89</v>
      </c>
      <c r="N73" s="4" t="s">
        <v>129</v>
      </c>
      <c r="O73" s="4" t="s">
        <v>42</v>
      </c>
    </row>
    <row r="74" spans="1:15" ht="15.75">
      <c r="A74" s="18">
        <v>1410200</v>
      </c>
      <c r="B74" t="s">
        <v>130</v>
      </c>
      <c r="C74" s="4" t="s">
        <v>131</v>
      </c>
      <c r="D74" s="4" t="s">
        <v>103</v>
      </c>
      <c r="E74" s="4"/>
      <c r="F74" s="23">
        <v>269796389.58</v>
      </c>
      <c r="G74" s="10"/>
      <c r="H74" s="75">
        <f t="shared" si="14"/>
        <v>66657507.400000006</v>
      </c>
      <c r="I74" s="23">
        <v>75017894.18</v>
      </c>
      <c r="J74" s="24">
        <v>-8360386.78</v>
      </c>
      <c r="K74" s="24"/>
      <c r="L74" s="24"/>
      <c r="M74" s="24">
        <f t="shared" si="15"/>
        <v>66657507.400000006</v>
      </c>
      <c r="N74" s="4" t="s">
        <v>131</v>
      </c>
      <c r="O74" s="4" t="s">
        <v>103</v>
      </c>
    </row>
    <row r="75" spans="1:15" ht="15.75">
      <c r="A75" s="18">
        <v>1410200</v>
      </c>
      <c r="B75" t="s">
        <v>132</v>
      </c>
      <c r="C75" s="4" t="s">
        <v>133</v>
      </c>
      <c r="D75" s="4" t="s">
        <v>134</v>
      </c>
      <c r="E75" s="4"/>
      <c r="F75" s="23">
        <f>328682121.53-2135749.67</f>
        <v>326546371.85999995</v>
      </c>
      <c r="G75" s="10"/>
      <c r="H75" s="75">
        <f t="shared" si="14"/>
        <v>174712834.41000003</v>
      </c>
      <c r="I75" s="23">
        <v>208840739.61</v>
      </c>
      <c r="J75" s="24">
        <v>-31992155.53</v>
      </c>
      <c r="K75" s="24">
        <v>-2135749.67</v>
      </c>
      <c r="L75" s="24"/>
      <c r="M75" s="24">
        <f t="shared" si="15"/>
        <v>174712834.41000003</v>
      </c>
      <c r="N75" s="4" t="s">
        <v>133</v>
      </c>
      <c r="O75" s="4" t="s">
        <v>134</v>
      </c>
    </row>
    <row r="76" spans="1:15" ht="15.75">
      <c r="A76" s="18">
        <v>1410200</v>
      </c>
      <c r="B76" t="s">
        <v>135</v>
      </c>
      <c r="C76" s="4" t="s">
        <v>136</v>
      </c>
      <c r="D76" s="4" t="s">
        <v>112</v>
      </c>
      <c r="E76" s="4"/>
      <c r="F76" s="23">
        <f>267185935.96-982751.19</f>
        <v>266203184.77</v>
      </c>
      <c r="G76" s="10"/>
      <c r="H76" s="75">
        <f t="shared" si="14"/>
        <v>86089208.26</v>
      </c>
      <c r="I76" s="23">
        <v>110472423.26</v>
      </c>
      <c r="J76" s="24">
        <v>-23400463.81</v>
      </c>
      <c r="K76" s="24">
        <v>-982751.19</v>
      </c>
      <c r="L76" s="24"/>
      <c r="M76" s="24">
        <f t="shared" si="15"/>
        <v>86089208.26</v>
      </c>
      <c r="N76" s="4" t="s">
        <v>136</v>
      </c>
      <c r="O76" s="4" t="s">
        <v>113</v>
      </c>
    </row>
    <row r="77" spans="1:15" ht="15.75">
      <c r="A77" s="18">
        <v>1410200</v>
      </c>
      <c r="B77" t="s">
        <v>137</v>
      </c>
      <c r="C77" s="4" t="s">
        <v>138</v>
      </c>
      <c r="D77" s="4" t="s">
        <v>116</v>
      </c>
      <c r="E77" s="4"/>
      <c r="F77" s="23">
        <f>690651474.46-2129253.93</f>
        <v>688522220.5300001</v>
      </c>
      <c r="G77" s="10"/>
      <c r="H77" s="75">
        <f t="shared" si="14"/>
        <v>265155055.8</v>
      </c>
      <c r="I77" s="23">
        <v>315737451.67</v>
      </c>
      <c r="J77" s="52">
        <v>-48453141.94</v>
      </c>
      <c r="K77" s="24">
        <v>-2129253.93</v>
      </c>
      <c r="L77" s="24"/>
      <c r="M77" s="24">
        <f t="shared" si="15"/>
        <v>265155055.8</v>
      </c>
      <c r="N77" s="4" t="s">
        <v>138</v>
      </c>
      <c r="O77" s="4" t="s">
        <v>116</v>
      </c>
    </row>
    <row r="78" spans="1:15" ht="15.75">
      <c r="A78" s="18">
        <v>1410200</v>
      </c>
      <c r="B78" t="s">
        <v>139</v>
      </c>
      <c r="C78" s="4" t="s">
        <v>140</v>
      </c>
      <c r="D78" s="4" t="s">
        <v>119</v>
      </c>
      <c r="E78" s="4"/>
      <c r="F78" s="23">
        <f>888883476.33-1820002.28</f>
        <v>887063474.0500001</v>
      </c>
      <c r="G78" s="10"/>
      <c r="H78" s="75">
        <f t="shared" si="14"/>
        <v>459518546.05</v>
      </c>
      <c r="I78" s="23">
        <v>488312779.68</v>
      </c>
      <c r="J78" s="24">
        <v>-26974231.35</v>
      </c>
      <c r="K78" s="24">
        <v>-1820002.28</v>
      </c>
      <c r="L78" s="24"/>
      <c r="M78" s="24">
        <f t="shared" si="15"/>
        <v>459518546.05</v>
      </c>
      <c r="N78" s="4" t="s">
        <v>140</v>
      </c>
      <c r="O78" s="4" t="s">
        <v>120</v>
      </c>
    </row>
    <row r="79" spans="1:15" ht="15.75">
      <c r="A79" s="18">
        <v>1410200</v>
      </c>
      <c r="B79" t="s">
        <v>141</v>
      </c>
      <c r="C79" s="4" t="s">
        <v>142</v>
      </c>
      <c r="D79" s="4" t="s">
        <v>143</v>
      </c>
      <c r="E79" s="4"/>
      <c r="F79" s="23">
        <v>318231814.3</v>
      </c>
      <c r="G79" s="10"/>
      <c r="H79" s="75">
        <f t="shared" si="14"/>
        <v>57126108.830000006</v>
      </c>
      <c r="I79" s="23">
        <v>105869113.12</v>
      </c>
      <c r="J79" s="24">
        <v>-48743004.29</v>
      </c>
      <c r="K79" s="24"/>
      <c r="L79" s="24"/>
      <c r="M79" s="24">
        <f t="shared" si="15"/>
        <v>57126108.830000006</v>
      </c>
      <c r="N79" s="4" t="s">
        <v>142</v>
      </c>
      <c r="O79" s="4" t="s">
        <v>143</v>
      </c>
    </row>
    <row r="80" spans="1:15" ht="15.75">
      <c r="A80" s="18">
        <v>1410200</v>
      </c>
      <c r="B80" t="s">
        <v>144</v>
      </c>
      <c r="C80" s="4" t="s">
        <v>145</v>
      </c>
      <c r="D80" s="4" t="s">
        <v>146</v>
      </c>
      <c r="E80" s="4"/>
      <c r="F80" s="23">
        <f>23908043.56-1492367.3</f>
        <v>22415676.259999998</v>
      </c>
      <c r="G80" s="10"/>
      <c r="H80" s="75">
        <f t="shared" si="14"/>
        <v>3043864.1099999985</v>
      </c>
      <c r="I80" s="23">
        <v>17466170.31</v>
      </c>
      <c r="J80" s="24">
        <v>-12929938.9</v>
      </c>
      <c r="K80" s="24">
        <v>-1492367.3</v>
      </c>
      <c r="L80" s="24"/>
      <c r="M80" s="24">
        <f t="shared" si="15"/>
        <v>3043864.1099999985</v>
      </c>
      <c r="N80" s="4" t="s">
        <v>145</v>
      </c>
      <c r="O80" s="4" t="s">
        <v>147</v>
      </c>
    </row>
    <row r="81" spans="1:15" ht="15.75">
      <c r="A81" s="18">
        <v>1410200</v>
      </c>
      <c r="B81" t="s">
        <v>148</v>
      </c>
      <c r="C81" s="4" t="s">
        <v>149</v>
      </c>
      <c r="D81" s="4" t="s">
        <v>150</v>
      </c>
      <c r="E81" s="4"/>
      <c r="F81" s="23">
        <f>86984976.15-34464.66</f>
        <v>86950511.49000001</v>
      </c>
      <c r="G81" s="10"/>
      <c r="H81" s="75">
        <f t="shared" si="14"/>
        <v>112040554.21000001</v>
      </c>
      <c r="I81" s="23">
        <v>114980253.87</v>
      </c>
      <c r="J81" s="52">
        <v>-2905235</v>
      </c>
      <c r="K81" s="24">
        <v>-34464.66</v>
      </c>
      <c r="L81" s="24"/>
      <c r="M81" s="24">
        <f t="shared" si="15"/>
        <v>112040554.21000001</v>
      </c>
      <c r="N81" s="4" t="s">
        <v>149</v>
      </c>
      <c r="O81" s="4" t="s">
        <v>150</v>
      </c>
    </row>
    <row r="82" spans="1:15" ht="15.75">
      <c r="A82" s="18">
        <v>1410200</v>
      </c>
      <c r="B82" t="s">
        <v>151</v>
      </c>
      <c r="C82" s="4" t="s">
        <v>152</v>
      </c>
      <c r="D82" s="4" t="s">
        <v>153</v>
      </c>
      <c r="E82" s="4"/>
      <c r="F82" s="23">
        <f>235873118.15-483253.42</f>
        <v>235389864.73000002</v>
      </c>
      <c r="G82" s="10"/>
      <c r="H82" s="75">
        <f t="shared" si="14"/>
        <v>131652640.82</v>
      </c>
      <c r="I82" s="23">
        <v>140919444.32</v>
      </c>
      <c r="J82" s="24">
        <v>-8783550.08</v>
      </c>
      <c r="K82" s="24">
        <v>-483253.42</v>
      </c>
      <c r="L82" s="24"/>
      <c r="M82" s="24">
        <f t="shared" si="15"/>
        <v>131652640.82</v>
      </c>
      <c r="N82" s="4" t="s">
        <v>152</v>
      </c>
      <c r="O82" s="4" t="s">
        <v>153</v>
      </c>
    </row>
    <row r="83" spans="1:15" ht="15.75">
      <c r="A83" s="18">
        <v>1410200</v>
      </c>
      <c r="B83" s="53" t="s">
        <v>154</v>
      </c>
      <c r="C83" s="4" t="s">
        <v>155</v>
      </c>
      <c r="D83" s="4" t="s">
        <v>156</v>
      </c>
      <c r="E83" s="4"/>
      <c r="F83" s="23">
        <v>80590797.35</v>
      </c>
      <c r="G83" s="10"/>
      <c r="H83" s="75">
        <f t="shared" si="14"/>
        <v>29579861.3</v>
      </c>
      <c r="I83" s="23">
        <f>31663723.71+1349489.61</f>
        <v>33013213.32</v>
      </c>
      <c r="J83" s="24">
        <v>-3433352.02</v>
      </c>
      <c r="K83" s="24"/>
      <c r="L83" s="24"/>
      <c r="M83" s="24">
        <f t="shared" si="15"/>
        <v>29579861.3</v>
      </c>
      <c r="N83" s="4" t="s">
        <v>155</v>
      </c>
      <c r="O83" s="4" t="s">
        <v>156</v>
      </c>
    </row>
    <row r="84" spans="1:15" ht="15.75">
      <c r="A84" s="18">
        <v>1410200</v>
      </c>
      <c r="B84" t="s">
        <v>157</v>
      </c>
      <c r="C84" s="4" t="s">
        <v>158</v>
      </c>
      <c r="D84" s="4" t="s">
        <v>159</v>
      </c>
      <c r="E84" s="4"/>
      <c r="F84" s="23">
        <v>38402240.84</v>
      </c>
      <c r="G84" s="10"/>
      <c r="H84" s="75">
        <f t="shared" si="14"/>
        <v>9687745.25</v>
      </c>
      <c r="I84" s="23">
        <v>13668149.07</v>
      </c>
      <c r="J84" s="24">
        <v>-3980403.82</v>
      </c>
      <c r="K84" s="24"/>
      <c r="L84" s="24"/>
      <c r="M84" s="24">
        <f t="shared" si="15"/>
        <v>9687745.25</v>
      </c>
      <c r="N84" s="4" t="s">
        <v>158</v>
      </c>
      <c r="O84" s="4" t="s">
        <v>159</v>
      </c>
    </row>
    <row r="85" spans="1:15" ht="15.75">
      <c r="A85" s="18">
        <v>1410200</v>
      </c>
      <c r="B85" t="s">
        <v>160</v>
      </c>
      <c r="C85" s="4" t="s">
        <v>161</v>
      </c>
      <c r="D85" s="4" t="s">
        <v>162</v>
      </c>
      <c r="E85" s="4"/>
      <c r="F85" s="23">
        <f>5897177.25-20308.5</f>
        <v>5876868.75</v>
      </c>
      <c r="G85" s="10"/>
      <c r="H85" s="75">
        <f t="shared" si="14"/>
        <v>7848260.3100000005</v>
      </c>
      <c r="I85" s="23">
        <v>9738717.57</v>
      </c>
      <c r="J85" s="24">
        <v>-1870148.76</v>
      </c>
      <c r="K85" s="24">
        <v>-20308.5</v>
      </c>
      <c r="L85" s="24"/>
      <c r="M85" s="24">
        <f t="shared" si="15"/>
        <v>7848260.3100000005</v>
      </c>
      <c r="N85" s="4" t="s">
        <v>161</v>
      </c>
      <c r="O85" s="4" t="s">
        <v>163</v>
      </c>
    </row>
    <row r="86" spans="1:15" ht="15.75">
      <c r="A86" s="18">
        <v>1410200</v>
      </c>
      <c r="B86" t="s">
        <v>386</v>
      </c>
      <c r="C86" s="4" t="s">
        <v>165</v>
      </c>
      <c r="D86" s="4" t="s">
        <v>166</v>
      </c>
      <c r="E86" s="4"/>
      <c r="F86" s="23">
        <v>0</v>
      </c>
      <c r="G86" s="10"/>
      <c r="H86" s="75">
        <f t="shared" si="14"/>
        <v>0</v>
      </c>
      <c r="I86" s="23">
        <v>0</v>
      </c>
      <c r="J86" s="24">
        <v>0</v>
      </c>
      <c r="K86" s="24"/>
      <c r="L86" s="24"/>
      <c r="M86" s="24">
        <f t="shared" si="15"/>
        <v>0</v>
      </c>
      <c r="N86" s="4" t="s">
        <v>165</v>
      </c>
      <c r="O86" s="4" t="s">
        <v>167</v>
      </c>
    </row>
    <row r="87" spans="1:15" ht="15.75">
      <c r="A87" s="18">
        <v>1410200</v>
      </c>
      <c r="B87" t="s">
        <v>168</v>
      </c>
      <c r="C87" s="4" t="s">
        <v>169</v>
      </c>
      <c r="D87" s="4" t="s">
        <v>170</v>
      </c>
      <c r="E87" s="4"/>
      <c r="F87" s="54">
        <f>23427850.84-335899.18</f>
        <v>23091951.66</v>
      </c>
      <c r="G87" s="10"/>
      <c r="H87" s="76">
        <f t="shared" si="14"/>
        <v>16312790.17</v>
      </c>
      <c r="I87" s="54">
        <v>20428259.66</v>
      </c>
      <c r="J87" s="28">
        <v>-3779570.31</v>
      </c>
      <c r="K87" s="43">
        <v>-335899.18</v>
      </c>
      <c r="L87" s="28"/>
      <c r="M87" s="43">
        <f t="shared" si="15"/>
        <v>16312790.17</v>
      </c>
      <c r="N87" s="4" t="s">
        <v>169</v>
      </c>
      <c r="O87" s="4" t="s">
        <v>171</v>
      </c>
    </row>
    <row r="88" spans="6:13" ht="15.75">
      <c r="F88" s="35"/>
      <c r="H88" s="35"/>
      <c r="I88" s="24"/>
      <c r="J88" s="24"/>
      <c r="K88" s="24"/>
      <c r="L88" s="24"/>
      <c r="M88" s="24"/>
    </row>
    <row r="89" spans="4:15" ht="15.75">
      <c r="D89" s="4" t="s">
        <v>172</v>
      </c>
      <c r="E89" s="4"/>
      <c r="F89" s="33">
        <f>SUM(F71:F87)</f>
        <v>3333395143.290001</v>
      </c>
      <c r="G89" s="20" t="s">
        <v>1</v>
      </c>
      <c r="H89" s="33">
        <f aca="true" t="shared" si="16" ref="H89:M89">SUM(H71:H87)</f>
        <v>1444573490.36</v>
      </c>
      <c r="I89" s="28">
        <f t="shared" si="16"/>
        <v>1679933928.4199998</v>
      </c>
      <c r="J89" s="28">
        <f t="shared" si="16"/>
        <v>-225926387.93</v>
      </c>
      <c r="K89" s="28">
        <f t="shared" si="16"/>
        <v>-9434050.13</v>
      </c>
      <c r="L89" s="28">
        <f t="shared" si="16"/>
        <v>0</v>
      </c>
      <c r="M89" s="28">
        <f t="shared" si="16"/>
        <v>1444573490.36</v>
      </c>
      <c r="O89" s="4" t="s">
        <v>172</v>
      </c>
    </row>
    <row r="90" spans="6:13" ht="15.75">
      <c r="F90" s="20" t="s">
        <v>1</v>
      </c>
      <c r="H90" s="20" t="s">
        <v>1</v>
      </c>
      <c r="I90" s="31" t="s">
        <v>1</v>
      </c>
      <c r="J90" s="31" t="s">
        <v>1</v>
      </c>
      <c r="K90" s="31"/>
      <c r="L90" s="31"/>
      <c r="M90" s="31" t="s">
        <v>1</v>
      </c>
    </row>
    <row r="91" spans="6:13" ht="15.75">
      <c r="F91" s="20"/>
      <c r="H91" s="20"/>
      <c r="I91" s="31"/>
      <c r="J91" s="31"/>
      <c r="K91" s="31"/>
      <c r="L91" s="31"/>
      <c r="M91" s="31"/>
    </row>
    <row r="92" spans="6:13" ht="15.75">
      <c r="F92" s="20"/>
      <c r="H92" s="20" t="s">
        <v>1</v>
      </c>
      <c r="I92" s="31"/>
      <c r="J92" s="31"/>
      <c r="K92" s="31"/>
      <c r="L92" s="31"/>
      <c r="M92" s="31"/>
    </row>
    <row r="93" spans="1:15" ht="15.75">
      <c r="A93" s="18">
        <v>1410200</v>
      </c>
      <c r="B93" s="96" t="s">
        <v>382</v>
      </c>
      <c r="C93" s="4" t="s">
        <v>173</v>
      </c>
      <c r="D93" s="4" t="s">
        <v>96</v>
      </c>
      <c r="E93" s="4"/>
      <c r="F93" s="23">
        <v>1572702.95</v>
      </c>
      <c r="G93" s="10"/>
      <c r="H93" s="75">
        <f aca="true" t="shared" si="17" ref="H93:H104">$M93</f>
        <v>0</v>
      </c>
      <c r="I93" s="23">
        <v>0</v>
      </c>
      <c r="J93" s="24"/>
      <c r="K93" s="24"/>
      <c r="L93" s="24"/>
      <c r="M93" s="24">
        <f aca="true" t="shared" si="18" ref="M93:M104">SUM(I93:L93)</f>
        <v>0</v>
      </c>
      <c r="N93" s="4" t="s">
        <v>173</v>
      </c>
      <c r="O93" s="4" t="s">
        <v>36</v>
      </c>
    </row>
    <row r="94" spans="1:15" ht="15.75">
      <c r="A94" s="18">
        <v>1410200</v>
      </c>
      <c r="B94" t="s">
        <v>164</v>
      </c>
      <c r="C94" s="4" t="s">
        <v>174</v>
      </c>
      <c r="D94" s="4" t="s">
        <v>39</v>
      </c>
      <c r="E94" s="4"/>
      <c r="F94" s="37">
        <v>0</v>
      </c>
      <c r="G94" s="10"/>
      <c r="H94" s="75">
        <f t="shared" si="17"/>
        <v>0</v>
      </c>
      <c r="I94" s="23">
        <v>0</v>
      </c>
      <c r="J94" s="24">
        <v>0</v>
      </c>
      <c r="K94" s="24"/>
      <c r="L94" s="24"/>
      <c r="M94" s="24">
        <f t="shared" si="18"/>
        <v>0</v>
      </c>
      <c r="N94" s="4" t="s">
        <v>174</v>
      </c>
      <c r="O94" s="4" t="s">
        <v>39</v>
      </c>
    </row>
    <row r="95" spans="1:15" ht="15.75">
      <c r="A95" s="18">
        <v>1410200</v>
      </c>
      <c r="B95" t="s">
        <v>175</v>
      </c>
      <c r="C95" s="4" t="s">
        <v>176</v>
      </c>
      <c r="D95" s="4" t="s">
        <v>42</v>
      </c>
      <c r="E95" s="4"/>
      <c r="F95" s="23">
        <v>24498433.78</v>
      </c>
      <c r="G95" s="10"/>
      <c r="H95" s="75">
        <f t="shared" si="17"/>
        <v>8755516.36</v>
      </c>
      <c r="I95" s="23">
        <v>8873877.33</v>
      </c>
      <c r="J95" s="24">
        <v>-118360.97</v>
      </c>
      <c r="K95" s="24"/>
      <c r="L95" s="24"/>
      <c r="M95" s="24">
        <f t="shared" si="18"/>
        <v>8755516.36</v>
      </c>
      <c r="N95" s="4" t="s">
        <v>176</v>
      </c>
      <c r="O95" s="4" t="s">
        <v>42</v>
      </c>
    </row>
    <row r="96" spans="1:15" ht="15.75">
      <c r="A96" s="18">
        <v>1410200</v>
      </c>
      <c r="B96" t="s">
        <v>177</v>
      </c>
      <c r="C96" s="4" t="s">
        <v>178</v>
      </c>
      <c r="D96" s="4" t="s">
        <v>179</v>
      </c>
      <c r="E96" s="4"/>
      <c r="F96" s="23">
        <v>0</v>
      </c>
      <c r="G96" s="10"/>
      <c r="H96" s="75">
        <f t="shared" si="17"/>
        <v>49884.21</v>
      </c>
      <c r="I96" s="23">
        <v>0</v>
      </c>
      <c r="J96" s="24">
        <v>49884.21</v>
      </c>
      <c r="K96" s="24"/>
      <c r="L96" s="24"/>
      <c r="M96" s="24">
        <f t="shared" si="18"/>
        <v>49884.21</v>
      </c>
      <c r="N96" s="4" t="s">
        <v>178</v>
      </c>
      <c r="O96" s="4" t="s">
        <v>180</v>
      </c>
    </row>
    <row r="97" spans="1:15" ht="15.75">
      <c r="A97" s="18">
        <v>1410200</v>
      </c>
      <c r="B97" t="s">
        <v>181</v>
      </c>
      <c r="C97" s="4" t="s">
        <v>182</v>
      </c>
      <c r="D97" s="4" t="s">
        <v>183</v>
      </c>
      <c r="E97" s="4"/>
      <c r="F97" s="23">
        <v>175978.94</v>
      </c>
      <c r="G97" s="10"/>
      <c r="H97" s="75">
        <f t="shared" si="17"/>
        <v>118313.39</v>
      </c>
      <c r="I97" s="23">
        <v>120474.66</v>
      </c>
      <c r="J97" s="24">
        <v>-2161.27</v>
      </c>
      <c r="K97" s="24"/>
      <c r="L97" s="24"/>
      <c r="M97" s="24">
        <f t="shared" si="18"/>
        <v>118313.39</v>
      </c>
      <c r="N97" s="4" t="s">
        <v>182</v>
      </c>
      <c r="O97" s="4" t="s">
        <v>180</v>
      </c>
    </row>
    <row r="98" spans="1:15" ht="15.75">
      <c r="A98" s="18">
        <v>1410200</v>
      </c>
      <c r="B98" t="s">
        <v>383</v>
      </c>
      <c r="C98" s="4" t="s">
        <v>184</v>
      </c>
      <c r="D98" s="4" t="s">
        <v>185</v>
      </c>
      <c r="E98" s="4"/>
      <c r="F98" s="23">
        <v>54330.97</v>
      </c>
      <c r="G98" s="10"/>
      <c r="H98" s="75">
        <f t="shared" si="17"/>
        <v>43453.21</v>
      </c>
      <c r="I98" s="23">
        <v>43240.92</v>
      </c>
      <c r="J98" s="24">
        <v>212.29</v>
      </c>
      <c r="K98" s="24"/>
      <c r="L98" s="24"/>
      <c r="M98" s="24">
        <f t="shared" si="18"/>
        <v>43453.21</v>
      </c>
      <c r="N98" s="4" t="s">
        <v>184</v>
      </c>
      <c r="O98" s="4" t="s">
        <v>185</v>
      </c>
    </row>
    <row r="99" spans="1:15" ht="15.75">
      <c r="A99" s="18">
        <v>1410200</v>
      </c>
      <c r="B99" t="s">
        <v>186</v>
      </c>
      <c r="C99" s="4" t="s">
        <v>187</v>
      </c>
      <c r="D99" s="4" t="s">
        <v>188</v>
      </c>
      <c r="E99" s="4"/>
      <c r="F99" s="23">
        <v>10357660.84</v>
      </c>
      <c r="G99" s="10"/>
      <c r="H99" s="75">
        <f t="shared" si="17"/>
        <v>3539492.87</v>
      </c>
      <c r="I99" s="23">
        <v>3622366.14</v>
      </c>
      <c r="J99" s="24">
        <v>-82873.27</v>
      </c>
      <c r="K99" s="24"/>
      <c r="L99" s="24"/>
      <c r="M99" s="24">
        <f t="shared" si="18"/>
        <v>3539492.87</v>
      </c>
      <c r="N99" s="4" t="s">
        <v>187</v>
      </c>
      <c r="O99" s="4" t="s">
        <v>188</v>
      </c>
    </row>
    <row r="100" spans="1:15" ht="15.75">
      <c r="A100" s="18">
        <v>1410200</v>
      </c>
      <c r="B100" t="s">
        <v>189</v>
      </c>
      <c r="C100" s="4" t="s">
        <v>190</v>
      </c>
      <c r="D100" s="4" t="s">
        <v>191</v>
      </c>
      <c r="E100" s="4"/>
      <c r="F100" s="23">
        <v>578489.11</v>
      </c>
      <c r="G100" s="10"/>
      <c r="H100" s="75">
        <f t="shared" si="17"/>
        <v>283424.34</v>
      </c>
      <c r="I100" s="23">
        <v>293664.58</v>
      </c>
      <c r="J100" s="24">
        <v>-10240.24</v>
      </c>
      <c r="K100" s="24"/>
      <c r="L100" s="24"/>
      <c r="M100" s="24">
        <f t="shared" si="18"/>
        <v>283424.34</v>
      </c>
      <c r="N100" s="4" t="s">
        <v>190</v>
      </c>
      <c r="O100" s="4" t="s">
        <v>191</v>
      </c>
    </row>
    <row r="101" spans="1:15" ht="15.75">
      <c r="A101" s="18">
        <v>1410200</v>
      </c>
      <c r="B101" t="s">
        <v>384</v>
      </c>
      <c r="C101" s="4" t="s">
        <v>192</v>
      </c>
      <c r="D101" s="4" t="s">
        <v>193</v>
      </c>
      <c r="E101" s="4"/>
      <c r="F101" s="23">
        <v>487294.07</v>
      </c>
      <c r="G101" s="10"/>
      <c r="H101" s="75">
        <f t="shared" si="17"/>
        <v>143652.55000000002</v>
      </c>
      <c r="I101" s="23">
        <v>201251.73</v>
      </c>
      <c r="J101" s="24">
        <v>-57599.18</v>
      </c>
      <c r="K101" s="24"/>
      <c r="L101" s="24"/>
      <c r="M101" s="24">
        <f t="shared" si="18"/>
        <v>143652.55000000002</v>
      </c>
      <c r="N101" s="4" t="s">
        <v>192</v>
      </c>
      <c r="O101" s="4" t="s">
        <v>193</v>
      </c>
    </row>
    <row r="102" spans="1:15" ht="15.75">
      <c r="A102" s="18">
        <v>1410200</v>
      </c>
      <c r="B102" t="s">
        <v>194</v>
      </c>
      <c r="C102" s="4" t="s">
        <v>195</v>
      </c>
      <c r="D102" s="4" t="s">
        <v>196</v>
      </c>
      <c r="E102" s="4"/>
      <c r="F102" s="23">
        <v>92161.75</v>
      </c>
      <c r="G102" s="10"/>
      <c r="H102" s="75">
        <f t="shared" si="17"/>
        <v>149134.49</v>
      </c>
      <c r="I102" s="23">
        <v>149134.49</v>
      </c>
      <c r="J102" s="24"/>
      <c r="K102" s="24"/>
      <c r="L102" s="24"/>
      <c r="M102" s="24">
        <f t="shared" si="18"/>
        <v>149134.49</v>
      </c>
      <c r="N102" s="4" t="s">
        <v>195</v>
      </c>
      <c r="O102" s="4" t="s">
        <v>196</v>
      </c>
    </row>
    <row r="103" spans="1:15" ht="15.75">
      <c r="A103" s="18">
        <v>1410200</v>
      </c>
      <c r="B103" s="45" t="s">
        <v>197</v>
      </c>
      <c r="C103" s="4" t="s">
        <v>198</v>
      </c>
      <c r="D103" s="4" t="s">
        <v>199</v>
      </c>
      <c r="E103" s="4"/>
      <c r="F103" s="37">
        <v>88010540.51</v>
      </c>
      <c r="G103" s="10"/>
      <c r="H103" s="75">
        <f t="shared" si="17"/>
        <v>38071115.65</v>
      </c>
      <c r="I103" s="23">
        <f>36087242.75+4037250.47</f>
        <v>40124493.22</v>
      </c>
      <c r="J103" s="24">
        <f>-1773083.56-280294.01</f>
        <v>-2053377.57</v>
      </c>
      <c r="K103" s="24"/>
      <c r="L103" s="24"/>
      <c r="M103" s="24">
        <f t="shared" si="18"/>
        <v>38071115.65</v>
      </c>
      <c r="N103" s="4" t="s">
        <v>198</v>
      </c>
      <c r="O103" s="4" t="s">
        <v>199</v>
      </c>
    </row>
    <row r="104" spans="1:15" ht="15.75">
      <c r="A104" s="18">
        <v>1410200</v>
      </c>
      <c r="B104" t="s">
        <v>200</v>
      </c>
      <c r="C104" s="4" t="s">
        <v>201</v>
      </c>
      <c r="D104" s="4" t="s">
        <v>202</v>
      </c>
      <c r="E104" s="4"/>
      <c r="F104" s="54">
        <v>293120.67</v>
      </c>
      <c r="G104" s="10"/>
      <c r="H104" s="76">
        <f t="shared" si="17"/>
        <v>-123020.82</v>
      </c>
      <c r="I104" s="27">
        <v>41998.37</v>
      </c>
      <c r="J104" s="28">
        <v>-165019.19</v>
      </c>
      <c r="K104" s="28"/>
      <c r="L104" s="28"/>
      <c r="M104" s="43">
        <f t="shared" si="18"/>
        <v>-123020.82</v>
      </c>
      <c r="N104" s="4" t="s">
        <v>201</v>
      </c>
      <c r="O104" s="4" t="s">
        <v>202</v>
      </c>
    </row>
    <row r="105" spans="6:13" ht="15.75">
      <c r="F105" s="20" t="s">
        <v>1</v>
      </c>
      <c r="H105" s="35" t="s">
        <v>1</v>
      </c>
      <c r="I105" s="31" t="s">
        <v>1</v>
      </c>
      <c r="J105" s="31" t="s">
        <v>1</v>
      </c>
      <c r="K105" s="31"/>
      <c r="L105" s="31"/>
      <c r="M105" s="31" t="s">
        <v>1</v>
      </c>
    </row>
    <row r="106" spans="4:15" ht="15.75">
      <c r="D106" s="4" t="s">
        <v>203</v>
      </c>
      <c r="E106" s="4"/>
      <c r="F106" s="33">
        <f>SUM(F93:F104)</f>
        <v>126120713.59000002</v>
      </c>
      <c r="H106" s="33">
        <f aca="true" t="shared" si="19" ref="H106:M106">SUM(H93:H104)</f>
        <v>51030966.25</v>
      </c>
      <c r="I106" s="28">
        <f t="shared" si="19"/>
        <v>53470501.44</v>
      </c>
      <c r="J106" s="28">
        <f t="shared" si="19"/>
        <v>-2439535.19</v>
      </c>
      <c r="K106" s="28">
        <f t="shared" si="19"/>
        <v>0</v>
      </c>
      <c r="L106" s="28">
        <f t="shared" si="19"/>
        <v>0</v>
      </c>
      <c r="M106" s="28">
        <f t="shared" si="19"/>
        <v>51030966.25</v>
      </c>
      <c r="O106" s="4" t="s">
        <v>203</v>
      </c>
    </row>
    <row r="107" spans="6:13" ht="15.75">
      <c r="F107" s="20" t="s">
        <v>1</v>
      </c>
      <c r="H107" s="20" t="s">
        <v>1</v>
      </c>
      <c r="I107" s="31" t="s">
        <v>1</v>
      </c>
      <c r="J107" s="31" t="s">
        <v>1</v>
      </c>
      <c r="K107" s="31"/>
      <c r="L107" s="31"/>
      <c r="M107" s="31" t="s">
        <v>1</v>
      </c>
    </row>
    <row r="108" spans="6:13" ht="15.75">
      <c r="F108" s="35"/>
      <c r="H108" s="35"/>
      <c r="I108" s="24"/>
      <c r="J108" s="24"/>
      <c r="K108" s="24"/>
      <c r="L108" s="24"/>
      <c r="M108" s="24"/>
    </row>
    <row r="109" spans="3:15" ht="15.75">
      <c r="C109" s="4" t="s">
        <v>204</v>
      </c>
      <c r="D109" s="4" t="s">
        <v>205</v>
      </c>
      <c r="E109" s="4"/>
      <c r="F109" s="33">
        <f>F18+F55+F68+F89+F106</f>
        <v>5777944017.900002</v>
      </c>
      <c r="H109" s="33">
        <f aca="true" t="shared" si="20" ref="H109:M109">H18+H55+H68+H89+H106</f>
        <v>3113160145.54</v>
      </c>
      <c r="I109" s="33">
        <f t="shared" si="20"/>
        <v>3383801356.4999995</v>
      </c>
      <c r="J109" s="33">
        <f t="shared" si="20"/>
        <v>-260892516.44</v>
      </c>
      <c r="K109" s="28">
        <f t="shared" si="20"/>
        <v>-9748694.520000001</v>
      </c>
      <c r="L109" s="28">
        <f t="shared" si="20"/>
        <v>0</v>
      </c>
      <c r="M109" s="33">
        <f t="shared" si="20"/>
        <v>3113160145.54</v>
      </c>
      <c r="N109" s="4" t="s">
        <v>204</v>
      </c>
      <c r="O109" s="4" t="s">
        <v>205</v>
      </c>
    </row>
    <row r="110" spans="3:14" ht="15.75">
      <c r="C110" s="8" t="s">
        <v>206</v>
      </c>
      <c r="F110" s="35"/>
      <c r="H110" s="20" t="s">
        <v>1</v>
      </c>
      <c r="I110" s="24"/>
      <c r="J110" s="24"/>
      <c r="K110" s="24"/>
      <c r="L110" s="24"/>
      <c r="M110" s="24"/>
      <c r="N110" s="8" t="s">
        <v>206</v>
      </c>
    </row>
    <row r="111" spans="3:14" ht="15.75">
      <c r="C111" s="4" t="s">
        <v>1</v>
      </c>
      <c r="F111" s="35"/>
      <c r="H111" s="35"/>
      <c r="I111" s="24"/>
      <c r="J111" s="24"/>
      <c r="K111" s="24"/>
      <c r="L111" s="24"/>
      <c r="M111" s="24"/>
      <c r="N111" s="4" t="s">
        <v>1</v>
      </c>
    </row>
    <row r="112" spans="1:15" ht="15.75">
      <c r="A112" s="18">
        <v>1410000</v>
      </c>
      <c r="B112" t="s">
        <v>207</v>
      </c>
      <c r="C112" s="39" t="s">
        <v>27</v>
      </c>
      <c r="D112" s="4" t="s">
        <v>208</v>
      </c>
      <c r="E112" s="4"/>
      <c r="F112" s="21">
        <v>86104.2</v>
      </c>
      <c r="G112" s="4"/>
      <c r="H112" s="77">
        <f>$M112</f>
        <v>86104.2</v>
      </c>
      <c r="I112" s="23">
        <v>86104.2</v>
      </c>
      <c r="J112" s="24"/>
      <c r="K112" s="24"/>
      <c r="L112" s="24"/>
      <c r="M112" s="24">
        <f>SUM(I112:L112)</f>
        <v>86104.2</v>
      </c>
      <c r="N112" s="4" t="s">
        <v>27</v>
      </c>
      <c r="O112" s="4" t="s">
        <v>208</v>
      </c>
    </row>
    <row r="113" spans="1:15" ht="15.75">
      <c r="A113" s="18">
        <v>1410000</v>
      </c>
      <c r="B113" t="s">
        <v>209</v>
      </c>
      <c r="C113" s="4" t="s">
        <v>31</v>
      </c>
      <c r="D113" s="39" t="s">
        <v>210</v>
      </c>
      <c r="E113" s="4"/>
      <c r="F113" s="54">
        <v>713558.74</v>
      </c>
      <c r="H113" s="76">
        <f>$M113</f>
        <v>549740.03</v>
      </c>
      <c r="I113" s="27">
        <v>549740.03</v>
      </c>
      <c r="J113" s="28"/>
      <c r="K113" s="28"/>
      <c r="L113" s="28"/>
      <c r="M113" s="43">
        <f>SUM(I113:L113)</f>
        <v>549740.03</v>
      </c>
      <c r="N113" s="4" t="s">
        <v>31</v>
      </c>
      <c r="O113" s="4" t="s">
        <v>211</v>
      </c>
    </row>
    <row r="114" spans="4:15" ht="15.75">
      <c r="D114" s="4" t="s">
        <v>1</v>
      </c>
      <c r="E114" s="4"/>
      <c r="F114" s="20" t="s">
        <v>1</v>
      </c>
      <c r="H114" s="35" t="s">
        <v>1</v>
      </c>
      <c r="I114" s="31" t="s">
        <v>1</v>
      </c>
      <c r="J114" s="31" t="s">
        <v>1</v>
      </c>
      <c r="K114" s="31"/>
      <c r="L114" s="31"/>
      <c r="M114" s="31" t="s">
        <v>212</v>
      </c>
      <c r="O114" s="4" t="s">
        <v>213</v>
      </c>
    </row>
    <row r="115" spans="6:13" ht="15.75">
      <c r="F115" s="35"/>
      <c r="H115" s="35"/>
      <c r="I115" s="24"/>
      <c r="J115" s="24"/>
      <c r="K115" s="24"/>
      <c r="L115" s="24"/>
      <c r="M115" s="24"/>
    </row>
    <row r="116" spans="4:15" ht="15.75">
      <c r="D116" s="4" t="s">
        <v>33</v>
      </c>
      <c r="E116" s="4"/>
      <c r="F116" s="33">
        <f>SUM(F112:F113)</f>
        <v>799662.94</v>
      </c>
      <c r="H116" s="33">
        <f aca="true" t="shared" si="21" ref="H116:M116">SUM(H112:H113)</f>
        <v>635844.23</v>
      </c>
      <c r="I116" s="28">
        <f t="shared" si="21"/>
        <v>635844.23</v>
      </c>
      <c r="J116" s="28">
        <f t="shared" si="21"/>
        <v>0</v>
      </c>
      <c r="K116" s="28">
        <f t="shared" si="21"/>
        <v>0</v>
      </c>
      <c r="L116" s="28">
        <f t="shared" si="21"/>
        <v>0</v>
      </c>
      <c r="M116" s="28">
        <f t="shared" si="21"/>
        <v>635844.23</v>
      </c>
      <c r="O116" s="4" t="s">
        <v>33</v>
      </c>
    </row>
    <row r="117" spans="6:13" ht="15.75">
      <c r="F117" s="20" t="s">
        <v>1</v>
      </c>
      <c r="H117" s="20" t="s">
        <v>1</v>
      </c>
      <c r="I117" s="31" t="s">
        <v>1</v>
      </c>
      <c r="J117" s="31" t="s">
        <v>1</v>
      </c>
      <c r="K117" s="31"/>
      <c r="L117" s="31"/>
      <c r="M117" s="31" t="s">
        <v>1</v>
      </c>
    </row>
    <row r="118" spans="6:13" ht="15.75">
      <c r="F118" s="35"/>
      <c r="I118" s="24"/>
      <c r="J118" s="24"/>
      <c r="K118" s="24"/>
      <c r="L118" s="24"/>
      <c r="M118" s="24"/>
    </row>
    <row r="119" spans="1:15" ht="15.75">
      <c r="A119" s="18">
        <v>1410000</v>
      </c>
      <c r="B119" t="s">
        <v>214</v>
      </c>
      <c r="C119" s="4" t="s">
        <v>125</v>
      </c>
      <c r="D119" s="4" t="s">
        <v>36</v>
      </c>
      <c r="E119" s="4"/>
      <c r="F119" s="41">
        <f>VLOOKUP(B119,'[1]September 2005 Acquisition'!$A$1:$B$121,2,FALSE)</f>
        <v>0</v>
      </c>
      <c r="H119" s="75">
        <f aca="true" t="shared" si="22" ref="H119:H129">$M119</f>
        <v>0</v>
      </c>
      <c r="I119" s="23">
        <v>0</v>
      </c>
      <c r="J119" s="24"/>
      <c r="K119" s="24"/>
      <c r="L119" s="24"/>
      <c r="M119" s="24">
        <f aca="true" t="shared" si="23" ref="M119:M129">SUM(I119:L119)</f>
        <v>0</v>
      </c>
      <c r="N119" s="4" t="s">
        <v>125</v>
      </c>
      <c r="O119" s="4" t="s">
        <v>36</v>
      </c>
    </row>
    <row r="120" spans="1:15" ht="15.75">
      <c r="A120" s="18">
        <v>1410000</v>
      </c>
      <c r="B120" t="s">
        <v>215</v>
      </c>
      <c r="C120" s="4" t="s">
        <v>129</v>
      </c>
      <c r="D120" s="4" t="s">
        <v>42</v>
      </c>
      <c r="E120" s="4"/>
      <c r="F120" s="41">
        <v>412997.65</v>
      </c>
      <c r="H120" s="75">
        <f t="shared" si="22"/>
        <v>554836.4099999999</v>
      </c>
      <c r="I120" s="23">
        <v>554833.09</v>
      </c>
      <c r="J120" s="24">
        <v>3.32</v>
      </c>
      <c r="K120" s="24"/>
      <c r="L120" s="24"/>
      <c r="M120" s="24">
        <f t="shared" si="23"/>
        <v>554836.4099999999</v>
      </c>
      <c r="N120" s="4" t="s">
        <v>129</v>
      </c>
      <c r="O120" s="4" t="s">
        <v>42</v>
      </c>
    </row>
    <row r="121" spans="1:15" ht="15.75">
      <c r="A121" s="18">
        <v>1410000</v>
      </c>
      <c r="B121" t="s">
        <v>216</v>
      </c>
      <c r="C121" s="4" t="s">
        <v>217</v>
      </c>
      <c r="D121" s="4" t="s">
        <v>218</v>
      </c>
      <c r="E121" s="4"/>
      <c r="F121" s="41">
        <v>989282.66</v>
      </c>
      <c r="H121" s="75">
        <f t="shared" si="22"/>
        <v>1012573.22</v>
      </c>
      <c r="I121" s="23">
        <v>1012567.49</v>
      </c>
      <c r="J121" s="24">
        <v>5.73</v>
      </c>
      <c r="K121" s="24"/>
      <c r="L121" s="24"/>
      <c r="M121" s="24">
        <f t="shared" si="23"/>
        <v>1012573.22</v>
      </c>
      <c r="N121" s="4" t="s">
        <v>217</v>
      </c>
      <c r="O121" s="4" t="s">
        <v>218</v>
      </c>
    </row>
    <row r="122" spans="1:15" ht="15.75">
      <c r="A122" s="18">
        <v>1410000</v>
      </c>
      <c r="B122" t="s">
        <v>164</v>
      </c>
      <c r="C122" s="4" t="s">
        <v>219</v>
      </c>
      <c r="D122" s="4" t="s">
        <v>220</v>
      </c>
      <c r="E122" s="4"/>
      <c r="F122" s="37">
        <v>0</v>
      </c>
      <c r="H122" s="75">
        <f t="shared" si="22"/>
        <v>0</v>
      </c>
      <c r="I122" s="23">
        <v>0</v>
      </c>
      <c r="J122" s="24"/>
      <c r="K122" s="24"/>
      <c r="L122" s="24"/>
      <c r="M122" s="24">
        <f t="shared" si="23"/>
        <v>0</v>
      </c>
      <c r="N122" s="4" t="s">
        <v>219</v>
      </c>
      <c r="O122" s="4" t="s">
        <v>221</v>
      </c>
    </row>
    <row r="123" spans="1:15" ht="15.75">
      <c r="A123" s="18">
        <v>1410000</v>
      </c>
      <c r="B123" t="s">
        <v>164</v>
      </c>
      <c r="C123" s="4" t="s">
        <v>222</v>
      </c>
      <c r="D123" s="4" t="s">
        <v>223</v>
      </c>
      <c r="E123" s="4"/>
      <c r="F123" s="37">
        <v>0</v>
      </c>
      <c r="H123" s="75">
        <f t="shared" si="22"/>
        <v>0</v>
      </c>
      <c r="I123" s="23">
        <v>0</v>
      </c>
      <c r="J123" s="24"/>
      <c r="K123" s="24"/>
      <c r="L123" s="24"/>
      <c r="M123" s="24">
        <f t="shared" si="23"/>
        <v>0</v>
      </c>
      <c r="N123" s="4" t="s">
        <v>222</v>
      </c>
      <c r="O123" s="4" t="s">
        <v>223</v>
      </c>
    </row>
    <row r="124" spans="1:15" ht="15.75">
      <c r="A124" s="18">
        <v>1410000</v>
      </c>
      <c r="B124" t="s">
        <v>164</v>
      </c>
      <c r="C124" s="4" t="s">
        <v>224</v>
      </c>
      <c r="D124" s="4" t="s">
        <v>225</v>
      </c>
      <c r="E124" s="4"/>
      <c r="F124" s="37">
        <v>0</v>
      </c>
      <c r="H124" s="75">
        <f t="shared" si="22"/>
        <v>0</v>
      </c>
      <c r="I124" s="23">
        <v>0</v>
      </c>
      <c r="J124" s="24"/>
      <c r="K124" s="24"/>
      <c r="L124" s="24"/>
      <c r="M124" s="24">
        <f t="shared" si="23"/>
        <v>0</v>
      </c>
      <c r="N124" s="4" t="s">
        <v>224</v>
      </c>
      <c r="O124" s="4" t="s">
        <v>225</v>
      </c>
    </row>
    <row r="125" spans="1:15" ht="15.75">
      <c r="A125" s="18">
        <v>1410000</v>
      </c>
      <c r="B125" t="s">
        <v>164</v>
      </c>
      <c r="C125" s="4" t="s">
        <v>226</v>
      </c>
      <c r="D125" s="4" t="s">
        <v>227</v>
      </c>
      <c r="E125" s="4"/>
      <c r="F125" s="37">
        <v>0</v>
      </c>
      <c r="H125" s="75">
        <f t="shared" si="22"/>
        <v>0</v>
      </c>
      <c r="I125" s="23">
        <v>0</v>
      </c>
      <c r="J125" s="24"/>
      <c r="K125" s="24"/>
      <c r="L125" s="24"/>
      <c r="M125" s="24">
        <f t="shared" si="23"/>
        <v>0</v>
      </c>
      <c r="N125" s="4" t="s">
        <v>226</v>
      </c>
      <c r="O125" s="4" t="s">
        <v>227</v>
      </c>
    </row>
    <row r="126" spans="1:15" ht="15.75">
      <c r="A126" s="18">
        <v>1410000</v>
      </c>
      <c r="B126" t="s">
        <v>228</v>
      </c>
      <c r="C126" s="4" t="s">
        <v>229</v>
      </c>
      <c r="D126" s="4" t="s">
        <v>230</v>
      </c>
      <c r="E126" s="4"/>
      <c r="F126" s="41">
        <v>558650.5</v>
      </c>
      <c r="H126" s="75">
        <f t="shared" si="22"/>
        <v>612454.55</v>
      </c>
      <c r="I126" s="23">
        <v>610639.74</v>
      </c>
      <c r="J126" s="24">
        <v>1814.81</v>
      </c>
      <c r="K126" s="24"/>
      <c r="L126" s="24"/>
      <c r="M126" s="24">
        <f t="shared" si="23"/>
        <v>612454.55</v>
      </c>
      <c r="N126" s="4" t="s">
        <v>229</v>
      </c>
      <c r="O126" s="4" t="s">
        <v>230</v>
      </c>
    </row>
    <row r="127" spans="1:15" ht="15.75">
      <c r="A127" s="18">
        <v>1410000</v>
      </c>
      <c r="B127" t="s">
        <v>164</v>
      </c>
      <c r="C127" s="4" t="s">
        <v>231</v>
      </c>
      <c r="D127" s="4" t="s">
        <v>232</v>
      </c>
      <c r="E127" s="4"/>
      <c r="F127" s="37">
        <v>0</v>
      </c>
      <c r="H127" s="75">
        <f t="shared" si="22"/>
        <v>0</v>
      </c>
      <c r="I127" s="23">
        <v>0</v>
      </c>
      <c r="J127" s="24"/>
      <c r="K127" s="24"/>
      <c r="L127" s="24"/>
      <c r="M127" s="24">
        <f t="shared" si="23"/>
        <v>0</v>
      </c>
      <c r="N127" s="4" t="s">
        <v>231</v>
      </c>
      <c r="O127" s="4" t="s">
        <v>233</v>
      </c>
    </row>
    <row r="128" spans="1:15" ht="15.75">
      <c r="A128" s="18">
        <v>1410000</v>
      </c>
      <c r="B128" t="s">
        <v>164</v>
      </c>
      <c r="C128" s="4" t="s">
        <v>234</v>
      </c>
      <c r="D128" s="4" t="s">
        <v>235</v>
      </c>
      <c r="E128" s="4"/>
      <c r="F128" s="37">
        <v>0</v>
      </c>
      <c r="H128" s="75">
        <f t="shared" si="22"/>
        <v>0</v>
      </c>
      <c r="I128" s="23">
        <v>0</v>
      </c>
      <c r="J128" s="24"/>
      <c r="K128" s="24"/>
      <c r="L128" s="24"/>
      <c r="M128" s="24">
        <f t="shared" si="23"/>
        <v>0</v>
      </c>
      <c r="N128" s="4" t="s">
        <v>234</v>
      </c>
      <c r="O128" s="4" t="s">
        <v>235</v>
      </c>
    </row>
    <row r="129" spans="1:15" ht="15.75">
      <c r="A129" s="18">
        <v>1410000</v>
      </c>
      <c r="B129" t="s">
        <v>236</v>
      </c>
      <c r="C129" s="4" t="s">
        <v>237</v>
      </c>
      <c r="D129" s="4" t="s">
        <v>238</v>
      </c>
      <c r="E129" s="4"/>
      <c r="F129" s="54">
        <v>407546.31</v>
      </c>
      <c r="H129" s="76">
        <f t="shared" si="22"/>
        <v>323545.7</v>
      </c>
      <c r="I129" s="27">
        <v>323545.65</v>
      </c>
      <c r="J129" s="28">
        <v>0.05</v>
      </c>
      <c r="K129" s="28"/>
      <c r="L129" s="28"/>
      <c r="M129" s="43">
        <f t="shared" si="23"/>
        <v>323545.7</v>
      </c>
      <c r="N129" s="4" t="s">
        <v>237</v>
      </c>
      <c r="O129" s="4" t="s">
        <v>239</v>
      </c>
    </row>
    <row r="130" spans="6:13" ht="15.75">
      <c r="F130" s="35"/>
      <c r="H130" s="35"/>
      <c r="I130" s="52" t="s">
        <v>240</v>
      </c>
      <c r="J130" s="24"/>
      <c r="K130" s="24"/>
      <c r="L130" s="24"/>
      <c r="M130" s="24"/>
    </row>
    <row r="131" spans="4:15" ht="15.75">
      <c r="D131" s="4" t="s">
        <v>241</v>
      </c>
      <c r="E131" s="4"/>
      <c r="F131" s="33">
        <f>SUM(F119:F129)</f>
        <v>2368477.12</v>
      </c>
      <c r="H131" s="33">
        <f aca="true" t="shared" si="24" ref="H131:M131">SUM(H119:H129)</f>
        <v>2503409.88</v>
      </c>
      <c r="I131" s="28">
        <f t="shared" si="24"/>
        <v>2501585.97</v>
      </c>
      <c r="J131" s="28">
        <f t="shared" si="24"/>
        <v>1823.9099999999999</v>
      </c>
      <c r="K131" s="28">
        <f t="shared" si="24"/>
        <v>0</v>
      </c>
      <c r="L131" s="28">
        <f t="shared" si="24"/>
        <v>0</v>
      </c>
      <c r="M131" s="28">
        <f t="shared" si="24"/>
        <v>2503409.88</v>
      </c>
      <c r="O131" s="4" t="s">
        <v>241</v>
      </c>
    </row>
    <row r="132" spans="6:13" ht="15.75">
      <c r="F132" s="20" t="s">
        <v>1</v>
      </c>
      <c r="H132" s="20"/>
      <c r="I132" s="31" t="s">
        <v>1</v>
      </c>
      <c r="J132" s="31" t="s">
        <v>1</v>
      </c>
      <c r="K132" s="31"/>
      <c r="L132" s="31"/>
      <c r="M132" s="31" t="s">
        <v>1</v>
      </c>
    </row>
    <row r="133" spans="9:13" ht="15.75">
      <c r="I133" s="24"/>
      <c r="J133" s="24"/>
      <c r="K133" s="24"/>
      <c r="L133" s="24"/>
      <c r="M133" s="24"/>
    </row>
    <row r="134" spans="6:13" ht="15.75">
      <c r="F134" s="35"/>
      <c r="H134" s="35"/>
      <c r="I134" s="24"/>
      <c r="J134" s="24"/>
      <c r="K134" s="24"/>
      <c r="L134" s="24"/>
      <c r="M134" s="24"/>
    </row>
    <row r="135" spans="1:15" ht="15.75">
      <c r="A135" s="18">
        <v>1410000</v>
      </c>
      <c r="B135" t="s">
        <v>242</v>
      </c>
      <c r="C135" s="4" t="s">
        <v>243</v>
      </c>
      <c r="D135" s="4" t="s">
        <v>96</v>
      </c>
      <c r="E135" s="4"/>
      <c r="F135" s="41">
        <v>4649143.75</v>
      </c>
      <c r="H135" s="75">
        <f aca="true" t="shared" si="25" ref="H135:H141">$M135</f>
        <v>0</v>
      </c>
      <c r="I135" s="23">
        <v>0</v>
      </c>
      <c r="J135" s="24"/>
      <c r="K135" s="24"/>
      <c r="L135" s="24"/>
      <c r="M135" s="24">
        <f aca="true" t="shared" si="26" ref="M135:M141">SUM(I135:L135)</f>
        <v>0</v>
      </c>
      <c r="N135" s="4" t="s">
        <v>243</v>
      </c>
      <c r="O135" s="4" t="s">
        <v>36</v>
      </c>
    </row>
    <row r="136" spans="1:15" ht="15.75">
      <c r="A136" s="18">
        <v>1410000</v>
      </c>
      <c r="B136" t="s">
        <v>244</v>
      </c>
      <c r="C136" s="4" t="s">
        <v>245</v>
      </c>
      <c r="D136" s="4" t="s">
        <v>39</v>
      </c>
      <c r="E136" s="4"/>
      <c r="F136" s="41">
        <v>2217185.28</v>
      </c>
      <c r="H136" s="75">
        <f t="shared" si="25"/>
        <v>922455.12</v>
      </c>
      <c r="I136" s="23">
        <v>922455.12</v>
      </c>
      <c r="J136" s="24"/>
      <c r="K136" s="24"/>
      <c r="L136" s="24"/>
      <c r="M136" s="24">
        <f t="shared" si="26"/>
        <v>922455.12</v>
      </c>
      <c r="N136" s="4" t="s">
        <v>245</v>
      </c>
      <c r="O136" s="4" t="s">
        <v>39</v>
      </c>
    </row>
    <row r="137" spans="1:15" ht="15.75">
      <c r="A137" s="18">
        <v>1410000</v>
      </c>
      <c r="B137" t="s">
        <v>246</v>
      </c>
      <c r="C137" s="4" t="s">
        <v>138</v>
      </c>
      <c r="D137" s="4" t="s">
        <v>42</v>
      </c>
      <c r="E137" s="4"/>
      <c r="F137" s="41">
        <v>10680724.72</v>
      </c>
      <c r="H137" s="75">
        <f t="shared" si="25"/>
        <v>6709514.37</v>
      </c>
      <c r="I137" s="23">
        <v>6709514.29</v>
      </c>
      <c r="J137" s="24">
        <v>0.08</v>
      </c>
      <c r="K137" s="24"/>
      <c r="L137" s="24"/>
      <c r="M137" s="24">
        <f t="shared" si="26"/>
        <v>6709514.37</v>
      </c>
      <c r="N137" s="4" t="s">
        <v>138</v>
      </c>
      <c r="O137" s="4" t="s">
        <v>42</v>
      </c>
    </row>
    <row r="138" spans="1:15" ht="15.75">
      <c r="A138" s="18">
        <v>1410000</v>
      </c>
      <c r="B138" t="s">
        <v>247</v>
      </c>
      <c r="C138" s="4" t="s">
        <v>140</v>
      </c>
      <c r="D138" s="4" t="s">
        <v>248</v>
      </c>
      <c r="E138" s="4"/>
      <c r="F138" s="41">
        <v>119009351.64</v>
      </c>
      <c r="H138" s="75">
        <f t="shared" si="25"/>
        <v>41791943.42</v>
      </c>
      <c r="I138" s="23">
        <v>41821427.43</v>
      </c>
      <c r="J138" s="24">
        <v>-29484.01</v>
      </c>
      <c r="K138" s="24"/>
      <c r="L138" s="24"/>
      <c r="M138" s="24">
        <f t="shared" si="26"/>
        <v>41791943.42</v>
      </c>
      <c r="N138" s="4" t="s">
        <v>140</v>
      </c>
      <c r="O138" s="4" t="s">
        <v>248</v>
      </c>
    </row>
    <row r="139" spans="1:15" ht="15.75">
      <c r="A139" s="18">
        <v>1410000</v>
      </c>
      <c r="B139" t="s">
        <v>249</v>
      </c>
      <c r="C139" s="4" t="s">
        <v>250</v>
      </c>
      <c r="D139" s="4" t="s">
        <v>251</v>
      </c>
      <c r="E139" s="4"/>
      <c r="F139" s="41">
        <v>59997587.43</v>
      </c>
      <c r="H139" s="75">
        <f t="shared" si="25"/>
        <v>32327447.790000003</v>
      </c>
      <c r="I139" s="23">
        <v>32719813.19</v>
      </c>
      <c r="J139" s="24">
        <v>-392365.4</v>
      </c>
      <c r="K139" s="24"/>
      <c r="L139" s="24"/>
      <c r="M139" s="24">
        <f t="shared" si="26"/>
        <v>32327447.790000003</v>
      </c>
      <c r="N139" s="4" t="s">
        <v>250</v>
      </c>
      <c r="O139" s="4" t="s">
        <v>251</v>
      </c>
    </row>
    <row r="140" spans="1:15" ht="15.75">
      <c r="A140" s="18">
        <v>1410000</v>
      </c>
      <c r="B140" t="s">
        <v>252</v>
      </c>
      <c r="C140" s="4" t="s">
        <v>253</v>
      </c>
      <c r="D140" s="4" t="s">
        <v>232</v>
      </c>
      <c r="E140" s="4"/>
      <c r="F140" s="41">
        <v>14366390.09</v>
      </c>
      <c r="H140" s="75">
        <f t="shared" si="25"/>
        <v>8493475.479999999</v>
      </c>
      <c r="I140" s="23">
        <v>8544036.62</v>
      </c>
      <c r="J140" s="24">
        <v>-50561.14</v>
      </c>
      <c r="K140" s="24"/>
      <c r="L140" s="24"/>
      <c r="M140" s="24">
        <f t="shared" si="26"/>
        <v>8493475.479999999</v>
      </c>
      <c r="N140" s="4" t="s">
        <v>253</v>
      </c>
      <c r="O140" s="4" t="s">
        <v>233</v>
      </c>
    </row>
    <row r="141" spans="1:15" ht="15.75">
      <c r="A141" s="18">
        <v>1410000</v>
      </c>
      <c r="C141" s="4" t="s">
        <v>161</v>
      </c>
      <c r="D141" s="4" t="s">
        <v>235</v>
      </c>
      <c r="E141" s="4"/>
      <c r="F141" s="25">
        <v>0</v>
      </c>
      <c r="H141" s="76">
        <f t="shared" si="25"/>
        <v>0</v>
      </c>
      <c r="I141" s="27">
        <v>0</v>
      </c>
      <c r="J141" s="28"/>
      <c r="K141" s="28"/>
      <c r="L141" s="28"/>
      <c r="M141" s="43">
        <f t="shared" si="26"/>
        <v>0</v>
      </c>
      <c r="N141" s="4" t="s">
        <v>161</v>
      </c>
      <c r="O141" s="4" t="s">
        <v>235</v>
      </c>
    </row>
    <row r="142" spans="6:13" ht="15.75">
      <c r="F142" s="20" t="s">
        <v>1</v>
      </c>
      <c r="H142" s="35" t="s">
        <v>1</v>
      </c>
      <c r="I142" s="31" t="s">
        <v>1</v>
      </c>
      <c r="J142" s="31" t="s">
        <v>1</v>
      </c>
      <c r="K142" s="31"/>
      <c r="L142" s="31"/>
      <c r="M142" s="31" t="s">
        <v>1</v>
      </c>
    </row>
    <row r="143" spans="4:15" ht="15.75">
      <c r="D143" s="4" t="s">
        <v>254</v>
      </c>
      <c r="E143" s="4"/>
      <c r="F143" s="33">
        <f>SUM(F135:F141)</f>
        <v>210920382.91</v>
      </c>
      <c r="G143" s="56" t="s">
        <v>1</v>
      </c>
      <c r="H143" s="33">
        <f aca="true" t="shared" si="27" ref="H143:M143">SUM(H135:H141)</f>
        <v>90244836.18</v>
      </c>
      <c r="I143" s="28">
        <f t="shared" si="27"/>
        <v>90717246.65</v>
      </c>
      <c r="J143" s="28">
        <f t="shared" si="27"/>
        <v>-472410.47000000003</v>
      </c>
      <c r="K143" s="28">
        <f t="shared" si="27"/>
        <v>0</v>
      </c>
      <c r="L143" s="28">
        <f t="shared" si="27"/>
        <v>0</v>
      </c>
      <c r="M143" s="28">
        <f t="shared" si="27"/>
        <v>90244836.18</v>
      </c>
      <c r="O143" s="4" t="s">
        <v>254</v>
      </c>
    </row>
    <row r="144" spans="6:13" ht="15.75">
      <c r="F144" s="20" t="s">
        <v>1</v>
      </c>
      <c r="H144" s="20"/>
      <c r="I144" s="31" t="s">
        <v>1</v>
      </c>
      <c r="J144" s="31" t="s">
        <v>1</v>
      </c>
      <c r="K144" s="31"/>
      <c r="L144" s="31"/>
      <c r="M144" s="31" t="s">
        <v>1</v>
      </c>
    </row>
    <row r="145" spans="6:13" ht="15.75">
      <c r="F145" s="35"/>
      <c r="H145" s="35"/>
      <c r="I145" s="24"/>
      <c r="J145" s="24"/>
      <c r="K145" s="24"/>
      <c r="L145" s="24"/>
      <c r="M145" s="24"/>
    </row>
    <row r="146" spans="1:15" ht="15.75">
      <c r="A146" s="18">
        <v>1410000</v>
      </c>
      <c r="B146" t="s">
        <v>255</v>
      </c>
      <c r="C146" s="4" t="s">
        <v>256</v>
      </c>
      <c r="D146" s="4" t="s">
        <v>36</v>
      </c>
      <c r="E146" s="4"/>
      <c r="F146" s="41">
        <v>102187.24</v>
      </c>
      <c r="H146" s="75">
        <f aca="true" t="shared" si="28" ref="H146:H156">$M146</f>
        <v>0</v>
      </c>
      <c r="I146" s="23">
        <v>0</v>
      </c>
      <c r="J146" s="24"/>
      <c r="K146" s="24"/>
      <c r="L146" s="24"/>
      <c r="M146" s="24">
        <f aca="true" t="shared" si="29" ref="M146:M156">SUM(I146:L146)</f>
        <v>0</v>
      </c>
      <c r="N146" s="4" t="s">
        <v>256</v>
      </c>
      <c r="O146" s="4" t="s">
        <v>36</v>
      </c>
    </row>
    <row r="147" spans="1:15" ht="15.75">
      <c r="A147" s="18">
        <v>1410000</v>
      </c>
      <c r="B147" t="s">
        <v>257</v>
      </c>
      <c r="C147" s="4" t="s">
        <v>258</v>
      </c>
      <c r="D147" s="4" t="s">
        <v>39</v>
      </c>
      <c r="E147" s="4"/>
      <c r="F147" s="41">
        <v>7707034.76</v>
      </c>
      <c r="H147" s="75">
        <f t="shared" si="28"/>
        <v>4472590.06</v>
      </c>
      <c r="I147" s="23">
        <v>4482214.84</v>
      </c>
      <c r="J147" s="24">
        <v>-9624.78</v>
      </c>
      <c r="K147" s="24"/>
      <c r="L147" s="24"/>
      <c r="M147" s="24">
        <f t="shared" si="29"/>
        <v>4472590.06</v>
      </c>
      <c r="N147" s="4" t="s">
        <v>258</v>
      </c>
      <c r="O147" s="4" t="s">
        <v>39</v>
      </c>
    </row>
    <row r="148" spans="1:15" ht="15.75">
      <c r="A148" s="18">
        <v>1410000</v>
      </c>
      <c r="B148" t="s">
        <v>259</v>
      </c>
      <c r="C148" s="4" t="s">
        <v>260</v>
      </c>
      <c r="D148" s="4" t="s">
        <v>42</v>
      </c>
      <c r="E148" s="4"/>
      <c r="F148" s="41">
        <v>43446.91</v>
      </c>
      <c r="H148" s="75">
        <f t="shared" si="28"/>
        <v>61253.1</v>
      </c>
      <c r="I148" s="23">
        <v>61253.1</v>
      </c>
      <c r="J148" s="24"/>
      <c r="K148" s="24"/>
      <c r="L148" s="24"/>
      <c r="M148" s="24">
        <f t="shared" si="29"/>
        <v>61253.1</v>
      </c>
      <c r="N148" s="4" t="s">
        <v>260</v>
      </c>
      <c r="O148" s="4" t="s">
        <v>42</v>
      </c>
    </row>
    <row r="149" spans="1:15" ht="15.75">
      <c r="A149" s="18">
        <v>1410000</v>
      </c>
      <c r="B149" t="s">
        <v>385</v>
      </c>
      <c r="C149" s="4" t="s">
        <v>261</v>
      </c>
      <c r="D149" s="4" t="s">
        <v>248</v>
      </c>
      <c r="E149" s="4"/>
      <c r="F149" s="41">
        <f>461872212.06-284056.4</f>
        <v>461588155.66</v>
      </c>
      <c r="H149" s="75">
        <f t="shared" si="28"/>
        <v>242523609.38</v>
      </c>
      <c r="I149" s="23">
        <v>246482453.85</v>
      </c>
      <c r="J149" s="24">
        <v>-3674788.07</v>
      </c>
      <c r="K149" s="24">
        <v>-284056.4</v>
      </c>
      <c r="L149" s="24"/>
      <c r="M149" s="24">
        <f t="shared" si="29"/>
        <v>242523609.38</v>
      </c>
      <c r="N149" s="4" t="s">
        <v>261</v>
      </c>
      <c r="O149" s="4" t="s">
        <v>248</v>
      </c>
    </row>
    <row r="150" spans="1:15" ht="15.75">
      <c r="A150" s="18">
        <v>1410000</v>
      </c>
      <c r="B150" t="s">
        <v>262</v>
      </c>
      <c r="C150" s="4" t="s">
        <v>263</v>
      </c>
      <c r="D150" s="4" t="s">
        <v>264</v>
      </c>
      <c r="E150" s="4"/>
      <c r="F150" s="41">
        <v>8028088.84</v>
      </c>
      <c r="H150" s="75">
        <f t="shared" si="28"/>
        <v>5195600.6</v>
      </c>
      <c r="I150" s="23">
        <v>5201060.02</v>
      </c>
      <c r="J150" s="24">
        <v>-5459.42</v>
      </c>
      <c r="K150" s="24"/>
      <c r="L150" s="24"/>
      <c r="M150" s="24">
        <f t="shared" si="29"/>
        <v>5195600.6</v>
      </c>
      <c r="N150" s="4" t="s">
        <v>263</v>
      </c>
      <c r="O150" s="4" t="s">
        <v>265</v>
      </c>
    </row>
    <row r="151" spans="1:15" ht="15.75">
      <c r="A151" s="18">
        <v>1410000</v>
      </c>
      <c r="B151" t="s">
        <v>266</v>
      </c>
      <c r="C151" s="4" t="s">
        <v>267</v>
      </c>
      <c r="D151" s="4" t="s">
        <v>268</v>
      </c>
      <c r="E151" s="4"/>
      <c r="F151" s="41">
        <f>220082247.99-63067.03</f>
        <v>220019180.96</v>
      </c>
      <c r="H151" s="75">
        <f t="shared" si="28"/>
        <v>228484289.98</v>
      </c>
      <c r="I151" s="23">
        <v>230113594.38</v>
      </c>
      <c r="J151" s="24">
        <v>-1566237.37</v>
      </c>
      <c r="K151" s="24">
        <v>-63067.03</v>
      </c>
      <c r="L151" s="24"/>
      <c r="M151" s="24">
        <f t="shared" si="29"/>
        <v>228484289.98</v>
      </c>
      <c r="N151" s="4" t="s">
        <v>267</v>
      </c>
      <c r="O151" s="4" t="s">
        <v>269</v>
      </c>
    </row>
    <row r="152" spans="1:15" ht="15.75">
      <c r="A152" s="18">
        <v>1410000</v>
      </c>
      <c r="B152" t="s">
        <v>270</v>
      </c>
      <c r="C152" s="4" t="s">
        <v>271</v>
      </c>
      <c r="D152" s="4" t="s">
        <v>272</v>
      </c>
      <c r="E152" s="4"/>
      <c r="F152" s="41">
        <v>66536984.35</v>
      </c>
      <c r="H152" s="75">
        <f t="shared" si="28"/>
        <v>30414751.869999997</v>
      </c>
      <c r="I152" s="23">
        <v>31733436.95</v>
      </c>
      <c r="J152" s="24">
        <v>-1318685.08</v>
      </c>
      <c r="K152" s="24"/>
      <c r="L152" s="24"/>
      <c r="M152" s="24">
        <f t="shared" si="29"/>
        <v>30414751.869999997</v>
      </c>
      <c r="N152" s="4" t="s">
        <v>271</v>
      </c>
      <c r="O152" s="4" t="s">
        <v>272</v>
      </c>
    </row>
    <row r="153" spans="1:15" ht="15.75">
      <c r="A153" s="18">
        <v>1410000</v>
      </c>
      <c r="B153" t="s">
        <v>273</v>
      </c>
      <c r="C153" s="4" t="s">
        <v>274</v>
      </c>
      <c r="D153" s="4" t="s">
        <v>275</v>
      </c>
      <c r="E153" s="4"/>
      <c r="F153" s="41">
        <v>55902125.44</v>
      </c>
      <c r="H153" s="75">
        <f t="shared" si="28"/>
        <v>21999828.65</v>
      </c>
      <c r="I153" s="23">
        <v>24760485.39</v>
      </c>
      <c r="J153" s="24">
        <v>-2760656.74</v>
      </c>
      <c r="K153" s="24"/>
      <c r="L153" s="24"/>
      <c r="M153" s="24">
        <f t="shared" si="29"/>
        <v>21999828.65</v>
      </c>
      <c r="N153" s="4" t="s">
        <v>274</v>
      </c>
      <c r="O153" s="4" t="s">
        <v>276</v>
      </c>
    </row>
    <row r="154" spans="1:15" ht="15.75">
      <c r="A154" s="18">
        <v>1410000</v>
      </c>
      <c r="B154" t="s">
        <v>277</v>
      </c>
      <c r="C154" s="4" t="s">
        <v>278</v>
      </c>
      <c r="D154" s="4" t="s">
        <v>279</v>
      </c>
      <c r="E154" s="4"/>
      <c r="F154" s="41">
        <v>1516810.7</v>
      </c>
      <c r="H154" s="75">
        <f t="shared" si="28"/>
        <v>651572.99</v>
      </c>
      <c r="I154" s="23">
        <v>654561.5</v>
      </c>
      <c r="J154" s="24">
        <v>-2988.51</v>
      </c>
      <c r="K154" s="24"/>
      <c r="L154" s="24"/>
      <c r="M154" s="24">
        <f t="shared" si="29"/>
        <v>651572.99</v>
      </c>
      <c r="N154" s="4" t="s">
        <v>278</v>
      </c>
      <c r="O154" s="4" t="s">
        <v>280</v>
      </c>
    </row>
    <row r="155" spans="1:15" ht="15.75">
      <c r="A155" s="18">
        <v>1410000</v>
      </c>
      <c r="C155" s="39" t="s">
        <v>281</v>
      </c>
      <c r="D155" s="4" t="s">
        <v>282</v>
      </c>
      <c r="E155" s="4"/>
      <c r="F155" s="37">
        <v>0</v>
      </c>
      <c r="H155" s="75">
        <f t="shared" si="28"/>
        <v>0</v>
      </c>
      <c r="I155" s="23">
        <v>0</v>
      </c>
      <c r="J155" s="24"/>
      <c r="K155" s="24"/>
      <c r="L155" s="24"/>
      <c r="M155" s="24">
        <f t="shared" si="29"/>
        <v>0</v>
      </c>
      <c r="N155" s="4" t="s">
        <v>281</v>
      </c>
      <c r="O155" s="4" t="s">
        <v>283</v>
      </c>
    </row>
    <row r="156" spans="1:15" ht="15.75">
      <c r="A156" s="18">
        <v>1410000</v>
      </c>
      <c r="B156" s="45" t="s">
        <v>284</v>
      </c>
      <c r="C156" s="4" t="s">
        <v>285</v>
      </c>
      <c r="D156" s="4" t="s">
        <v>235</v>
      </c>
      <c r="E156" s="4"/>
      <c r="F156" s="25">
        <v>4446936.38</v>
      </c>
      <c r="G156" s="56"/>
      <c r="H156" s="76">
        <f t="shared" si="28"/>
        <v>3709510.08</v>
      </c>
      <c r="I156" s="54">
        <f>72059.54+3041075.59+658196.33</f>
        <v>3771331.46</v>
      </c>
      <c r="J156" s="28">
        <v>-61821.38</v>
      </c>
      <c r="K156" s="28"/>
      <c r="L156" s="28"/>
      <c r="M156" s="43">
        <f t="shared" si="29"/>
        <v>3709510.08</v>
      </c>
      <c r="N156" s="4" t="s">
        <v>285</v>
      </c>
      <c r="O156" s="4" t="s">
        <v>235</v>
      </c>
    </row>
    <row r="157" spans="6:13" ht="15.75">
      <c r="F157" s="20" t="s">
        <v>1</v>
      </c>
      <c r="H157" s="35" t="s">
        <v>1</v>
      </c>
      <c r="I157" s="31" t="s">
        <v>1</v>
      </c>
      <c r="J157" s="31" t="s">
        <v>1</v>
      </c>
      <c r="K157" s="31"/>
      <c r="L157" s="31"/>
      <c r="M157" s="31" t="s">
        <v>1</v>
      </c>
    </row>
    <row r="158" spans="4:15" ht="15.75">
      <c r="D158" s="4" t="s">
        <v>172</v>
      </c>
      <c r="E158" s="4"/>
      <c r="F158" s="33">
        <f>SUM(F146:F156)</f>
        <v>825890951.2400001</v>
      </c>
      <c r="G158" s="56"/>
      <c r="H158" s="33">
        <f aca="true" t="shared" si="30" ref="H158:M158">SUM(H146:H156)</f>
        <v>537513006.71</v>
      </c>
      <c r="I158" s="28">
        <f t="shared" si="30"/>
        <v>547260391.49</v>
      </c>
      <c r="J158" s="28">
        <f t="shared" si="30"/>
        <v>-9400261.350000001</v>
      </c>
      <c r="K158" s="28">
        <f t="shared" si="30"/>
        <v>-347123.43000000005</v>
      </c>
      <c r="L158" s="28">
        <f t="shared" si="30"/>
        <v>0</v>
      </c>
      <c r="M158" s="28">
        <f t="shared" si="30"/>
        <v>537513006.71</v>
      </c>
      <c r="O158" s="4" t="s">
        <v>172</v>
      </c>
    </row>
    <row r="159" spans="1:15" ht="15.75">
      <c r="A159" s="18">
        <v>1410000</v>
      </c>
      <c r="B159" t="s">
        <v>286</v>
      </c>
      <c r="C159" s="4" t="s">
        <v>178</v>
      </c>
      <c r="D159" s="4" t="s">
        <v>179</v>
      </c>
      <c r="E159" s="4"/>
      <c r="F159" s="51">
        <v>0</v>
      </c>
      <c r="G159" s="74"/>
      <c r="H159" s="77">
        <f aca="true" t="shared" si="31" ref="H159:H166">$M159</f>
        <v>25503</v>
      </c>
      <c r="I159" s="23">
        <v>0</v>
      </c>
      <c r="J159" s="24">
        <v>25503</v>
      </c>
      <c r="K159" s="24"/>
      <c r="L159" s="24"/>
      <c r="M159" s="24">
        <f aca="true" t="shared" si="32" ref="M159:M166">SUM(I159:L159)</f>
        <v>25503</v>
      </c>
      <c r="N159" s="4" t="s">
        <v>178</v>
      </c>
      <c r="O159" s="4" t="s">
        <v>180</v>
      </c>
    </row>
    <row r="160" spans="1:15" ht="15.75">
      <c r="A160" s="18">
        <v>1410000</v>
      </c>
      <c r="B160" t="s">
        <v>287</v>
      </c>
      <c r="C160" s="4" t="s">
        <v>182</v>
      </c>
      <c r="D160" s="4" t="s">
        <v>288</v>
      </c>
      <c r="E160" s="4"/>
      <c r="F160" s="41">
        <v>76209.95</v>
      </c>
      <c r="H160" s="75">
        <f t="shared" si="31"/>
        <v>76210.08</v>
      </c>
      <c r="I160" s="23">
        <v>76209.95</v>
      </c>
      <c r="J160" s="24">
        <v>0.13</v>
      </c>
      <c r="K160" s="24"/>
      <c r="L160" s="24"/>
      <c r="M160" s="24">
        <f t="shared" si="32"/>
        <v>76210.08</v>
      </c>
      <c r="N160" s="4" t="s">
        <v>182</v>
      </c>
      <c r="O160" s="4" t="s">
        <v>180</v>
      </c>
    </row>
    <row r="161" spans="1:15" ht="15.75">
      <c r="A161" s="18">
        <v>1410000</v>
      </c>
      <c r="B161" t="s">
        <v>289</v>
      </c>
      <c r="C161" s="4" t="s">
        <v>187</v>
      </c>
      <c r="D161" s="4" t="s">
        <v>188</v>
      </c>
      <c r="E161" s="4"/>
      <c r="F161" s="41">
        <v>5803444.93</v>
      </c>
      <c r="H161" s="75">
        <f t="shared" si="31"/>
        <v>1569073.78</v>
      </c>
      <c r="I161" s="23">
        <v>1923475.86</v>
      </c>
      <c r="J161" s="24">
        <v>-354402.08</v>
      </c>
      <c r="K161" s="24"/>
      <c r="L161" s="24"/>
      <c r="M161" s="24">
        <f t="shared" si="32"/>
        <v>1569073.78</v>
      </c>
      <c r="N161" s="4" t="s">
        <v>187</v>
      </c>
      <c r="O161" s="4" t="s">
        <v>188</v>
      </c>
    </row>
    <row r="162" spans="1:15" ht="15.75">
      <c r="A162" s="18">
        <v>1410000</v>
      </c>
      <c r="B162" t="s">
        <v>290</v>
      </c>
      <c r="C162" s="4" t="s">
        <v>190</v>
      </c>
      <c r="D162" s="4" t="s">
        <v>191</v>
      </c>
      <c r="E162" s="4"/>
      <c r="F162" s="41">
        <v>84597.08</v>
      </c>
      <c r="H162" s="75">
        <f t="shared" si="31"/>
        <v>-8246.029999999999</v>
      </c>
      <c r="I162" s="23">
        <v>14574.2</v>
      </c>
      <c r="J162" s="24">
        <v>-22820.23</v>
      </c>
      <c r="K162" s="24"/>
      <c r="L162" s="24"/>
      <c r="M162" s="24">
        <f t="shared" si="32"/>
        <v>-8246.029999999999</v>
      </c>
      <c r="N162" s="4" t="s">
        <v>190</v>
      </c>
      <c r="O162" s="4" t="s">
        <v>191</v>
      </c>
    </row>
    <row r="163" spans="1:15" ht="15.75">
      <c r="A163" s="18">
        <v>1410000</v>
      </c>
      <c r="B163" t="s">
        <v>291</v>
      </c>
      <c r="C163" s="4" t="s">
        <v>192</v>
      </c>
      <c r="D163" s="4" t="s">
        <v>193</v>
      </c>
      <c r="E163" s="4"/>
      <c r="F163" s="41">
        <v>363608.6</v>
      </c>
      <c r="H163" s="75">
        <f t="shared" si="31"/>
        <v>-192881.21999999997</v>
      </c>
      <c r="I163" s="23">
        <v>150352.82</v>
      </c>
      <c r="J163" s="24">
        <v>-343234.04</v>
      </c>
      <c r="K163" s="24"/>
      <c r="L163" s="24"/>
      <c r="M163" s="24">
        <f t="shared" si="32"/>
        <v>-192881.21999999997</v>
      </c>
      <c r="N163" s="4" t="s">
        <v>192</v>
      </c>
      <c r="O163" s="4" t="s">
        <v>193</v>
      </c>
    </row>
    <row r="164" spans="1:15" ht="15.75">
      <c r="A164" s="18">
        <v>1410000</v>
      </c>
      <c r="B164" t="s">
        <v>292</v>
      </c>
      <c r="C164" s="4" t="s">
        <v>195</v>
      </c>
      <c r="D164" s="4" t="s">
        <v>196</v>
      </c>
      <c r="E164" s="4"/>
      <c r="F164" s="41">
        <v>246939.44</v>
      </c>
      <c r="H164" s="75">
        <f t="shared" si="31"/>
        <v>23283.5</v>
      </c>
      <c r="I164" s="23">
        <v>23283.4</v>
      </c>
      <c r="J164" s="24">
        <v>0.1</v>
      </c>
      <c r="K164" s="24"/>
      <c r="L164" s="24"/>
      <c r="M164" s="24">
        <f t="shared" si="32"/>
        <v>23283.5</v>
      </c>
      <c r="N164" s="4" t="s">
        <v>195</v>
      </c>
      <c r="O164" s="4" t="s">
        <v>196</v>
      </c>
    </row>
    <row r="165" spans="1:15" ht="15.75">
      <c r="A165" s="18">
        <v>1410000</v>
      </c>
      <c r="B165" t="s">
        <v>293</v>
      </c>
      <c r="C165" s="4" t="s">
        <v>198</v>
      </c>
      <c r="D165" s="4" t="s">
        <v>199</v>
      </c>
      <c r="E165" s="4"/>
      <c r="F165" s="41">
        <v>3247090.06</v>
      </c>
      <c r="H165" s="75">
        <f t="shared" si="31"/>
        <v>1440270.5</v>
      </c>
      <c r="I165" s="23">
        <v>1688715.75</v>
      </c>
      <c r="J165" s="24">
        <v>-248445.25</v>
      </c>
      <c r="K165" s="24"/>
      <c r="L165" s="24"/>
      <c r="M165" s="24">
        <f t="shared" si="32"/>
        <v>1440270.5</v>
      </c>
      <c r="N165" s="4" t="s">
        <v>198</v>
      </c>
      <c r="O165" s="4" t="s">
        <v>199</v>
      </c>
    </row>
    <row r="166" spans="1:15" ht="15.75">
      <c r="A166" s="18">
        <v>1410000</v>
      </c>
      <c r="B166" t="s">
        <v>294</v>
      </c>
      <c r="C166" s="4" t="s">
        <v>201</v>
      </c>
      <c r="D166" s="4" t="s">
        <v>202</v>
      </c>
      <c r="E166" s="4"/>
      <c r="F166" s="54">
        <v>188371.11</v>
      </c>
      <c r="G166" s="56"/>
      <c r="H166" s="76">
        <f t="shared" si="31"/>
        <v>23359.440000000002</v>
      </c>
      <c r="I166" s="27">
        <v>100364.16</v>
      </c>
      <c r="J166" s="28">
        <v>-77004.72</v>
      </c>
      <c r="K166" s="28"/>
      <c r="L166" s="28"/>
      <c r="M166" s="43">
        <f t="shared" si="32"/>
        <v>23359.440000000002</v>
      </c>
      <c r="N166" s="4" t="s">
        <v>201</v>
      </c>
      <c r="O166" s="4" t="s">
        <v>202</v>
      </c>
    </row>
    <row r="167" spans="6:13" ht="15.75">
      <c r="F167" s="20" t="s">
        <v>1</v>
      </c>
      <c r="H167" s="35" t="s">
        <v>1</v>
      </c>
      <c r="I167" s="31"/>
      <c r="J167" s="31" t="s">
        <v>1</v>
      </c>
      <c r="K167" s="31"/>
      <c r="L167" s="31"/>
      <c r="M167" s="31" t="s">
        <v>1</v>
      </c>
    </row>
    <row r="168" spans="4:15" ht="15.75">
      <c r="D168" s="4" t="s">
        <v>203</v>
      </c>
      <c r="E168" s="4"/>
      <c r="F168" s="33">
        <f>SUM(F159:F166)</f>
        <v>10010261.17</v>
      </c>
      <c r="G168" s="56"/>
      <c r="H168" s="33">
        <f aca="true" t="shared" si="33" ref="H168:M168">SUM(H159:H166)</f>
        <v>2956573.0500000003</v>
      </c>
      <c r="I168" s="28">
        <f t="shared" si="33"/>
        <v>3976976.14</v>
      </c>
      <c r="J168" s="28">
        <f t="shared" si="33"/>
        <v>-1020403.09</v>
      </c>
      <c r="K168" s="28">
        <f t="shared" si="33"/>
        <v>0</v>
      </c>
      <c r="L168" s="28">
        <f t="shared" si="33"/>
        <v>0</v>
      </c>
      <c r="M168" s="28">
        <f t="shared" si="33"/>
        <v>2956573.0500000003</v>
      </c>
      <c r="O168" s="4" t="s">
        <v>203</v>
      </c>
    </row>
    <row r="169" spans="6:13" ht="15.75">
      <c r="F169" s="20" t="s">
        <v>1</v>
      </c>
      <c r="H169" s="20" t="s">
        <v>1</v>
      </c>
      <c r="I169" s="31" t="s">
        <v>1</v>
      </c>
      <c r="J169" s="31" t="s">
        <v>1</v>
      </c>
      <c r="K169" s="31"/>
      <c r="L169" s="31"/>
      <c r="M169" s="31" t="s">
        <v>1</v>
      </c>
    </row>
    <row r="170" spans="6:13" ht="15.75">
      <c r="F170" s="35"/>
      <c r="H170" s="35"/>
      <c r="I170" s="24"/>
      <c r="J170" s="24"/>
      <c r="K170" s="24"/>
      <c r="L170" s="24"/>
      <c r="M170" s="24"/>
    </row>
    <row r="171" spans="3:15" ht="15.75">
      <c r="C171" s="4" t="s">
        <v>204</v>
      </c>
      <c r="D171" s="4" t="s">
        <v>295</v>
      </c>
      <c r="E171" s="4"/>
      <c r="F171" s="33">
        <f>F116+F131+F143+F158+F168</f>
        <v>1049989735.3800001</v>
      </c>
      <c r="G171" s="56"/>
      <c r="H171" s="33">
        <f aca="true" t="shared" si="34" ref="H171:M171">H116+H131+H143+H158+H168</f>
        <v>633853670.05</v>
      </c>
      <c r="I171" s="28">
        <f t="shared" si="34"/>
        <v>645092044.48</v>
      </c>
      <c r="J171" s="28">
        <f t="shared" si="34"/>
        <v>-10891251.000000002</v>
      </c>
      <c r="K171" s="28">
        <f t="shared" si="34"/>
        <v>-347123.43000000005</v>
      </c>
      <c r="L171" s="28">
        <f t="shared" si="34"/>
        <v>0</v>
      </c>
      <c r="M171" s="28">
        <f t="shared" si="34"/>
        <v>633853670.05</v>
      </c>
      <c r="N171" s="4" t="s">
        <v>204</v>
      </c>
      <c r="O171" s="4" t="s">
        <v>295</v>
      </c>
    </row>
    <row r="172" spans="6:13" ht="15.75">
      <c r="F172" s="20"/>
      <c r="H172" s="20" t="s">
        <v>1</v>
      </c>
      <c r="I172" s="31" t="s">
        <v>1</v>
      </c>
      <c r="J172" s="31" t="s">
        <v>1</v>
      </c>
      <c r="K172" s="31"/>
      <c r="L172" s="31"/>
      <c r="M172" s="31" t="s">
        <v>1</v>
      </c>
    </row>
    <row r="173" spans="9:13" ht="15.75">
      <c r="I173" s="24"/>
      <c r="J173" s="24" t="s">
        <v>1</v>
      </c>
      <c r="K173" s="24"/>
      <c r="L173" s="24"/>
      <c r="M173" s="24"/>
    </row>
    <row r="174" spans="3:15" ht="15.75">
      <c r="C174" s="2"/>
      <c r="D174" s="57"/>
      <c r="E174" s="57"/>
      <c r="F174" s="57"/>
      <c r="G174" s="57"/>
      <c r="H174" s="57"/>
      <c r="I174" s="24"/>
      <c r="J174" s="24"/>
      <c r="K174" s="24"/>
      <c r="L174" s="24"/>
      <c r="M174" s="24"/>
      <c r="N174" s="2" t="s">
        <v>296</v>
      </c>
      <c r="O174" s="57"/>
    </row>
    <row r="175" spans="3:14" ht="15.75">
      <c r="C175" s="8" t="s">
        <v>297</v>
      </c>
      <c r="F175" s="35"/>
      <c r="H175" s="35"/>
      <c r="I175" s="24"/>
      <c r="J175" s="24"/>
      <c r="K175" s="24"/>
      <c r="L175" s="24"/>
      <c r="M175" s="24"/>
      <c r="N175" s="4" t="s">
        <v>1</v>
      </c>
    </row>
    <row r="176" spans="6:13" ht="15.75">
      <c r="F176" s="35"/>
      <c r="H176" s="35"/>
      <c r="I176" s="24"/>
      <c r="J176" s="24"/>
      <c r="K176" s="24"/>
      <c r="L176" s="24"/>
      <c r="M176" s="24"/>
    </row>
    <row r="177" spans="1:15" ht="15.75">
      <c r="A177" s="18">
        <v>1410900</v>
      </c>
      <c r="B177" t="s">
        <v>298</v>
      </c>
      <c r="C177" s="4" t="s">
        <v>31</v>
      </c>
      <c r="D177" s="4" t="s">
        <v>299</v>
      </c>
      <c r="E177" s="4"/>
      <c r="F177" s="37">
        <v>163191341.26</v>
      </c>
      <c r="H177" s="75">
        <f aca="true" t="shared" si="35" ref="H177:H194">$M177</f>
        <v>113316416.24</v>
      </c>
      <c r="I177" s="23">
        <v>113316416.24</v>
      </c>
      <c r="J177" s="24"/>
      <c r="K177" s="24"/>
      <c r="L177" s="24"/>
      <c r="M177" s="24">
        <f aca="true" t="shared" si="36" ref="M177:M194">SUM(I177:L177)</f>
        <v>113316416.24</v>
      </c>
      <c r="N177" s="4" t="s">
        <v>31</v>
      </c>
      <c r="O177" s="4" t="s">
        <v>210</v>
      </c>
    </row>
    <row r="178" spans="1:15" ht="15.75">
      <c r="A178" s="18">
        <v>1410900</v>
      </c>
      <c r="C178" s="4" t="s">
        <v>95</v>
      </c>
      <c r="D178" s="4" t="s">
        <v>36</v>
      </c>
      <c r="E178" s="4"/>
      <c r="F178" s="37">
        <v>0</v>
      </c>
      <c r="H178" s="75">
        <f t="shared" si="35"/>
        <v>0</v>
      </c>
      <c r="I178" s="23">
        <v>0</v>
      </c>
      <c r="J178" s="24"/>
      <c r="K178" s="24"/>
      <c r="L178" s="24"/>
      <c r="M178" s="24">
        <f t="shared" si="36"/>
        <v>0</v>
      </c>
      <c r="N178" s="4" t="s">
        <v>95</v>
      </c>
      <c r="O178" s="4" t="s">
        <v>36</v>
      </c>
    </row>
    <row r="179" spans="1:15" ht="15.75">
      <c r="A179" s="18">
        <v>1410900</v>
      </c>
      <c r="C179" s="4" t="s">
        <v>125</v>
      </c>
      <c r="D179" s="4" t="s">
        <v>36</v>
      </c>
      <c r="E179" s="4"/>
      <c r="F179" s="37">
        <v>0</v>
      </c>
      <c r="H179" s="75">
        <f t="shared" si="35"/>
        <v>0</v>
      </c>
      <c r="I179" s="23">
        <v>0</v>
      </c>
      <c r="J179" s="24"/>
      <c r="K179" s="24"/>
      <c r="L179" s="24"/>
      <c r="M179" s="24">
        <f t="shared" si="36"/>
        <v>0</v>
      </c>
      <c r="N179" s="4" t="s">
        <v>125</v>
      </c>
      <c r="O179" s="4" t="s">
        <v>36</v>
      </c>
    </row>
    <row r="180" spans="1:15" ht="15.75">
      <c r="A180" s="18">
        <v>1410900</v>
      </c>
      <c r="B180" s="45" t="s">
        <v>300</v>
      </c>
      <c r="C180" s="4" t="s">
        <v>173</v>
      </c>
      <c r="D180" s="4" t="s">
        <v>36</v>
      </c>
      <c r="E180" s="4"/>
      <c r="F180" s="37">
        <v>4980209.93</v>
      </c>
      <c r="H180" s="75">
        <f t="shared" si="35"/>
        <v>0</v>
      </c>
      <c r="I180" s="23">
        <v>0</v>
      </c>
      <c r="J180" s="24"/>
      <c r="K180" s="24"/>
      <c r="L180" s="24"/>
      <c r="M180" s="24">
        <f t="shared" si="36"/>
        <v>0</v>
      </c>
      <c r="N180" s="4" t="s">
        <v>173</v>
      </c>
      <c r="O180" s="4" t="s">
        <v>36</v>
      </c>
    </row>
    <row r="181" spans="1:15" ht="15.75">
      <c r="A181" s="18">
        <v>1410900</v>
      </c>
      <c r="B181" t="s">
        <v>301</v>
      </c>
      <c r="C181" s="4" t="s">
        <v>174</v>
      </c>
      <c r="D181" s="4" t="s">
        <v>39</v>
      </c>
      <c r="E181" s="4"/>
      <c r="F181" s="37">
        <v>1982376.75</v>
      </c>
      <c r="H181" s="75">
        <f t="shared" si="35"/>
        <v>27275.39</v>
      </c>
      <c r="I181" s="23">
        <v>27776.34</v>
      </c>
      <c r="J181" s="24">
        <v>-500.95</v>
      </c>
      <c r="K181" s="24"/>
      <c r="L181" s="24"/>
      <c r="M181" s="24">
        <f t="shared" si="36"/>
        <v>27275.39</v>
      </c>
      <c r="N181" s="4" t="s">
        <v>174</v>
      </c>
      <c r="O181" s="4" t="s">
        <v>39</v>
      </c>
    </row>
    <row r="182" spans="1:15" ht="15.75">
      <c r="A182" s="18">
        <v>1410900</v>
      </c>
      <c r="B182" t="s">
        <v>302</v>
      </c>
      <c r="C182" s="4" t="s">
        <v>176</v>
      </c>
      <c r="D182" s="4" t="s">
        <v>42</v>
      </c>
      <c r="E182" s="4"/>
      <c r="F182" s="37">
        <v>116730309.26</v>
      </c>
      <c r="H182" s="75">
        <f t="shared" si="35"/>
        <v>40992319.339999996</v>
      </c>
      <c r="I182" s="23">
        <v>41801713.23</v>
      </c>
      <c r="J182" s="52">
        <v>-809393.89</v>
      </c>
      <c r="K182" s="24"/>
      <c r="L182" s="24"/>
      <c r="M182" s="24">
        <f t="shared" si="36"/>
        <v>40992319.339999996</v>
      </c>
      <c r="N182" s="4" t="s">
        <v>176</v>
      </c>
      <c r="O182" s="4" t="s">
        <v>42</v>
      </c>
    </row>
    <row r="183" spans="1:15" ht="15.75">
      <c r="A183" s="18">
        <v>1410900</v>
      </c>
      <c r="B183" t="s">
        <v>378</v>
      </c>
      <c r="C183" s="89" t="s">
        <v>374</v>
      </c>
      <c r="D183" s="4" t="s">
        <v>377</v>
      </c>
      <c r="E183" s="4"/>
      <c r="F183" s="37">
        <v>21737795.55</v>
      </c>
      <c r="H183" s="75">
        <f t="shared" si="35"/>
        <v>8609813.139999999</v>
      </c>
      <c r="I183" s="23">
        <v>8500822.86</v>
      </c>
      <c r="J183" s="24">
        <v>108990.28</v>
      </c>
      <c r="K183" s="24"/>
      <c r="L183" s="24"/>
      <c r="M183" s="24">
        <f t="shared" si="36"/>
        <v>8609813.139999999</v>
      </c>
      <c r="N183" s="4" t="s">
        <v>303</v>
      </c>
      <c r="O183" s="4" t="s">
        <v>304</v>
      </c>
    </row>
    <row r="184" spans="1:15" ht="15.75">
      <c r="A184" s="18">
        <v>1410900</v>
      </c>
      <c r="B184" t="s">
        <v>379</v>
      </c>
      <c r="C184" s="89" t="s">
        <v>375</v>
      </c>
      <c r="D184" s="4" t="s">
        <v>376</v>
      </c>
      <c r="E184" s="4"/>
      <c r="F184" s="37">
        <v>51839761.4</v>
      </c>
      <c r="H184" s="75">
        <f t="shared" si="35"/>
        <v>18200619.23</v>
      </c>
      <c r="I184" s="23">
        <v>29859285.87</v>
      </c>
      <c r="J184" s="24">
        <v>-11658666.64</v>
      </c>
      <c r="K184" s="24"/>
      <c r="L184" s="24"/>
      <c r="M184" s="24">
        <f t="shared" si="36"/>
        <v>18200619.23</v>
      </c>
      <c r="N184" s="4" t="s">
        <v>303</v>
      </c>
      <c r="O184" s="4" t="s">
        <v>304</v>
      </c>
    </row>
    <row r="185" spans="1:15" ht="15.75">
      <c r="A185" s="18">
        <v>1410900</v>
      </c>
      <c r="B185" t="s">
        <v>305</v>
      </c>
      <c r="C185" s="4" t="s">
        <v>178</v>
      </c>
      <c r="D185" s="4" t="s">
        <v>306</v>
      </c>
      <c r="E185" s="4"/>
      <c r="F185" s="37">
        <v>33942.29</v>
      </c>
      <c r="H185" s="75">
        <f t="shared" si="35"/>
        <v>-338930.17000000004</v>
      </c>
      <c r="I185" s="23">
        <v>-339042.27</v>
      </c>
      <c r="J185" s="24">
        <v>112.1</v>
      </c>
      <c r="K185" s="24"/>
      <c r="L185" s="24"/>
      <c r="M185" s="24">
        <f t="shared" si="36"/>
        <v>-338930.17000000004</v>
      </c>
      <c r="N185" s="4" t="s">
        <v>178</v>
      </c>
      <c r="O185" s="4" t="s">
        <v>307</v>
      </c>
    </row>
    <row r="186" spans="1:15" ht="15.75">
      <c r="A186" s="18">
        <v>1410900</v>
      </c>
      <c r="B186" t="s">
        <v>308</v>
      </c>
      <c r="C186" s="4" t="s">
        <v>182</v>
      </c>
      <c r="D186" s="4" t="s">
        <v>288</v>
      </c>
      <c r="E186" s="4"/>
      <c r="F186" s="37">
        <v>41566.5</v>
      </c>
      <c r="H186" s="75">
        <f t="shared" si="35"/>
        <v>-104129.22</v>
      </c>
      <c r="I186" s="23">
        <v>33735.52</v>
      </c>
      <c r="J186" s="24">
        <v>-137864.74</v>
      </c>
      <c r="K186" s="24"/>
      <c r="L186" s="24"/>
      <c r="M186" s="24">
        <f t="shared" si="36"/>
        <v>-104129.22</v>
      </c>
      <c r="N186" s="4" t="s">
        <v>182</v>
      </c>
      <c r="O186" s="4" t="s">
        <v>307</v>
      </c>
    </row>
    <row r="187" spans="1:15" ht="15.75">
      <c r="A187" s="18">
        <v>1410900</v>
      </c>
      <c r="B187" t="s">
        <v>309</v>
      </c>
      <c r="C187" s="4" t="s">
        <v>184</v>
      </c>
      <c r="D187" s="4" t="s">
        <v>185</v>
      </c>
      <c r="E187" s="4"/>
      <c r="F187" s="37">
        <v>150311.83</v>
      </c>
      <c r="H187" s="75">
        <f t="shared" si="35"/>
        <v>-214857.95999999996</v>
      </c>
      <c r="I187" s="23">
        <v>73371.51</v>
      </c>
      <c r="J187" s="24">
        <v>-288229.47</v>
      </c>
      <c r="K187" s="24"/>
      <c r="L187" s="24"/>
      <c r="M187" s="24">
        <f t="shared" si="36"/>
        <v>-214857.95999999996</v>
      </c>
      <c r="N187" s="4" t="s">
        <v>184</v>
      </c>
      <c r="O187" s="4" t="s">
        <v>185</v>
      </c>
    </row>
    <row r="188" spans="1:15" ht="15.75">
      <c r="A188" s="18">
        <v>1410900</v>
      </c>
      <c r="B188" t="s">
        <v>310</v>
      </c>
      <c r="C188" s="4" t="s">
        <v>187</v>
      </c>
      <c r="D188" s="4" t="s">
        <v>188</v>
      </c>
      <c r="E188" s="4"/>
      <c r="F188" s="37">
        <v>67023.21</v>
      </c>
      <c r="H188" s="75">
        <f t="shared" si="35"/>
        <v>-17504.920000000002</v>
      </c>
      <c r="I188" s="23">
        <v>25616.01</v>
      </c>
      <c r="J188" s="24">
        <v>-43120.93</v>
      </c>
      <c r="K188" s="24"/>
      <c r="L188" s="24"/>
      <c r="M188" s="24">
        <f t="shared" si="36"/>
        <v>-17504.920000000002</v>
      </c>
      <c r="N188" s="4" t="s">
        <v>187</v>
      </c>
      <c r="O188" s="4" t="s">
        <v>188</v>
      </c>
    </row>
    <row r="189" spans="1:15" ht="15.75">
      <c r="A189" s="18">
        <v>1410900</v>
      </c>
      <c r="B189" t="s">
        <v>311</v>
      </c>
      <c r="C189" s="4" t="s">
        <v>190</v>
      </c>
      <c r="D189" s="4" t="s">
        <v>191</v>
      </c>
      <c r="E189" s="4"/>
      <c r="F189" s="37">
        <v>319946.7</v>
      </c>
      <c r="H189" s="75">
        <f t="shared" si="35"/>
        <v>121951.76000000001</v>
      </c>
      <c r="I189" s="23">
        <v>145317.73</v>
      </c>
      <c r="J189" s="24">
        <v>-23365.97</v>
      </c>
      <c r="K189" s="24"/>
      <c r="L189" s="24"/>
      <c r="M189" s="24">
        <f t="shared" si="36"/>
        <v>121951.76000000001</v>
      </c>
      <c r="N189" s="4" t="s">
        <v>190</v>
      </c>
      <c r="O189" s="4" t="s">
        <v>191</v>
      </c>
    </row>
    <row r="190" spans="1:15" ht="15.75">
      <c r="A190" s="18">
        <v>1410900</v>
      </c>
      <c r="B190" t="s">
        <v>312</v>
      </c>
      <c r="C190" s="4" t="s">
        <v>313</v>
      </c>
      <c r="D190" s="4" t="s">
        <v>314</v>
      </c>
      <c r="E190" s="4"/>
      <c r="F190" s="37">
        <v>2552771.68</v>
      </c>
      <c r="H190" s="75">
        <f t="shared" si="35"/>
        <v>346097.38000000006</v>
      </c>
      <c r="I190" s="23">
        <v>782346.79</v>
      </c>
      <c r="J190" s="24">
        <v>-436249.41</v>
      </c>
      <c r="K190" s="24"/>
      <c r="L190" s="24"/>
      <c r="M190" s="24">
        <f t="shared" si="36"/>
        <v>346097.38000000006</v>
      </c>
      <c r="N190" s="4" t="s">
        <v>313</v>
      </c>
      <c r="O190" s="4" t="s">
        <v>314</v>
      </c>
    </row>
    <row r="191" spans="1:15" ht="15.75">
      <c r="A191" s="18">
        <v>1410900</v>
      </c>
      <c r="B191" t="s">
        <v>315</v>
      </c>
      <c r="C191" s="79" t="s">
        <v>192</v>
      </c>
      <c r="D191" s="4" t="s">
        <v>193</v>
      </c>
      <c r="E191" s="4"/>
      <c r="F191" s="37">
        <v>2105876.52</v>
      </c>
      <c r="H191" s="75">
        <f t="shared" si="35"/>
        <v>861561.8099999999</v>
      </c>
      <c r="I191" s="23">
        <v>877301.33</v>
      </c>
      <c r="J191" s="24">
        <v>-15739.52</v>
      </c>
      <c r="K191" s="24"/>
      <c r="L191" s="24"/>
      <c r="M191" s="24">
        <f t="shared" si="36"/>
        <v>861561.8099999999</v>
      </c>
      <c r="N191" s="4" t="s">
        <v>192</v>
      </c>
      <c r="O191" s="4" t="s">
        <v>193</v>
      </c>
    </row>
    <row r="192" spans="1:15" ht="15.75">
      <c r="A192" s="18">
        <v>1410900</v>
      </c>
      <c r="B192" t="s">
        <v>316</v>
      </c>
      <c r="C192" s="4" t="s">
        <v>195</v>
      </c>
      <c r="D192" s="4" t="s">
        <v>196</v>
      </c>
      <c r="E192" s="4"/>
      <c r="F192" s="37">
        <v>0</v>
      </c>
      <c r="H192" s="75">
        <f t="shared" si="35"/>
        <v>-192979.1</v>
      </c>
      <c r="I192" s="23">
        <v>0</v>
      </c>
      <c r="J192" s="24">
        <v>-192979.1</v>
      </c>
      <c r="K192" s="24"/>
      <c r="L192" s="24"/>
      <c r="M192" s="24">
        <f t="shared" si="36"/>
        <v>-192979.1</v>
      </c>
      <c r="N192" s="4" t="s">
        <v>195</v>
      </c>
      <c r="O192" s="4" t="s">
        <v>196</v>
      </c>
    </row>
    <row r="193" spans="1:15" ht="15.75">
      <c r="A193" s="18">
        <v>1410900</v>
      </c>
      <c r="B193" t="s">
        <v>380</v>
      </c>
      <c r="C193" s="4" t="s">
        <v>198</v>
      </c>
      <c r="D193" s="4" t="s">
        <v>199</v>
      </c>
      <c r="E193" s="4"/>
      <c r="F193" s="37">
        <v>84177193.23</v>
      </c>
      <c r="H193" s="75">
        <f t="shared" si="35"/>
        <v>46871383.21</v>
      </c>
      <c r="I193" s="23">
        <v>49371652.45</v>
      </c>
      <c r="J193" s="24">
        <v>-2500269.24</v>
      </c>
      <c r="K193" s="24"/>
      <c r="L193" s="24"/>
      <c r="M193" s="24">
        <f t="shared" si="36"/>
        <v>46871383.21</v>
      </c>
      <c r="N193" s="4" t="s">
        <v>198</v>
      </c>
      <c r="O193" s="4" t="s">
        <v>199</v>
      </c>
    </row>
    <row r="194" spans="1:15" ht="15.75">
      <c r="A194" s="18">
        <v>1410900</v>
      </c>
      <c r="B194" t="s">
        <v>317</v>
      </c>
      <c r="C194" s="4" t="s">
        <v>201</v>
      </c>
      <c r="D194" s="4" t="s">
        <v>202</v>
      </c>
      <c r="E194" s="4"/>
      <c r="F194" s="47">
        <v>3057424.38</v>
      </c>
      <c r="G194" s="40"/>
      <c r="H194" s="76">
        <f t="shared" si="35"/>
        <v>744192.37</v>
      </c>
      <c r="I194" s="54">
        <v>1093457.99</v>
      </c>
      <c r="J194" s="43">
        <v>-349265.62</v>
      </c>
      <c r="K194" s="43"/>
      <c r="L194" s="43"/>
      <c r="M194" s="43">
        <f t="shared" si="36"/>
        <v>744192.37</v>
      </c>
      <c r="N194" s="4" t="s">
        <v>201</v>
      </c>
      <c r="O194" s="4" t="s">
        <v>202</v>
      </c>
    </row>
    <row r="195" spans="6:13" ht="15.75">
      <c r="F195" s="20" t="s">
        <v>1</v>
      </c>
      <c r="H195" s="35" t="s">
        <v>1</v>
      </c>
      <c r="I195" s="31" t="s">
        <v>1</v>
      </c>
      <c r="J195" s="31" t="s">
        <v>1</v>
      </c>
      <c r="K195" s="31"/>
      <c r="L195" s="31"/>
      <c r="M195" s="31" t="s">
        <v>1</v>
      </c>
    </row>
    <row r="196" spans="3:15" ht="15.75">
      <c r="C196" s="4" t="s">
        <v>318</v>
      </c>
      <c r="D196" s="4" t="s">
        <v>319</v>
      </c>
      <c r="E196" s="4"/>
      <c r="F196" s="26">
        <f>SUM(F177:F195)</f>
        <v>452967850.48999995</v>
      </c>
      <c r="G196" s="40"/>
      <c r="H196" s="26">
        <f aca="true" t="shared" si="37" ref="H196:M196">SUM(H177:H194)</f>
        <v>229223228.5</v>
      </c>
      <c r="I196" s="43">
        <f t="shared" si="37"/>
        <v>245569771.60000002</v>
      </c>
      <c r="J196" s="43">
        <f t="shared" si="37"/>
        <v>-16346543.100000001</v>
      </c>
      <c r="K196" s="43">
        <f t="shared" si="37"/>
        <v>0</v>
      </c>
      <c r="L196" s="43">
        <f t="shared" si="37"/>
        <v>0</v>
      </c>
      <c r="M196" s="43">
        <f t="shared" si="37"/>
        <v>229223228.5</v>
      </c>
      <c r="N196" s="4" t="s">
        <v>318</v>
      </c>
      <c r="O196" s="4" t="s">
        <v>319</v>
      </c>
    </row>
    <row r="197" spans="6:13" ht="15.75">
      <c r="F197" s="20"/>
      <c r="H197" s="20"/>
      <c r="I197" s="31" t="s">
        <v>1</v>
      </c>
      <c r="J197" s="31" t="s">
        <v>1</v>
      </c>
      <c r="K197" s="31"/>
      <c r="L197" s="31"/>
      <c r="M197" s="31" t="s">
        <v>1</v>
      </c>
    </row>
    <row r="198" spans="9:13" ht="15.75">
      <c r="I198" s="58"/>
      <c r="J198" s="58"/>
      <c r="K198" s="58"/>
      <c r="L198" s="58"/>
      <c r="M198" s="58"/>
    </row>
    <row r="199" spans="4:15" ht="15.75">
      <c r="D199" s="4" t="s">
        <v>205</v>
      </c>
      <c r="E199" s="4"/>
      <c r="F199" s="35">
        <f>F109</f>
        <v>5777944017.900002</v>
      </c>
      <c r="H199" s="35">
        <f>$M199</f>
        <v>3113160145.54</v>
      </c>
      <c r="I199" s="24">
        <f>I109</f>
        <v>3383801356.4999995</v>
      </c>
      <c r="J199" s="24">
        <f>J109</f>
        <v>-260892516.44</v>
      </c>
      <c r="K199" s="24">
        <f>K109</f>
        <v>-9748694.520000001</v>
      </c>
      <c r="L199" s="24">
        <f>L109</f>
        <v>0</v>
      </c>
      <c r="M199" s="24">
        <f>M109</f>
        <v>3113160145.54</v>
      </c>
      <c r="O199" s="4" t="s">
        <v>205</v>
      </c>
    </row>
    <row r="200" spans="4:15" ht="15.75">
      <c r="D200" s="4" t="s">
        <v>295</v>
      </c>
      <c r="E200" s="4"/>
      <c r="F200" s="35">
        <f>F171</f>
        <v>1049989735.3800001</v>
      </c>
      <c r="H200" s="35">
        <f>$M200</f>
        <v>633853670.05</v>
      </c>
      <c r="I200" s="24">
        <f>I171</f>
        <v>645092044.48</v>
      </c>
      <c r="J200" s="24">
        <f>J171</f>
        <v>-10891251.000000002</v>
      </c>
      <c r="K200" s="24">
        <f>K171</f>
        <v>-347123.43000000005</v>
      </c>
      <c r="L200" s="24">
        <f>L171</f>
        <v>0</v>
      </c>
      <c r="M200" s="24">
        <f>M171</f>
        <v>633853670.05</v>
      </c>
      <c r="O200" s="4" t="s">
        <v>295</v>
      </c>
    </row>
    <row r="201" spans="4:15" ht="15.75">
      <c r="D201" s="4" t="s">
        <v>319</v>
      </c>
      <c r="E201" s="4"/>
      <c r="F201" s="26">
        <f>F196</f>
        <v>452967850.48999995</v>
      </c>
      <c r="G201" s="40"/>
      <c r="H201" s="26">
        <f>$M201</f>
        <v>229223228.5</v>
      </c>
      <c r="I201" s="43">
        <f>I196</f>
        <v>245569771.60000002</v>
      </c>
      <c r="J201" s="43">
        <f>J196</f>
        <v>-16346543.100000001</v>
      </c>
      <c r="K201" s="43">
        <f>K196</f>
        <v>0</v>
      </c>
      <c r="L201" s="43">
        <f>L196</f>
        <v>0</v>
      </c>
      <c r="M201" s="43">
        <f>M196</f>
        <v>229223228.5</v>
      </c>
      <c r="O201" s="4" t="s">
        <v>319</v>
      </c>
    </row>
    <row r="202" spans="6:13" ht="15.75">
      <c r="F202" s="20"/>
      <c r="H202" s="20"/>
      <c r="I202" s="80" t="s">
        <v>1</v>
      </c>
      <c r="J202" s="31" t="s">
        <v>1</v>
      </c>
      <c r="K202" s="31"/>
      <c r="L202" s="31"/>
      <c r="M202" s="31" t="s">
        <v>1</v>
      </c>
    </row>
    <row r="203" spans="3:14" ht="15.75">
      <c r="C203" s="4" t="s">
        <v>320</v>
      </c>
      <c r="F203" s="35"/>
      <c r="H203" s="35"/>
      <c r="I203" s="24"/>
      <c r="J203" s="24"/>
      <c r="K203" s="24"/>
      <c r="L203" s="24"/>
      <c r="M203" s="24"/>
      <c r="N203" s="4" t="s">
        <v>320</v>
      </c>
    </row>
    <row r="204" spans="3:15" ht="15.75">
      <c r="C204" s="4" t="s">
        <v>321</v>
      </c>
      <c r="D204" s="4" t="s">
        <v>322</v>
      </c>
      <c r="E204" s="4"/>
      <c r="F204" s="43">
        <f>SUM(F199:F201)</f>
        <v>7280901603.770001</v>
      </c>
      <c r="G204" s="40"/>
      <c r="H204" s="26">
        <f aca="true" t="shared" si="38" ref="H204:M204">SUM(H199:H201)</f>
        <v>3976237044.09</v>
      </c>
      <c r="I204" s="92">
        <f t="shared" si="38"/>
        <v>4274463172.5799994</v>
      </c>
      <c r="J204" s="43">
        <f t="shared" si="38"/>
        <v>-288130310.54</v>
      </c>
      <c r="K204" s="43">
        <f t="shared" si="38"/>
        <v>-10095817.950000001</v>
      </c>
      <c r="L204" s="43">
        <f t="shared" si="38"/>
        <v>0</v>
      </c>
      <c r="M204" s="43">
        <f t="shared" si="38"/>
        <v>3976237044.09</v>
      </c>
      <c r="N204" s="4" t="s">
        <v>321</v>
      </c>
      <c r="O204" s="4" t="s">
        <v>322</v>
      </c>
    </row>
    <row r="205" spans="3:15" ht="15.75">
      <c r="C205" s="4"/>
      <c r="D205" s="4"/>
      <c r="E205" s="4"/>
      <c r="F205" s="50"/>
      <c r="G205" s="40"/>
      <c r="H205" s="50"/>
      <c r="I205" s="93"/>
      <c r="J205" s="42"/>
      <c r="K205" s="42"/>
      <c r="L205" s="42"/>
      <c r="M205" s="42"/>
      <c r="N205" s="4"/>
      <c r="O205" s="4"/>
    </row>
    <row r="206" spans="5:15" ht="15.75">
      <c r="E206" s="4"/>
      <c r="F206" s="59"/>
      <c r="H206" s="60"/>
      <c r="I206" s="24"/>
      <c r="J206" s="24"/>
      <c r="K206" s="24"/>
      <c r="L206" s="24"/>
      <c r="M206" s="24"/>
      <c r="N206" s="4" t="s">
        <v>323</v>
      </c>
      <c r="O206" s="4" t="s">
        <v>324</v>
      </c>
    </row>
    <row r="207" spans="1:15" ht="15.75">
      <c r="A207" s="18">
        <v>1410206</v>
      </c>
      <c r="C207" s="39" t="s">
        <v>204</v>
      </c>
      <c r="D207" s="4" t="s">
        <v>373</v>
      </c>
      <c r="E207" s="4"/>
      <c r="F207" s="85">
        <v>-1167689397.34</v>
      </c>
      <c r="G207" s="4"/>
      <c r="H207" s="85">
        <v>-1167689397.34</v>
      </c>
      <c r="I207" s="43"/>
      <c r="J207" s="43"/>
      <c r="K207" s="24"/>
      <c r="L207" s="24"/>
      <c r="M207" s="24">
        <f>SUM(I207:L207)</f>
        <v>0</v>
      </c>
      <c r="O207" s="4" t="s">
        <v>325</v>
      </c>
    </row>
    <row r="208" spans="4:15" ht="15.75">
      <c r="D208" s="4"/>
      <c r="E208" s="4"/>
      <c r="F208" s="50"/>
      <c r="G208" s="40"/>
      <c r="H208" s="50"/>
      <c r="I208" s="24"/>
      <c r="J208" s="24"/>
      <c r="K208" s="24"/>
      <c r="L208" s="24"/>
      <c r="M208" s="24"/>
      <c r="O208" s="4"/>
    </row>
    <row r="209" spans="4:15" ht="15.75">
      <c r="D209" s="4"/>
      <c r="E209" s="4"/>
      <c r="F209" s="50"/>
      <c r="G209" s="40"/>
      <c r="H209" s="50"/>
      <c r="I209" s="52"/>
      <c r="J209" s="24"/>
      <c r="K209" s="24"/>
      <c r="L209" s="24"/>
      <c r="M209" s="24"/>
      <c r="O209" s="4"/>
    </row>
    <row r="210" spans="3:15" ht="15.75">
      <c r="C210" s="4" t="s">
        <v>323</v>
      </c>
      <c r="D210" s="4" t="s">
        <v>324</v>
      </c>
      <c r="E210" s="4"/>
      <c r="F210" s="59" t="s">
        <v>1</v>
      </c>
      <c r="H210" s="60"/>
      <c r="I210" s="24"/>
      <c r="J210" s="24"/>
      <c r="K210" s="24"/>
      <c r="L210" s="24"/>
      <c r="M210" s="24"/>
      <c r="N210" s="4" t="s">
        <v>323</v>
      </c>
      <c r="O210" s="4" t="s">
        <v>324</v>
      </c>
    </row>
    <row r="211" spans="1:15" ht="15.75">
      <c r="A211" s="18">
        <v>1411000</v>
      </c>
      <c r="D211" s="4" t="s">
        <v>325</v>
      </c>
      <c r="E211" s="4"/>
      <c r="F211" s="55">
        <v>0</v>
      </c>
      <c r="G211" s="4"/>
      <c r="H211" s="55">
        <f>$M211</f>
        <v>0</v>
      </c>
      <c r="I211" s="24"/>
      <c r="J211" s="24"/>
      <c r="K211" s="24"/>
      <c r="L211" s="24"/>
      <c r="M211" s="24">
        <f>SUM(I211:L211)</f>
        <v>0</v>
      </c>
      <c r="O211" s="4" t="s">
        <v>325</v>
      </c>
    </row>
    <row r="212" spans="4:15" ht="15.75">
      <c r="D212" s="4" t="s">
        <v>326</v>
      </c>
      <c r="E212" s="4"/>
      <c r="F212" s="26">
        <v>0</v>
      </c>
      <c r="H212" s="26">
        <f>$M212</f>
        <v>0</v>
      </c>
      <c r="I212" s="24"/>
      <c r="J212" s="24"/>
      <c r="K212" s="24"/>
      <c r="L212" s="24"/>
      <c r="M212" s="24">
        <f>SUM(I212:L212)</f>
        <v>0</v>
      </c>
      <c r="O212" s="4" t="s">
        <v>326</v>
      </c>
    </row>
    <row r="213" spans="6:13" ht="15.75">
      <c r="F213" s="20" t="s">
        <v>1</v>
      </c>
      <c r="H213" s="35"/>
      <c r="I213" s="24"/>
      <c r="J213" s="24"/>
      <c r="K213" s="24"/>
      <c r="L213" s="24"/>
      <c r="M213" s="24"/>
    </row>
    <row r="214" spans="4:15" ht="15.75">
      <c r="D214" s="4" t="s">
        <v>327</v>
      </c>
      <c r="E214" s="4"/>
      <c r="F214" s="26">
        <f>SUM(F211:F212)</f>
        <v>0</v>
      </c>
      <c r="H214" s="26">
        <f>SUM(H211:H212)</f>
        <v>0</v>
      </c>
      <c r="I214" s="52"/>
      <c r="J214" s="24"/>
      <c r="K214" s="24"/>
      <c r="L214" s="24"/>
      <c r="M214" s="24"/>
      <c r="O214" s="4" t="s">
        <v>327</v>
      </c>
    </row>
    <row r="215" spans="4:15" ht="15.75">
      <c r="D215" s="57"/>
      <c r="E215" s="57"/>
      <c r="F215" s="57"/>
      <c r="G215" s="57"/>
      <c r="H215" s="57"/>
      <c r="I215" s="24"/>
      <c r="J215" s="24"/>
      <c r="K215" s="24"/>
      <c r="L215" s="24"/>
      <c r="M215" s="24"/>
      <c r="O215" s="57"/>
    </row>
    <row r="216" spans="4:15" ht="15.75">
      <c r="D216" s="57"/>
      <c r="E216" s="57"/>
      <c r="F216" s="57"/>
      <c r="G216" s="57"/>
      <c r="H216" s="57"/>
      <c r="I216" s="24"/>
      <c r="J216" s="24"/>
      <c r="K216" s="24"/>
      <c r="L216" s="24"/>
      <c r="M216" s="24"/>
      <c r="O216" s="57"/>
    </row>
    <row r="217" spans="3:15" ht="15.75">
      <c r="C217" s="4" t="s">
        <v>328</v>
      </c>
      <c r="D217" s="4" t="s">
        <v>329</v>
      </c>
      <c r="E217" s="4"/>
      <c r="F217" s="35"/>
      <c r="H217" s="35"/>
      <c r="I217" s="24"/>
      <c r="J217" s="24"/>
      <c r="K217" s="24"/>
      <c r="L217" s="24"/>
      <c r="M217" s="24">
        <f>SUM(I217:L217)</f>
        <v>0</v>
      </c>
      <c r="N217" s="4" t="s">
        <v>328</v>
      </c>
      <c r="O217" s="4" t="s">
        <v>329</v>
      </c>
    </row>
    <row r="218" spans="1:15" ht="15.75">
      <c r="A218" s="18">
        <v>1411300</v>
      </c>
      <c r="B218" t="s">
        <v>330</v>
      </c>
      <c r="D218" s="4" t="s">
        <v>331</v>
      </c>
      <c r="E218" s="4"/>
      <c r="F218" s="35">
        <v>37013.45</v>
      </c>
      <c r="H218" s="35">
        <f>$M218</f>
        <v>0</v>
      </c>
      <c r="I218" s="24"/>
      <c r="J218" s="24"/>
      <c r="K218" s="24"/>
      <c r="L218" s="24"/>
      <c r="M218" s="24">
        <f>SUM(I218:L218)</f>
        <v>0</v>
      </c>
      <c r="O218" s="4" t="s">
        <v>331</v>
      </c>
    </row>
    <row r="219" spans="4:15" ht="15.75">
      <c r="D219" s="4" t="s">
        <v>326</v>
      </c>
      <c r="E219" s="4"/>
      <c r="F219" s="26">
        <v>0</v>
      </c>
      <c r="H219" s="43">
        <f>$M219</f>
        <v>0</v>
      </c>
      <c r="I219" s="24"/>
      <c r="J219" s="24"/>
      <c r="K219" s="24"/>
      <c r="L219" s="24"/>
      <c r="M219" s="24">
        <f>SUM(I219:L219)</f>
        <v>0</v>
      </c>
      <c r="O219" s="4" t="s">
        <v>326</v>
      </c>
    </row>
    <row r="220" spans="6:13" ht="15.75">
      <c r="F220" s="20" t="s">
        <v>1</v>
      </c>
      <c r="H220" s="35"/>
      <c r="I220" s="24"/>
      <c r="J220" s="24"/>
      <c r="K220" s="24"/>
      <c r="L220" s="24"/>
      <c r="M220" s="24">
        <f>SUM(I220:L220)</f>
        <v>0</v>
      </c>
    </row>
    <row r="221" spans="4:15" ht="15.75">
      <c r="D221" s="4" t="s">
        <v>332</v>
      </c>
      <c r="E221" s="4"/>
      <c r="F221" s="35"/>
      <c r="H221" s="35"/>
      <c r="I221" s="24"/>
      <c r="J221" s="24"/>
      <c r="K221" s="24"/>
      <c r="L221" s="24"/>
      <c r="M221" s="24"/>
      <c r="O221" s="4" t="s">
        <v>332</v>
      </c>
    </row>
    <row r="222" spans="4:15" ht="15.75">
      <c r="D222" s="4" t="s">
        <v>333</v>
      </c>
      <c r="E222" s="4"/>
      <c r="F222" s="26">
        <f>SUM(F218:F219)</f>
        <v>37013.45</v>
      </c>
      <c r="H222" s="26">
        <f>SUM(H218:H219)</f>
        <v>0</v>
      </c>
      <c r="I222" s="24"/>
      <c r="J222" s="24"/>
      <c r="K222" s="24"/>
      <c r="L222" s="24"/>
      <c r="M222" s="24"/>
      <c r="O222" s="4" t="s">
        <v>333</v>
      </c>
    </row>
    <row r="223" spans="4:15" ht="15.75">
      <c r="D223" s="57"/>
      <c r="E223" s="57"/>
      <c r="F223" s="57"/>
      <c r="G223" s="57"/>
      <c r="H223" s="57"/>
      <c r="I223" s="24"/>
      <c r="J223" s="24"/>
      <c r="K223" s="24"/>
      <c r="L223" s="24"/>
      <c r="M223" s="24"/>
      <c r="O223" s="57"/>
    </row>
    <row r="224" spans="3:15" ht="15.75">
      <c r="C224" s="5"/>
      <c r="D224" s="5"/>
      <c r="E224" s="5"/>
      <c r="F224" s="5"/>
      <c r="G224" s="5"/>
      <c r="H224" s="1"/>
      <c r="I224" s="24"/>
      <c r="J224" s="24"/>
      <c r="K224" s="24"/>
      <c r="L224" s="24"/>
      <c r="M224" s="31" t="s">
        <v>1</v>
      </c>
      <c r="N224" s="5"/>
      <c r="O224" s="5"/>
    </row>
    <row r="225" spans="1:15" ht="15.75">
      <c r="A225" t="s">
        <v>334</v>
      </c>
      <c r="B225" t="s">
        <v>335</v>
      </c>
      <c r="C225" s="4" t="s">
        <v>336</v>
      </c>
      <c r="D225" s="4" t="s">
        <v>337</v>
      </c>
      <c r="E225" s="4"/>
      <c r="F225" s="35" t="s">
        <v>1</v>
      </c>
      <c r="H225" s="52" t="s">
        <v>1</v>
      </c>
      <c r="I225" s="24"/>
      <c r="J225" s="24"/>
      <c r="K225" s="24"/>
      <c r="L225" s="24"/>
      <c r="M225" s="24">
        <f>SUM(I225:L225)</f>
        <v>0</v>
      </c>
      <c r="N225" s="4" t="s">
        <v>336</v>
      </c>
      <c r="O225" s="4" t="s">
        <v>338</v>
      </c>
    </row>
    <row r="226" spans="3:15" ht="15.75">
      <c r="C226" s="4"/>
      <c r="D226" s="4" t="s">
        <v>331</v>
      </c>
      <c r="E226" s="4"/>
      <c r="F226" s="35">
        <f>117427296.21+393065012</f>
        <v>510492308.21</v>
      </c>
      <c r="H226" s="24"/>
      <c r="I226" s="24"/>
      <c r="J226" s="24"/>
      <c r="K226" s="24"/>
      <c r="L226" s="24"/>
      <c r="M226" s="24"/>
      <c r="N226" s="4"/>
      <c r="O226" s="4"/>
    </row>
    <row r="227" spans="3:15" ht="15.75">
      <c r="C227" s="4"/>
      <c r="D227" s="4" t="s">
        <v>326</v>
      </c>
      <c r="E227" s="4"/>
      <c r="F227" s="35">
        <v>3353606.83</v>
      </c>
      <c r="H227" s="24"/>
      <c r="I227" s="24"/>
      <c r="J227" s="24"/>
      <c r="K227" s="24"/>
      <c r="L227" s="24"/>
      <c r="M227" s="24"/>
      <c r="N227" s="4"/>
      <c r="O227" s="4"/>
    </row>
    <row r="228" spans="3:15" ht="15.75">
      <c r="C228" s="4"/>
      <c r="D228" s="39" t="s">
        <v>339</v>
      </c>
      <c r="E228" s="4"/>
      <c r="F228" s="26">
        <v>5221146.06</v>
      </c>
      <c r="G228" s="40"/>
      <c r="H228" s="43"/>
      <c r="I228" s="24"/>
      <c r="J228" s="24"/>
      <c r="K228" s="24"/>
      <c r="L228" s="24"/>
      <c r="M228" s="24"/>
      <c r="N228" s="4"/>
      <c r="O228" s="4"/>
    </row>
    <row r="229" spans="6:13" ht="15.75">
      <c r="F229" s="20" t="s">
        <v>1</v>
      </c>
      <c r="H229" s="20" t="s">
        <v>1</v>
      </c>
      <c r="I229" s="24"/>
      <c r="J229" s="24"/>
      <c r="K229" s="24"/>
      <c r="L229" s="24"/>
      <c r="M229" s="24"/>
    </row>
    <row r="230" spans="4:15" ht="15.75">
      <c r="D230" s="4" t="s">
        <v>340</v>
      </c>
      <c r="E230" s="4"/>
      <c r="F230" s="35"/>
      <c r="H230" s="35"/>
      <c r="I230" s="24"/>
      <c r="J230" s="24"/>
      <c r="K230" s="24"/>
      <c r="L230" s="24"/>
      <c r="M230" s="24"/>
      <c r="O230" s="4" t="s">
        <v>340</v>
      </c>
    </row>
    <row r="231" spans="4:15" ht="15.75">
      <c r="D231" s="4" t="s">
        <v>341</v>
      </c>
      <c r="E231" s="4"/>
      <c r="F231" s="26">
        <f>SUM(F225:F230)</f>
        <v>519067061.09999996</v>
      </c>
      <c r="H231" s="26">
        <f>SUM(H225:H230)</f>
        <v>0</v>
      </c>
      <c r="I231" s="24"/>
      <c r="J231" s="24"/>
      <c r="K231" s="24"/>
      <c r="L231" s="24"/>
      <c r="M231" s="24"/>
      <c r="O231" s="4" t="s">
        <v>341</v>
      </c>
    </row>
    <row r="232" spans="1:13" ht="15.75">
      <c r="A232" t="s">
        <v>342</v>
      </c>
      <c r="F232" s="20" t="s">
        <v>1</v>
      </c>
      <c r="H232" s="20" t="s">
        <v>1</v>
      </c>
      <c r="I232" s="24"/>
      <c r="J232" s="24"/>
      <c r="K232" s="24"/>
      <c r="L232" s="24"/>
      <c r="M232" s="24"/>
    </row>
    <row r="233" spans="6:13" ht="15.75">
      <c r="F233" s="35"/>
      <c r="H233" s="35"/>
      <c r="I233" s="24"/>
      <c r="J233" s="24"/>
      <c r="K233" s="24"/>
      <c r="L233" s="24"/>
      <c r="M233" s="24"/>
    </row>
    <row r="234" spans="3:15" ht="15.75">
      <c r="C234" s="4" t="s">
        <v>343</v>
      </c>
      <c r="D234" s="4" t="s">
        <v>344</v>
      </c>
      <c r="E234" s="4"/>
      <c r="I234" s="58"/>
      <c r="J234" s="58"/>
      <c r="K234" s="58"/>
      <c r="L234" s="58"/>
      <c r="M234" s="24">
        <f>SUM(I234:L234)</f>
        <v>0</v>
      </c>
      <c r="N234" s="4" t="s">
        <v>343</v>
      </c>
      <c r="O234" s="4" t="s">
        <v>344</v>
      </c>
    </row>
    <row r="235" spans="4:15" ht="15.75">
      <c r="D235" s="4" t="s">
        <v>345</v>
      </c>
      <c r="E235" s="4"/>
      <c r="I235" s="58"/>
      <c r="J235" s="58"/>
      <c r="K235" s="58"/>
      <c r="L235" s="58"/>
      <c r="M235" s="24">
        <f>SUM(I235:L235)</f>
        <v>0</v>
      </c>
      <c r="O235" s="4" t="s">
        <v>345</v>
      </c>
    </row>
    <row r="236" spans="3:15" ht="15.75">
      <c r="C236" s="4" t="s">
        <v>1</v>
      </c>
      <c r="D236" s="4" t="s">
        <v>331</v>
      </c>
      <c r="E236" s="4"/>
      <c r="F236" s="61">
        <v>0</v>
      </c>
      <c r="H236" s="26">
        <f>+$M236</f>
        <v>533067164.40999997</v>
      </c>
      <c r="I236" s="58"/>
      <c r="J236" s="58"/>
      <c r="K236" s="58"/>
      <c r="L236" s="58">
        <f>73933100+105090963+122050265.33+330390928.08-119358918+20960826</f>
        <v>533067164.40999997</v>
      </c>
      <c r="M236" s="24">
        <f>SUM(I236:L236)</f>
        <v>533067164.40999997</v>
      </c>
      <c r="N236" s="4" t="s">
        <v>1</v>
      </c>
      <c r="O236" s="4" t="s">
        <v>331</v>
      </c>
    </row>
    <row r="237" spans="6:13" ht="15.75">
      <c r="F237" s="35"/>
      <c r="H237" s="20" t="s">
        <v>1</v>
      </c>
      <c r="I237" s="58"/>
      <c r="J237" s="58"/>
      <c r="K237" s="58"/>
      <c r="L237" s="58"/>
      <c r="M237" s="24">
        <f>SUM(I237:L237)</f>
        <v>0</v>
      </c>
    </row>
    <row r="238" spans="4:15" ht="15.75">
      <c r="D238" s="4" t="s">
        <v>346</v>
      </c>
      <c r="E238" s="4"/>
      <c r="F238" s="35"/>
      <c r="H238" s="20" t="s">
        <v>1</v>
      </c>
      <c r="I238" s="58"/>
      <c r="J238" s="58"/>
      <c r="K238" s="58"/>
      <c r="L238" s="58"/>
      <c r="M238" s="58"/>
      <c r="O238" s="4" t="s">
        <v>346</v>
      </c>
    </row>
    <row r="239" spans="4:15" ht="15.75">
      <c r="D239" s="4" t="s">
        <v>347</v>
      </c>
      <c r="E239" s="4"/>
      <c r="F239" s="26">
        <f>SUM(F236)</f>
        <v>0</v>
      </c>
      <c r="H239" s="26">
        <f>SUM(H236)</f>
        <v>533067164.40999997</v>
      </c>
      <c r="I239" s="43">
        <f>SUM(I236)</f>
        <v>0</v>
      </c>
      <c r="J239" s="43">
        <f>SUM(J236)</f>
        <v>0</v>
      </c>
      <c r="K239" s="43">
        <f>SUM(K236)</f>
        <v>0</v>
      </c>
      <c r="L239" s="43">
        <f>SUM(L236)</f>
        <v>533067164.40999997</v>
      </c>
      <c r="M239" s="58"/>
      <c r="O239" s="4" t="s">
        <v>347</v>
      </c>
    </row>
    <row r="240" spans="6:13" ht="15.75">
      <c r="F240" s="35"/>
      <c r="H240" s="20" t="s">
        <v>1</v>
      </c>
      <c r="I240" s="58"/>
      <c r="J240" s="58"/>
      <c r="K240" s="58"/>
      <c r="L240" s="58"/>
      <c r="M240" s="58"/>
    </row>
    <row r="241" spans="6:13" ht="15.75">
      <c r="F241" s="35"/>
      <c r="I241" s="58"/>
      <c r="J241" s="58"/>
      <c r="K241" s="58"/>
      <c r="L241" s="58"/>
      <c r="M241" s="58"/>
    </row>
    <row r="242" spans="1:15" ht="15.75">
      <c r="A242" s="18">
        <v>1410950</v>
      </c>
      <c r="B242" t="s">
        <v>348</v>
      </c>
      <c r="C242" s="4" t="s">
        <v>349</v>
      </c>
      <c r="D242" s="4" t="s">
        <v>350</v>
      </c>
      <c r="E242" s="4"/>
      <c r="F242" s="35"/>
      <c r="H242" s="35"/>
      <c r="I242" s="24"/>
      <c r="J242" s="24"/>
      <c r="K242" s="24"/>
      <c r="L242" s="24"/>
      <c r="M242" s="24"/>
      <c r="N242" s="4" t="s">
        <v>349</v>
      </c>
      <c r="O242" s="4" t="s">
        <v>350</v>
      </c>
    </row>
    <row r="243" spans="4:15" ht="15.75">
      <c r="D243" s="4" t="s">
        <v>331</v>
      </c>
      <c r="E243" s="4"/>
      <c r="F243" s="35">
        <v>0</v>
      </c>
      <c r="H243" s="35">
        <f>$M243</f>
        <v>0</v>
      </c>
      <c r="I243" s="24"/>
      <c r="J243" s="24"/>
      <c r="K243" s="24"/>
      <c r="L243" s="24"/>
      <c r="M243" s="24">
        <f>SUM(I243:L243)</f>
        <v>0</v>
      </c>
      <c r="O243" s="4" t="s">
        <v>331</v>
      </c>
    </row>
    <row r="244" spans="4:15" ht="15.75">
      <c r="D244" s="4" t="s">
        <v>326</v>
      </c>
      <c r="E244" s="4"/>
      <c r="F244" s="35">
        <v>0</v>
      </c>
      <c r="H244" s="35">
        <f>$M244</f>
        <v>0</v>
      </c>
      <c r="I244" s="24"/>
      <c r="J244" s="24"/>
      <c r="K244" s="24"/>
      <c r="L244" s="24"/>
      <c r="M244" s="24">
        <f>SUM(I244:L244)</f>
        <v>0</v>
      </c>
      <c r="O244" s="4" t="s">
        <v>326</v>
      </c>
    </row>
    <row r="245" spans="4:15" ht="15.75">
      <c r="D245" s="4" t="s">
        <v>339</v>
      </c>
      <c r="E245" s="4"/>
      <c r="F245" s="26">
        <v>0</v>
      </c>
      <c r="H245" s="26">
        <v>0</v>
      </c>
      <c r="I245" s="43"/>
      <c r="J245" s="43"/>
      <c r="K245" s="54">
        <v>0</v>
      </c>
      <c r="L245" s="43"/>
      <c r="M245" s="24">
        <f>SUM(I245:L245)</f>
        <v>0</v>
      </c>
      <c r="O245" s="4" t="s">
        <v>339</v>
      </c>
    </row>
    <row r="246" spans="6:13" ht="15.75">
      <c r="F246" s="20" t="s">
        <v>1</v>
      </c>
      <c r="H246" s="20" t="s">
        <v>1</v>
      </c>
      <c r="I246" s="24"/>
      <c r="J246" s="24"/>
      <c r="K246" s="24"/>
      <c r="L246" s="24"/>
      <c r="M246" s="24">
        <f>SUM(I246:L246)</f>
        <v>0</v>
      </c>
    </row>
    <row r="247" spans="4:15" ht="15.75">
      <c r="D247" s="4" t="s">
        <v>351</v>
      </c>
      <c r="E247" s="4"/>
      <c r="F247" s="35"/>
      <c r="H247" s="35"/>
      <c r="I247" s="24"/>
      <c r="J247" s="24"/>
      <c r="K247" s="24"/>
      <c r="L247" s="24"/>
      <c r="M247" s="24"/>
      <c r="O247" s="4" t="s">
        <v>351</v>
      </c>
    </row>
    <row r="248" spans="4:15" ht="15.75">
      <c r="D248" s="4" t="s">
        <v>352</v>
      </c>
      <c r="E248" s="4"/>
      <c r="F248" s="26">
        <f>SUM(F243:F245)</f>
        <v>0</v>
      </c>
      <c r="H248" s="26">
        <f>SUM(H243:H245)</f>
        <v>0</v>
      </c>
      <c r="I248" s="43">
        <f>SUM(I243:I245)</f>
        <v>0</v>
      </c>
      <c r="J248" s="43">
        <f>SUM(J243:J245)</f>
        <v>0</v>
      </c>
      <c r="K248" s="43">
        <f>SUM(K243:K245)</f>
        <v>0</v>
      </c>
      <c r="L248" s="43">
        <f>SUM(L243:L245)</f>
        <v>0</v>
      </c>
      <c r="M248" s="24"/>
      <c r="O248" s="4" t="s">
        <v>352</v>
      </c>
    </row>
    <row r="249" spans="6:13" ht="15.75">
      <c r="F249" s="20" t="s">
        <v>1</v>
      </c>
      <c r="H249" s="20" t="s">
        <v>1</v>
      </c>
      <c r="I249" s="24"/>
      <c r="J249" s="24"/>
      <c r="K249" s="24"/>
      <c r="L249" s="24"/>
      <c r="M249" s="24"/>
    </row>
    <row r="250" spans="9:13" ht="15.75">
      <c r="I250" s="24"/>
      <c r="J250" s="24"/>
      <c r="K250" s="24"/>
      <c r="L250" s="24"/>
      <c r="M250" s="24"/>
    </row>
    <row r="251" spans="3:15" ht="15.75">
      <c r="C251" s="4" t="s">
        <v>353</v>
      </c>
      <c r="D251" s="4" t="s">
        <v>354</v>
      </c>
      <c r="E251" s="4"/>
      <c r="F251" s="35"/>
      <c r="H251" s="35"/>
      <c r="I251" s="24"/>
      <c r="J251" s="24"/>
      <c r="K251" s="24"/>
      <c r="L251" s="24"/>
      <c r="M251" s="24">
        <f>SUM(I251:L251)</f>
        <v>0</v>
      </c>
      <c r="N251" s="4" t="s">
        <v>353</v>
      </c>
      <c r="O251" s="4" t="s">
        <v>354</v>
      </c>
    </row>
    <row r="252" spans="1:15" ht="15.75">
      <c r="A252" s="18">
        <v>1412500</v>
      </c>
      <c r="D252" s="4" t="s">
        <v>355</v>
      </c>
      <c r="E252" s="4"/>
      <c r="F252" s="26">
        <v>0</v>
      </c>
      <c r="H252" s="26">
        <f>$M252</f>
        <v>0</v>
      </c>
      <c r="I252" s="24"/>
      <c r="J252" s="24"/>
      <c r="K252" s="24"/>
      <c r="L252" s="24"/>
      <c r="M252" s="24"/>
      <c r="O252" s="4" t="s">
        <v>355</v>
      </c>
    </row>
    <row r="253" spans="6:13" ht="15.75">
      <c r="F253" s="20" t="s">
        <v>1</v>
      </c>
      <c r="H253" s="20" t="s">
        <v>1</v>
      </c>
      <c r="I253" s="24"/>
      <c r="J253" s="24"/>
      <c r="K253" s="24"/>
      <c r="L253" s="24"/>
      <c r="M253" s="24"/>
    </row>
    <row r="254" spans="6:13" ht="15.75">
      <c r="F254" s="35"/>
      <c r="H254" s="35"/>
      <c r="I254" s="24"/>
      <c r="J254" s="24"/>
      <c r="K254" s="24"/>
      <c r="L254" s="24"/>
      <c r="M254" s="24"/>
    </row>
    <row r="255" spans="3:15" ht="15.75">
      <c r="C255" s="4" t="s">
        <v>356</v>
      </c>
      <c r="D255" s="4" t="s">
        <v>357</v>
      </c>
      <c r="E255" s="4"/>
      <c r="F255" s="26">
        <v>42488365.93</v>
      </c>
      <c r="H255" s="26">
        <f>+M255</f>
        <v>23910279.2</v>
      </c>
      <c r="I255" s="43"/>
      <c r="J255" s="43"/>
      <c r="K255" s="54">
        <v>23910279.2</v>
      </c>
      <c r="L255" s="43"/>
      <c r="M255" s="24">
        <f>SUM(I255:L255)</f>
        <v>23910279.2</v>
      </c>
      <c r="N255" s="4" t="s">
        <v>356</v>
      </c>
      <c r="O255" s="4" t="s">
        <v>358</v>
      </c>
    </row>
    <row r="256" spans="3:15" ht="15.75">
      <c r="C256" s="4"/>
      <c r="D256" s="4"/>
      <c r="E256" s="4"/>
      <c r="F256" s="50"/>
      <c r="H256" s="50"/>
      <c r="I256" s="42"/>
      <c r="J256" s="42"/>
      <c r="K256" s="41"/>
      <c r="L256" s="42"/>
      <c r="M256" s="24"/>
      <c r="N256" s="4"/>
      <c r="O256" s="4"/>
    </row>
    <row r="257" spans="6:13" ht="15.75">
      <c r="F257" s="58"/>
      <c r="H257" s="58"/>
      <c r="I257" s="58">
        <f>SUM(I255)</f>
        <v>0</v>
      </c>
      <c r="J257" s="58">
        <f>SUM(J255)</f>
        <v>0</v>
      </c>
      <c r="K257" s="58">
        <f>SUM(K255)</f>
        <v>23910279.2</v>
      </c>
      <c r="L257" s="58">
        <f>SUM(L255)</f>
        <v>0</v>
      </c>
      <c r="M257" s="58"/>
    </row>
    <row r="258" spans="3:13" ht="15.75">
      <c r="C258" s="79" t="s">
        <v>368</v>
      </c>
      <c r="D258" s="4" t="s">
        <v>370</v>
      </c>
      <c r="F258" s="50">
        <f>115379+11409182+59503357</f>
        <v>71027918</v>
      </c>
      <c r="H258" s="50">
        <f>+M258</f>
        <v>-494403226.53</v>
      </c>
      <c r="I258" s="58"/>
      <c r="J258" s="58"/>
      <c r="K258" s="58">
        <f>115379-6703157.14+11409182+33842534-533067164.39</f>
        <v>-494403226.53</v>
      </c>
      <c r="L258" s="58"/>
      <c r="M258" s="24">
        <f>SUM(I258:L258)</f>
        <v>-494403226.53</v>
      </c>
    </row>
    <row r="259" spans="3:15" ht="15.75">
      <c r="C259" s="79" t="s">
        <v>368</v>
      </c>
      <c r="D259" s="4" t="s">
        <v>371</v>
      </c>
      <c r="E259" s="4"/>
      <c r="F259" s="26">
        <v>0</v>
      </c>
      <c r="H259" s="26">
        <f>+M259</f>
        <v>-952781000</v>
      </c>
      <c r="I259" s="43"/>
      <c r="J259" s="43"/>
      <c r="K259" s="54">
        <f>-239207000-705555000-8019000</f>
        <v>-952781000</v>
      </c>
      <c r="L259" s="43"/>
      <c r="M259" s="24">
        <f>SUM(I259:L259)</f>
        <v>-952781000</v>
      </c>
      <c r="N259" s="4" t="s">
        <v>356</v>
      </c>
      <c r="O259" s="4" t="s">
        <v>358</v>
      </c>
    </row>
    <row r="260" spans="9:19" ht="15.75">
      <c r="I260" s="58"/>
      <c r="J260" s="58"/>
      <c r="K260" s="58"/>
      <c r="L260" s="58"/>
      <c r="M260" s="58"/>
      <c r="S260" s="62"/>
    </row>
    <row r="261" spans="4:19" ht="15.75">
      <c r="D261" t="s">
        <v>372</v>
      </c>
      <c r="F261" s="58">
        <f>SUM(F258:F260)</f>
        <v>71027918</v>
      </c>
      <c r="H261" s="58">
        <f>SUM(H258:H260)</f>
        <v>-1447184226.53</v>
      </c>
      <c r="I261" s="58"/>
      <c r="J261" s="58"/>
      <c r="K261" s="58"/>
      <c r="L261" s="58"/>
      <c r="M261" s="58"/>
      <c r="S261" s="62"/>
    </row>
    <row r="262" spans="9:13" ht="15.75">
      <c r="I262" s="58"/>
      <c r="J262" s="58"/>
      <c r="K262" s="58"/>
      <c r="L262" s="58"/>
      <c r="M262" s="58"/>
    </row>
    <row r="263" spans="9:13" ht="15.75">
      <c r="I263" s="58"/>
      <c r="J263" s="58"/>
      <c r="K263" s="58"/>
      <c r="L263" s="58"/>
      <c r="M263" s="58"/>
    </row>
    <row r="264" spans="4:15" ht="16.5" thickBot="1">
      <c r="D264" s="4" t="s">
        <v>359</v>
      </c>
      <c r="E264" s="4"/>
      <c r="F264" s="63">
        <f>F204+F207+F214+F222+F239+F231+F248+F252+F255+F261</f>
        <v>6745832564.910002</v>
      </c>
      <c r="H264" s="63">
        <f>H204+H207+H214+H222+H239+H231+H248+H252+H255+H261</f>
        <v>1918340863.8299997</v>
      </c>
      <c r="I264" s="64">
        <f>I204+I207+I214+I222+I239+I231+I248+I252+I257</f>
        <v>4274463172.5799994</v>
      </c>
      <c r="J264" s="64">
        <f>J204+J207+J214+J222+J239+J231+J248+J252+J257</f>
        <v>-288130310.54</v>
      </c>
      <c r="K264" s="64">
        <f>K204+K207+K214+K222+K239+K231+K248+K252+K257</f>
        <v>13814461.249999998</v>
      </c>
      <c r="L264" s="64">
        <f>L204+L207+L214+L222+L239+L231+L248+L252+L257</f>
        <v>533067164.40999997</v>
      </c>
      <c r="M264" s="42"/>
      <c r="O264" s="4" t="s">
        <v>360</v>
      </c>
    </row>
    <row r="265" spans="6:13" ht="16.5" thickTop="1">
      <c r="F265" s="83"/>
      <c r="H265" s="84"/>
      <c r="I265" s="24"/>
      <c r="J265" s="24"/>
      <c r="K265" s="24"/>
      <c r="L265" s="24"/>
      <c r="M265" s="24"/>
    </row>
    <row r="266" spans="6:13" ht="15.75">
      <c r="F266" s="22"/>
      <c r="H266" s="22" t="s">
        <v>1</v>
      </c>
      <c r="I266" s="24"/>
      <c r="J266" s="24"/>
      <c r="K266" s="24"/>
      <c r="L266" s="24"/>
      <c r="M266" s="24"/>
    </row>
    <row r="267" spans="6:13" ht="15.75">
      <c r="F267" s="84"/>
      <c r="H267" s="84"/>
      <c r="I267" s="58"/>
      <c r="J267" s="58"/>
      <c r="K267" s="58"/>
      <c r="L267" s="58"/>
      <c r="M267" s="58"/>
    </row>
    <row r="268" spans="3:13" ht="15.75">
      <c r="C268" s="65" t="s">
        <v>361</v>
      </c>
      <c r="F268" s="22"/>
      <c r="H268" s="22"/>
      <c r="I268" s="24"/>
      <c r="J268" s="24"/>
      <c r="K268" s="24"/>
      <c r="L268" s="24"/>
      <c r="M268" s="24"/>
    </row>
    <row r="269" spans="4:13" ht="16.5" thickBot="1">
      <c r="D269" t="s">
        <v>367</v>
      </c>
      <c r="E269" s="63"/>
      <c r="F269" s="63">
        <v>6745832564.91</v>
      </c>
      <c r="G269" s="63"/>
      <c r="H269" s="63">
        <v>1918340863.83</v>
      </c>
      <c r="I269" s="58"/>
      <c r="J269" s="58"/>
      <c r="K269" s="58"/>
      <c r="L269" s="58"/>
      <c r="M269" s="58"/>
    </row>
    <row r="270" spans="6:13" ht="16.5" thickTop="1">
      <c r="F270" s="35"/>
      <c r="H270" s="35"/>
      <c r="I270" s="24"/>
      <c r="J270" s="24"/>
      <c r="K270" s="24"/>
      <c r="L270" s="24"/>
      <c r="M270" s="24"/>
    </row>
    <row r="271" spans="3:15" ht="15.75">
      <c r="C271" s="2"/>
      <c r="D271" s="57"/>
      <c r="E271" s="57"/>
      <c r="F271" s="57"/>
      <c r="G271" s="57"/>
      <c r="H271" s="57"/>
      <c r="I271" s="24"/>
      <c r="J271" s="24"/>
      <c r="K271" s="24"/>
      <c r="L271" s="24"/>
      <c r="M271" s="24"/>
      <c r="N271" s="2" t="s">
        <v>362</v>
      </c>
      <c r="O271" s="57"/>
    </row>
    <row r="272" spans="6:13" ht="15.75">
      <c r="F272" s="35"/>
      <c r="H272" s="20" t="s">
        <v>1</v>
      </c>
      <c r="I272" s="24"/>
      <c r="J272" s="24"/>
      <c r="K272" s="24"/>
      <c r="L272" s="24"/>
      <c r="M272" s="24"/>
    </row>
    <row r="273" spans="4:13" ht="16.5" thickBot="1">
      <c r="D273" t="s">
        <v>363</v>
      </c>
      <c r="F273" s="66">
        <f>+F264-F269</f>
        <v>0</v>
      </c>
      <c r="H273" s="66">
        <f>+H264-H269</f>
        <v>0</v>
      </c>
      <c r="I273" s="24"/>
      <c r="J273" s="24"/>
      <c r="K273" s="24"/>
      <c r="L273" s="24"/>
      <c r="M273" s="24"/>
    </row>
    <row r="274" spans="6:13" ht="15.75">
      <c r="F274" s="35" t="s">
        <v>1</v>
      </c>
      <c r="H274" s="35"/>
      <c r="I274" s="24"/>
      <c r="J274" s="24"/>
      <c r="K274" s="24"/>
      <c r="L274" s="24"/>
      <c r="M274" s="24"/>
    </row>
    <row r="275" spans="6:13" ht="15.75">
      <c r="F275" s="35"/>
      <c r="H275" s="35"/>
      <c r="I275" s="24"/>
      <c r="J275" s="24"/>
      <c r="K275" s="24"/>
      <c r="L275" s="24"/>
      <c r="M275" s="24"/>
    </row>
    <row r="276" spans="6:13" ht="15.75">
      <c r="F276" s="35"/>
      <c r="H276" s="35"/>
      <c r="I276" s="24"/>
      <c r="J276" s="24"/>
      <c r="K276" s="24"/>
      <c r="L276" s="24"/>
      <c r="M276" s="24"/>
    </row>
    <row r="277" spans="6:13" ht="15.75">
      <c r="F277" s="35"/>
      <c r="H277" s="35"/>
      <c r="I277" s="24"/>
      <c r="J277" s="24"/>
      <c r="K277" s="24"/>
      <c r="L277" s="24"/>
      <c r="M277" s="24"/>
    </row>
    <row r="278" spans="6:13" ht="15.75">
      <c r="F278" s="35"/>
      <c r="H278" s="35"/>
      <c r="I278" s="24"/>
      <c r="J278" s="24"/>
      <c r="K278" s="24"/>
      <c r="L278" s="24"/>
      <c r="M278" s="24"/>
    </row>
    <row r="279" spans="6:13" ht="15.75">
      <c r="F279" s="35"/>
      <c r="H279" s="35"/>
      <c r="I279" s="24"/>
      <c r="J279" s="24"/>
      <c r="K279" s="24"/>
      <c r="L279" s="24"/>
      <c r="M279" s="24"/>
    </row>
    <row r="280" spans="3:13" ht="15.75">
      <c r="C280" s="67" t="s">
        <v>364</v>
      </c>
      <c r="D280" s="68"/>
      <c r="F280" s="35"/>
      <c r="H280" s="35"/>
      <c r="I280" s="58"/>
      <c r="J280" s="58"/>
      <c r="K280" s="58"/>
      <c r="L280" s="58"/>
      <c r="M280" s="58"/>
    </row>
    <row r="281" spans="3:13" ht="15.75">
      <c r="C281" s="69" t="s">
        <v>365</v>
      </c>
      <c r="D281" s="69"/>
      <c r="F281" s="35"/>
      <c r="H281" s="35"/>
      <c r="I281" s="58"/>
      <c r="J281" s="58"/>
      <c r="K281" s="58"/>
      <c r="L281" s="58"/>
      <c r="M281" s="58"/>
    </row>
    <row r="282" spans="6:13" ht="15.75">
      <c r="F282" s="35"/>
      <c r="H282" s="35"/>
      <c r="I282" s="58"/>
      <c r="J282" s="58"/>
      <c r="K282" s="58"/>
      <c r="L282" s="58"/>
      <c r="M282" s="58"/>
    </row>
    <row r="283" spans="6:13" ht="15.75">
      <c r="F283" s="35"/>
      <c r="H283" s="35"/>
      <c r="I283" s="58"/>
      <c r="J283" s="58"/>
      <c r="K283" s="58"/>
      <c r="L283" s="58"/>
      <c r="M283" s="58"/>
    </row>
    <row r="284" spans="6:13" ht="15.75">
      <c r="F284" s="35"/>
      <c r="H284" s="35"/>
      <c r="I284" s="58"/>
      <c r="J284" s="58"/>
      <c r="K284" s="58"/>
      <c r="L284" s="58"/>
      <c r="M284" s="58"/>
    </row>
    <row r="285" spans="6:13" ht="15.75">
      <c r="F285" s="35"/>
      <c r="H285" s="35"/>
      <c r="I285" s="58"/>
      <c r="J285" s="58"/>
      <c r="K285" s="58"/>
      <c r="L285" s="58"/>
      <c r="M285" s="58"/>
    </row>
    <row r="286" spans="6:13" ht="15.75">
      <c r="F286" s="35"/>
      <c r="H286" s="35"/>
      <c r="I286" s="58"/>
      <c r="J286" s="58"/>
      <c r="K286" s="58"/>
      <c r="L286" s="58"/>
      <c r="M286" s="58"/>
    </row>
    <row r="287" spans="6:13" ht="15.75">
      <c r="F287" s="35"/>
      <c r="H287" s="35"/>
      <c r="I287" s="58"/>
      <c r="J287" s="58"/>
      <c r="K287" s="58"/>
      <c r="L287" s="58"/>
      <c r="M287" s="58"/>
    </row>
    <row r="288" spans="6:13" ht="15.75">
      <c r="F288" s="35"/>
      <c r="H288" s="35"/>
      <c r="I288" s="58"/>
      <c r="J288" s="58"/>
      <c r="K288" s="58"/>
      <c r="L288" s="58"/>
      <c r="M288" s="58"/>
    </row>
    <row r="289" spans="6:13" ht="15.75">
      <c r="F289" s="35"/>
      <c r="H289" s="35"/>
      <c r="I289" s="58"/>
      <c r="J289" s="58"/>
      <c r="K289" s="58"/>
      <c r="L289" s="58"/>
      <c r="M289" s="58"/>
    </row>
    <row r="290" spans="6:13" ht="15.75">
      <c r="F290" s="35"/>
      <c r="H290" s="35"/>
      <c r="I290" s="58"/>
      <c r="J290" s="58"/>
      <c r="K290" s="58"/>
      <c r="L290" s="58"/>
      <c r="M290" s="58"/>
    </row>
    <row r="291" spans="6:13" ht="15.75">
      <c r="F291" s="35"/>
      <c r="H291" s="35"/>
      <c r="I291" s="58"/>
      <c r="J291" s="58"/>
      <c r="K291" s="58"/>
      <c r="L291" s="58"/>
      <c r="M291" s="58"/>
    </row>
    <row r="292" spans="6:13" ht="15.75">
      <c r="F292" s="35"/>
      <c r="H292" s="35"/>
      <c r="I292" s="58"/>
      <c r="J292" s="58"/>
      <c r="K292" s="58"/>
      <c r="L292" s="58"/>
      <c r="M292" s="58"/>
    </row>
    <row r="293" spans="6:13" ht="15.75">
      <c r="F293" s="35"/>
      <c r="H293" s="35"/>
      <c r="I293" s="58"/>
      <c r="J293" s="58"/>
      <c r="K293" s="58"/>
      <c r="L293" s="58"/>
      <c r="M293" s="58"/>
    </row>
    <row r="294" spans="6:13" ht="15.75">
      <c r="F294" s="35"/>
      <c r="H294" s="35"/>
      <c r="I294" s="58"/>
      <c r="J294" s="58"/>
      <c r="K294" s="58"/>
      <c r="L294" s="58"/>
      <c r="M294" s="58"/>
    </row>
    <row r="295" spans="6:13" ht="15.75">
      <c r="F295" s="35"/>
      <c r="H295" s="35"/>
      <c r="I295" s="58"/>
      <c r="J295" s="58"/>
      <c r="K295" s="58"/>
      <c r="L295" s="58"/>
      <c r="M295" s="58"/>
    </row>
    <row r="296" spans="6:13" ht="15.75">
      <c r="F296" s="35"/>
      <c r="H296" s="35"/>
      <c r="I296" s="58"/>
      <c r="J296" s="58"/>
      <c r="K296" s="58"/>
      <c r="L296" s="58"/>
      <c r="M296" s="58"/>
    </row>
    <row r="297" spans="6:13" ht="15.75">
      <c r="F297" s="35"/>
      <c r="H297" s="35"/>
      <c r="I297" s="58"/>
      <c r="J297" s="58"/>
      <c r="K297" s="58"/>
      <c r="L297" s="58"/>
      <c r="M297" s="58"/>
    </row>
    <row r="298" spans="6:13" ht="15.75">
      <c r="F298" s="35"/>
      <c r="H298" s="35"/>
      <c r="I298" s="58"/>
      <c r="J298" s="58"/>
      <c r="K298" s="58"/>
      <c r="L298" s="58"/>
      <c r="M298" s="58"/>
    </row>
    <row r="299" spans="6:13" ht="15.75">
      <c r="F299" s="35"/>
      <c r="H299" s="35"/>
      <c r="I299" s="58"/>
      <c r="J299" s="58"/>
      <c r="K299" s="58"/>
      <c r="L299" s="58"/>
      <c r="M299" s="58"/>
    </row>
    <row r="300" spans="6:13" ht="15.75">
      <c r="F300" s="35"/>
      <c r="H300" s="35"/>
      <c r="I300" s="58"/>
      <c r="J300" s="58"/>
      <c r="K300" s="58"/>
      <c r="L300" s="58"/>
      <c r="M300" s="58"/>
    </row>
    <row r="301" spans="6:13" ht="15.75">
      <c r="F301" s="35"/>
      <c r="H301" s="35"/>
      <c r="I301" s="58"/>
      <c r="J301" s="58"/>
      <c r="K301" s="58"/>
      <c r="L301" s="58"/>
      <c r="M301" s="58"/>
    </row>
    <row r="302" spans="6:13" ht="15.75">
      <c r="F302" s="35"/>
      <c r="H302" s="35"/>
      <c r="I302" s="58"/>
      <c r="J302" s="58"/>
      <c r="K302" s="58"/>
      <c r="L302" s="58"/>
      <c r="M302" s="58"/>
    </row>
    <row r="303" spans="6:13" ht="15.75">
      <c r="F303" s="35"/>
      <c r="H303" s="35"/>
      <c r="I303" s="58"/>
      <c r="J303" s="58"/>
      <c r="K303" s="58"/>
      <c r="L303" s="58"/>
      <c r="M303" s="58"/>
    </row>
    <row r="304" spans="6:13" ht="15.75">
      <c r="F304" s="35"/>
      <c r="H304" s="35"/>
      <c r="I304" s="58"/>
      <c r="J304" s="58"/>
      <c r="K304" s="58"/>
      <c r="L304" s="58"/>
      <c r="M304" s="58"/>
    </row>
    <row r="305" spans="6:13" ht="15.75">
      <c r="F305" s="35"/>
      <c r="H305" s="35"/>
      <c r="I305" s="58"/>
      <c r="J305" s="58"/>
      <c r="K305" s="58"/>
      <c r="L305" s="58"/>
      <c r="M305" s="58"/>
    </row>
    <row r="306" spans="6:13" ht="15.75">
      <c r="F306" s="35"/>
      <c r="H306" s="35"/>
      <c r="I306" s="58"/>
      <c r="J306" s="58"/>
      <c r="K306" s="58"/>
      <c r="L306" s="58"/>
      <c r="M306" s="58"/>
    </row>
    <row r="307" spans="6:13" ht="15.75">
      <c r="F307" s="35"/>
      <c r="H307" s="35"/>
      <c r="I307" s="58"/>
      <c r="J307" s="58"/>
      <c r="K307" s="58"/>
      <c r="L307" s="58"/>
      <c r="M307" s="58"/>
    </row>
    <row r="308" spans="6:13" ht="15.75">
      <c r="F308" s="35"/>
      <c r="H308" s="35"/>
      <c r="I308" s="58"/>
      <c r="J308" s="58"/>
      <c r="K308" s="58"/>
      <c r="L308" s="58"/>
      <c r="M308" s="58"/>
    </row>
    <row r="309" spans="6:13" ht="15.75">
      <c r="F309" s="35"/>
      <c r="H309" s="35"/>
      <c r="I309" s="70"/>
      <c r="J309" s="70"/>
      <c r="K309" s="70"/>
      <c r="L309" s="70"/>
      <c r="M309" s="70"/>
    </row>
    <row r="310" spans="6:13" ht="15.75">
      <c r="F310" s="35"/>
      <c r="H310" s="35"/>
      <c r="I310" s="70"/>
      <c r="J310" s="70"/>
      <c r="K310" s="70"/>
      <c r="L310" s="70"/>
      <c r="M310" s="70"/>
    </row>
    <row r="311" spans="6:13" ht="15.75">
      <c r="F311" s="35"/>
      <c r="H311" s="35"/>
      <c r="I311" s="70"/>
      <c r="J311" s="70"/>
      <c r="K311" s="70"/>
      <c r="L311" s="70"/>
      <c r="M311" s="70"/>
    </row>
    <row r="312" spans="6:13" ht="15.75">
      <c r="F312" s="35"/>
      <c r="H312" s="35"/>
      <c r="I312" s="70"/>
      <c r="J312" s="70"/>
      <c r="K312" s="70"/>
      <c r="L312" s="70"/>
      <c r="M312" s="70"/>
    </row>
    <row r="313" spans="6:13" ht="15.75">
      <c r="F313" s="35"/>
      <c r="H313" s="35"/>
      <c r="I313" s="70"/>
      <c r="J313" s="70"/>
      <c r="K313" s="70"/>
      <c r="L313" s="70"/>
      <c r="M313" s="70"/>
    </row>
    <row r="314" spans="6:13" ht="15.75">
      <c r="F314" s="35"/>
      <c r="H314" s="35"/>
      <c r="I314" s="70"/>
      <c r="J314" s="70"/>
      <c r="K314" s="70"/>
      <c r="L314" s="70"/>
      <c r="M314" s="70"/>
    </row>
    <row r="315" spans="6:13" ht="15.75">
      <c r="F315" s="35"/>
      <c r="H315" s="35"/>
      <c r="I315" s="70"/>
      <c r="J315" s="70"/>
      <c r="K315" s="70"/>
      <c r="L315" s="70"/>
      <c r="M315" s="70"/>
    </row>
    <row r="316" spans="6:13" ht="15.75">
      <c r="F316" s="35"/>
      <c r="H316" s="35"/>
      <c r="I316" s="70"/>
      <c r="J316" s="70"/>
      <c r="K316" s="70"/>
      <c r="L316" s="70"/>
      <c r="M316" s="70"/>
    </row>
    <row r="317" spans="6:13" ht="15.75">
      <c r="F317" s="35"/>
      <c r="H317" s="35"/>
      <c r="I317" s="70"/>
      <c r="J317" s="70"/>
      <c r="K317" s="70"/>
      <c r="L317" s="70"/>
      <c r="M317" s="70"/>
    </row>
    <row r="318" spans="6:13" ht="15.75">
      <c r="F318" s="35"/>
      <c r="H318" s="35"/>
      <c r="I318" s="70"/>
      <c r="J318" s="70"/>
      <c r="K318" s="70"/>
      <c r="L318" s="70"/>
      <c r="M318" s="70"/>
    </row>
    <row r="319" spans="6:13" ht="15.75">
      <c r="F319" s="35"/>
      <c r="H319" s="35"/>
      <c r="I319" s="70"/>
      <c r="J319" s="70"/>
      <c r="K319" s="70"/>
      <c r="L319" s="70"/>
      <c r="M319" s="70"/>
    </row>
    <row r="320" spans="3:13" ht="15.75">
      <c r="C320" s="57"/>
      <c r="D320" s="2"/>
      <c r="E320" s="2"/>
      <c r="F320" s="71"/>
      <c r="G320" s="57"/>
      <c r="H320" s="71"/>
      <c r="I320" s="70"/>
      <c r="J320" s="70"/>
      <c r="K320" s="70"/>
      <c r="L320" s="70"/>
      <c r="M320" s="70"/>
    </row>
    <row r="321" spans="6:13" ht="15.75">
      <c r="F321" s="35"/>
      <c r="H321" s="35"/>
      <c r="I321" s="70"/>
      <c r="J321" s="70"/>
      <c r="K321" s="70"/>
      <c r="L321" s="70"/>
      <c r="M321" s="70"/>
    </row>
    <row r="322" spans="6:13" ht="15.75">
      <c r="F322" s="35"/>
      <c r="H322" s="35"/>
      <c r="I322" s="70"/>
      <c r="J322" s="70"/>
      <c r="K322" s="70"/>
      <c r="L322" s="70"/>
      <c r="M322" s="70"/>
    </row>
    <row r="323" spans="6:13" ht="15.75">
      <c r="F323" s="35"/>
      <c r="H323" s="35"/>
      <c r="I323" s="70"/>
      <c r="J323" s="70"/>
      <c r="K323" s="70"/>
      <c r="L323" s="70"/>
      <c r="M323" s="70"/>
    </row>
    <row r="324" spans="6:13" ht="15.75">
      <c r="F324" s="35"/>
      <c r="H324" s="35"/>
      <c r="I324" s="70"/>
      <c r="J324" s="70"/>
      <c r="K324" s="70"/>
      <c r="L324" s="70"/>
      <c r="M324" s="70"/>
    </row>
    <row r="325" spans="6:13" ht="15.75">
      <c r="F325" s="35"/>
      <c r="H325" s="35"/>
      <c r="I325" s="70"/>
      <c r="J325" s="70"/>
      <c r="K325" s="70"/>
      <c r="L325" s="70"/>
      <c r="M325" s="70"/>
    </row>
    <row r="326" spans="6:13" ht="15.75">
      <c r="F326" s="35"/>
      <c r="H326" s="35"/>
      <c r="I326" s="70"/>
      <c r="J326" s="70"/>
      <c r="K326" s="70"/>
      <c r="L326" s="70"/>
      <c r="M326" s="70"/>
    </row>
    <row r="327" spans="6:13" ht="15.75">
      <c r="F327" s="35"/>
      <c r="H327" s="35"/>
      <c r="I327" s="70"/>
      <c r="J327" s="70"/>
      <c r="K327" s="70"/>
      <c r="L327" s="70"/>
      <c r="M327" s="70"/>
    </row>
    <row r="328" spans="6:13" ht="15.75">
      <c r="F328" s="35"/>
      <c r="H328" s="35"/>
      <c r="I328" s="70"/>
      <c r="J328" s="70"/>
      <c r="K328" s="70"/>
      <c r="L328" s="70"/>
      <c r="M328" s="70"/>
    </row>
    <row r="329" spans="6:13" ht="15.75">
      <c r="F329" s="35"/>
      <c r="H329" s="35"/>
      <c r="I329" s="70"/>
      <c r="J329" s="70"/>
      <c r="K329" s="70"/>
      <c r="L329" s="70"/>
      <c r="M329" s="70"/>
    </row>
    <row r="330" spans="6:13" ht="15.75">
      <c r="F330" s="35"/>
      <c r="H330" s="35"/>
      <c r="I330" s="70"/>
      <c r="J330" s="70"/>
      <c r="K330" s="70"/>
      <c r="L330" s="70"/>
      <c r="M330" s="70"/>
    </row>
    <row r="331" spans="6:13" ht="15.75">
      <c r="F331" s="35"/>
      <c r="H331" s="35"/>
      <c r="I331" s="70"/>
      <c r="J331" s="70"/>
      <c r="K331" s="70"/>
      <c r="L331" s="70"/>
      <c r="M331" s="70"/>
    </row>
    <row r="332" spans="6:13" ht="15.75">
      <c r="F332" s="35"/>
      <c r="H332" s="35"/>
      <c r="I332" s="70"/>
      <c r="J332" s="70"/>
      <c r="K332" s="70"/>
      <c r="L332" s="70"/>
      <c r="M332" s="70"/>
    </row>
    <row r="333" spans="6:13" ht="15.75">
      <c r="F333" s="35"/>
      <c r="H333" s="35"/>
      <c r="I333" s="70"/>
      <c r="J333" s="70"/>
      <c r="K333" s="70"/>
      <c r="L333" s="70"/>
      <c r="M333" s="70"/>
    </row>
    <row r="334" spans="6:13" ht="15.75">
      <c r="F334" s="35"/>
      <c r="H334" s="35"/>
      <c r="I334" s="70"/>
      <c r="J334" s="70"/>
      <c r="K334" s="70"/>
      <c r="L334" s="70"/>
      <c r="M334" s="70"/>
    </row>
    <row r="335" spans="6:13" ht="15.75">
      <c r="F335" s="35"/>
      <c r="H335" s="35"/>
      <c r="I335" s="70"/>
      <c r="J335" s="70"/>
      <c r="K335" s="70"/>
      <c r="L335" s="70"/>
      <c r="M335" s="70"/>
    </row>
    <row r="336" spans="6:13" ht="15.75">
      <c r="F336" s="35"/>
      <c r="H336" s="35"/>
      <c r="I336" s="70"/>
      <c r="J336" s="70"/>
      <c r="K336" s="70"/>
      <c r="L336" s="70"/>
      <c r="M336" s="70"/>
    </row>
    <row r="337" spans="6:13" ht="15.75">
      <c r="F337" s="35"/>
      <c r="H337" s="35"/>
      <c r="I337" s="70"/>
      <c r="J337" s="70"/>
      <c r="K337" s="70"/>
      <c r="L337" s="70"/>
      <c r="M337" s="70"/>
    </row>
    <row r="338" spans="6:13" ht="15.75">
      <c r="F338" s="35"/>
      <c r="H338" s="35"/>
      <c r="I338" s="70"/>
      <c r="J338" s="70"/>
      <c r="K338" s="70"/>
      <c r="L338" s="70"/>
      <c r="M338" s="70"/>
    </row>
    <row r="339" spans="6:13" ht="15.75">
      <c r="F339" s="35"/>
      <c r="H339" s="35"/>
      <c r="I339" s="70"/>
      <c r="J339" s="70"/>
      <c r="K339" s="70"/>
      <c r="L339" s="70"/>
      <c r="M339" s="70"/>
    </row>
    <row r="340" spans="6:13" ht="15.75">
      <c r="F340" s="35"/>
      <c r="H340" s="35"/>
      <c r="I340" s="70"/>
      <c r="J340" s="70"/>
      <c r="K340" s="70"/>
      <c r="L340" s="70"/>
      <c r="M340" s="70"/>
    </row>
    <row r="341" spans="6:13" ht="15.75">
      <c r="F341" s="35"/>
      <c r="H341" s="35"/>
      <c r="I341" s="70"/>
      <c r="J341" s="70"/>
      <c r="K341" s="70"/>
      <c r="L341" s="70"/>
      <c r="M341" s="70"/>
    </row>
    <row r="342" spans="6:13" ht="15.75">
      <c r="F342" s="35"/>
      <c r="H342" s="35"/>
      <c r="I342" s="70"/>
      <c r="J342" s="70"/>
      <c r="K342" s="70"/>
      <c r="L342" s="70"/>
      <c r="M342" s="70"/>
    </row>
    <row r="343" spans="6:13" ht="15.75">
      <c r="F343" s="35"/>
      <c r="H343" s="35"/>
      <c r="I343" s="70"/>
      <c r="J343" s="70"/>
      <c r="K343" s="70"/>
      <c r="L343" s="70"/>
      <c r="M343" s="70"/>
    </row>
    <row r="344" spans="6:13" ht="15.75">
      <c r="F344" s="35"/>
      <c r="H344" s="35"/>
      <c r="I344" s="70"/>
      <c r="J344" s="70"/>
      <c r="K344" s="70"/>
      <c r="L344" s="70"/>
      <c r="M344" s="70"/>
    </row>
    <row r="345" spans="6:13" ht="15.75">
      <c r="F345" s="35"/>
      <c r="H345" s="35"/>
      <c r="I345" s="70"/>
      <c r="J345" s="70"/>
      <c r="K345" s="70"/>
      <c r="L345" s="70"/>
      <c r="M345" s="70"/>
    </row>
    <row r="346" spans="6:13" ht="15.75">
      <c r="F346" s="35"/>
      <c r="H346" s="35"/>
      <c r="I346" s="70"/>
      <c r="J346" s="70"/>
      <c r="K346" s="70"/>
      <c r="L346" s="70"/>
      <c r="M346" s="70"/>
    </row>
    <row r="347" spans="6:13" ht="15.75">
      <c r="F347" s="35"/>
      <c r="H347" s="35"/>
      <c r="I347" s="70"/>
      <c r="J347" s="70"/>
      <c r="K347" s="70"/>
      <c r="L347" s="70"/>
      <c r="M347" s="70"/>
    </row>
    <row r="348" spans="6:13" ht="15.75">
      <c r="F348" s="35"/>
      <c r="H348" s="35"/>
      <c r="I348" s="70"/>
      <c r="J348" s="70"/>
      <c r="K348" s="70"/>
      <c r="L348" s="70"/>
      <c r="M348" s="70"/>
    </row>
    <row r="349" spans="6:13" ht="15.75">
      <c r="F349" s="35"/>
      <c r="H349" s="35"/>
      <c r="I349" s="70"/>
      <c r="J349" s="70"/>
      <c r="K349" s="70"/>
      <c r="L349" s="70"/>
      <c r="M349" s="70"/>
    </row>
    <row r="350" spans="6:13" ht="15.75">
      <c r="F350" s="35"/>
      <c r="H350" s="35"/>
      <c r="I350" s="70"/>
      <c r="J350" s="70"/>
      <c r="K350" s="70"/>
      <c r="L350" s="70"/>
      <c r="M350" s="70"/>
    </row>
    <row r="351" spans="6:13" ht="15.75">
      <c r="F351" s="35"/>
      <c r="H351" s="35"/>
      <c r="I351" s="70"/>
      <c r="J351" s="70"/>
      <c r="K351" s="70"/>
      <c r="L351" s="70"/>
      <c r="M351" s="70"/>
    </row>
    <row r="352" spans="6:13" ht="15.75">
      <c r="F352" s="35"/>
      <c r="H352" s="35"/>
      <c r="I352" s="70"/>
      <c r="J352" s="70"/>
      <c r="K352" s="70"/>
      <c r="L352" s="70"/>
      <c r="M352" s="70"/>
    </row>
    <row r="353" spans="6:13" ht="15.75">
      <c r="F353" s="35"/>
      <c r="H353" s="35"/>
      <c r="I353" s="70"/>
      <c r="J353" s="70"/>
      <c r="K353" s="70"/>
      <c r="L353" s="70"/>
      <c r="M353" s="70"/>
    </row>
    <row r="354" spans="6:13" ht="15.75">
      <c r="F354" s="35"/>
      <c r="H354" s="35"/>
      <c r="I354" s="70"/>
      <c r="J354" s="70"/>
      <c r="K354" s="70"/>
      <c r="L354" s="70"/>
      <c r="M354" s="70"/>
    </row>
    <row r="355" spans="6:13" ht="15.75">
      <c r="F355" s="35"/>
      <c r="H355" s="35"/>
      <c r="I355" s="70"/>
      <c r="J355" s="70"/>
      <c r="K355" s="70"/>
      <c r="L355" s="70"/>
      <c r="M355" s="70"/>
    </row>
    <row r="356" spans="6:13" ht="15.75">
      <c r="F356" s="35"/>
      <c r="H356" s="35"/>
      <c r="I356" s="70"/>
      <c r="J356" s="70"/>
      <c r="K356" s="70"/>
      <c r="L356" s="70"/>
      <c r="M356" s="70"/>
    </row>
    <row r="357" spans="6:13" ht="15.75">
      <c r="F357" s="35"/>
      <c r="H357" s="35"/>
      <c r="I357" s="70"/>
      <c r="J357" s="70"/>
      <c r="K357" s="70"/>
      <c r="L357" s="70"/>
      <c r="M357" s="70"/>
    </row>
    <row r="358" spans="6:13" ht="15.75">
      <c r="F358" s="35"/>
      <c r="H358" s="35"/>
      <c r="I358" s="70"/>
      <c r="J358" s="70"/>
      <c r="K358" s="70"/>
      <c r="L358" s="70"/>
      <c r="M358" s="70"/>
    </row>
    <row r="359" spans="6:13" ht="15.75">
      <c r="F359" s="35"/>
      <c r="H359" s="35"/>
      <c r="I359" s="70"/>
      <c r="J359" s="70"/>
      <c r="K359" s="70"/>
      <c r="L359" s="70"/>
      <c r="M359" s="70"/>
    </row>
    <row r="360" spans="6:13" ht="15.75">
      <c r="F360" s="35"/>
      <c r="H360" s="35"/>
      <c r="I360" s="70"/>
      <c r="J360" s="70"/>
      <c r="K360" s="70"/>
      <c r="L360" s="70"/>
      <c r="M360" s="70"/>
    </row>
    <row r="361" spans="6:13" ht="15.75">
      <c r="F361" s="35"/>
      <c r="H361" s="35"/>
      <c r="I361" s="70"/>
      <c r="J361" s="70"/>
      <c r="K361" s="70"/>
      <c r="L361" s="70"/>
      <c r="M361" s="70"/>
    </row>
    <row r="362" spans="6:13" ht="15.75">
      <c r="F362" s="35"/>
      <c r="H362" s="35"/>
      <c r="I362" s="70"/>
      <c r="J362" s="70"/>
      <c r="K362" s="70"/>
      <c r="L362" s="70"/>
      <c r="M362" s="70"/>
    </row>
    <row r="363" spans="6:13" ht="15.75">
      <c r="F363" s="35"/>
      <c r="H363" s="35"/>
      <c r="I363" s="70"/>
      <c r="J363" s="70"/>
      <c r="K363" s="70"/>
      <c r="L363" s="70"/>
      <c r="M363" s="70"/>
    </row>
    <row r="364" spans="6:13" ht="15.75">
      <c r="F364" s="35"/>
      <c r="H364" s="35"/>
      <c r="I364" s="70"/>
      <c r="J364" s="70"/>
      <c r="K364" s="70"/>
      <c r="L364" s="70"/>
      <c r="M364" s="70"/>
    </row>
    <row r="365" spans="6:13" ht="15.75">
      <c r="F365" s="35"/>
      <c r="H365" s="35"/>
      <c r="I365" s="70"/>
      <c r="J365" s="70"/>
      <c r="K365" s="70"/>
      <c r="L365" s="70"/>
      <c r="M365" s="70"/>
    </row>
    <row r="366" spans="6:13" ht="15.75">
      <c r="F366" s="35"/>
      <c r="H366" s="35"/>
      <c r="I366" s="70"/>
      <c r="J366" s="70"/>
      <c r="K366" s="70"/>
      <c r="L366" s="70"/>
      <c r="M366" s="70"/>
    </row>
    <row r="367" spans="6:13" ht="15.75">
      <c r="F367" s="35"/>
      <c r="H367" s="35"/>
      <c r="I367" s="70"/>
      <c r="J367" s="70"/>
      <c r="K367" s="70"/>
      <c r="L367" s="70"/>
      <c r="M367" s="70"/>
    </row>
    <row r="368" spans="6:13" ht="15.75">
      <c r="F368" s="35"/>
      <c r="H368" s="35"/>
      <c r="I368" s="70"/>
      <c r="J368" s="70"/>
      <c r="K368" s="70"/>
      <c r="L368" s="70"/>
      <c r="M368" s="70"/>
    </row>
    <row r="369" spans="6:13" ht="15.75">
      <c r="F369" s="35"/>
      <c r="H369" s="35"/>
      <c r="I369" s="70"/>
      <c r="J369" s="70"/>
      <c r="K369" s="70"/>
      <c r="L369" s="70"/>
      <c r="M369" s="70"/>
    </row>
    <row r="370" spans="6:13" ht="15.75">
      <c r="F370" s="35"/>
      <c r="H370" s="35"/>
      <c r="I370" s="70"/>
      <c r="J370" s="70"/>
      <c r="K370" s="70"/>
      <c r="L370" s="70"/>
      <c r="M370" s="70"/>
    </row>
    <row r="371" spans="6:13" ht="15.75">
      <c r="F371" s="35"/>
      <c r="H371" s="35"/>
      <c r="I371" s="70"/>
      <c r="J371" s="70"/>
      <c r="K371" s="70"/>
      <c r="L371" s="70"/>
      <c r="M371" s="70"/>
    </row>
    <row r="372" spans="6:13" ht="15.75">
      <c r="F372" s="35"/>
      <c r="H372" s="35"/>
      <c r="I372" s="70"/>
      <c r="J372" s="70"/>
      <c r="K372" s="70"/>
      <c r="L372" s="70"/>
      <c r="M372" s="70"/>
    </row>
    <row r="373" spans="6:13" ht="15.75">
      <c r="F373" s="35"/>
      <c r="H373" s="35"/>
      <c r="I373" s="70"/>
      <c r="J373" s="70"/>
      <c r="K373" s="70"/>
      <c r="L373" s="70"/>
      <c r="M373" s="70"/>
    </row>
    <row r="374" spans="6:13" ht="15.75">
      <c r="F374" s="35"/>
      <c r="H374" s="35"/>
      <c r="I374" s="70"/>
      <c r="J374" s="70"/>
      <c r="K374" s="70"/>
      <c r="L374" s="70"/>
      <c r="M374" s="70"/>
    </row>
    <row r="375" spans="6:13" ht="15.75">
      <c r="F375" s="35"/>
      <c r="H375" s="35"/>
      <c r="I375" s="70"/>
      <c r="J375" s="70"/>
      <c r="K375" s="70"/>
      <c r="L375" s="70"/>
      <c r="M375" s="70"/>
    </row>
    <row r="376" spans="6:13" ht="15.75">
      <c r="F376" s="35"/>
      <c r="H376" s="35"/>
      <c r="I376" s="70"/>
      <c r="J376" s="70"/>
      <c r="K376" s="70"/>
      <c r="L376" s="70"/>
      <c r="M376" s="70"/>
    </row>
    <row r="377" spans="6:13" ht="15.75">
      <c r="F377" s="35"/>
      <c r="H377" s="35"/>
      <c r="I377" s="70"/>
      <c r="J377" s="70"/>
      <c r="K377" s="70"/>
      <c r="L377" s="70"/>
      <c r="M377" s="70"/>
    </row>
    <row r="378" spans="6:13" ht="15.75">
      <c r="F378" s="35"/>
      <c r="H378" s="35"/>
      <c r="I378" s="70"/>
      <c r="J378" s="70"/>
      <c r="K378" s="70"/>
      <c r="L378" s="70"/>
      <c r="M378" s="70"/>
    </row>
    <row r="379" spans="6:13" ht="15.75">
      <c r="F379" s="35"/>
      <c r="H379" s="35"/>
      <c r="I379" s="70"/>
      <c r="J379" s="70"/>
      <c r="K379" s="70"/>
      <c r="L379" s="70"/>
      <c r="M379" s="70"/>
    </row>
    <row r="380" spans="6:13" ht="15.75">
      <c r="F380" s="35"/>
      <c r="H380" s="35"/>
      <c r="I380" s="70"/>
      <c r="J380" s="70"/>
      <c r="K380" s="70"/>
      <c r="L380" s="70"/>
      <c r="M380" s="70"/>
    </row>
    <row r="381" spans="6:13" ht="15.75">
      <c r="F381" s="35"/>
      <c r="H381" s="35"/>
      <c r="I381" s="70"/>
      <c r="J381" s="70"/>
      <c r="K381" s="70"/>
      <c r="L381" s="70"/>
      <c r="M381" s="70"/>
    </row>
    <row r="382" spans="6:13" ht="15.75">
      <c r="F382" s="35"/>
      <c r="H382" s="35"/>
      <c r="I382" s="70"/>
      <c r="J382" s="70"/>
      <c r="K382" s="70"/>
      <c r="L382" s="70"/>
      <c r="M382" s="70"/>
    </row>
    <row r="383" spans="6:13" ht="15.75">
      <c r="F383" s="35"/>
      <c r="H383" s="35"/>
      <c r="I383" s="70"/>
      <c r="J383" s="70"/>
      <c r="K383" s="70"/>
      <c r="L383" s="70"/>
      <c r="M383" s="70"/>
    </row>
    <row r="384" spans="6:13" ht="15.75">
      <c r="F384" s="35"/>
      <c r="H384" s="35"/>
      <c r="I384" s="70"/>
      <c r="J384" s="70"/>
      <c r="K384" s="70"/>
      <c r="L384" s="70"/>
      <c r="M384" s="70"/>
    </row>
    <row r="385" spans="6:13" ht="15.75">
      <c r="F385" s="35"/>
      <c r="H385" s="35"/>
      <c r="I385" s="70"/>
      <c r="J385" s="70"/>
      <c r="K385" s="70"/>
      <c r="L385" s="70"/>
      <c r="M385" s="70"/>
    </row>
    <row r="386" spans="6:13" ht="15.75">
      <c r="F386" s="35"/>
      <c r="H386" s="35"/>
      <c r="I386" s="70"/>
      <c r="J386" s="70"/>
      <c r="K386" s="70"/>
      <c r="L386" s="70"/>
      <c r="M386" s="70"/>
    </row>
    <row r="387" spans="6:13" ht="15.75">
      <c r="F387" s="35"/>
      <c r="H387" s="35"/>
      <c r="I387" s="70"/>
      <c r="J387" s="70"/>
      <c r="K387" s="70"/>
      <c r="L387" s="70"/>
      <c r="M387" s="70"/>
    </row>
    <row r="388" spans="6:13" ht="15.75">
      <c r="F388" s="35"/>
      <c r="H388" s="35"/>
      <c r="I388" s="70"/>
      <c r="J388" s="70"/>
      <c r="K388" s="70"/>
      <c r="L388" s="70"/>
      <c r="M388" s="70"/>
    </row>
    <row r="389" spans="6:13" ht="15.75">
      <c r="F389" s="35"/>
      <c r="H389" s="35"/>
      <c r="I389" s="70"/>
      <c r="J389" s="70"/>
      <c r="K389" s="70"/>
      <c r="L389" s="70"/>
      <c r="M389" s="70"/>
    </row>
    <row r="390" spans="6:13" ht="15.75">
      <c r="F390" s="35"/>
      <c r="H390" s="35"/>
      <c r="I390" s="70"/>
      <c r="J390" s="70"/>
      <c r="K390" s="70"/>
      <c r="L390" s="70"/>
      <c r="M390" s="70"/>
    </row>
    <row r="391" spans="6:13" ht="15.75">
      <c r="F391" s="35"/>
      <c r="H391" s="35"/>
      <c r="I391" s="70"/>
      <c r="J391" s="70"/>
      <c r="K391" s="70"/>
      <c r="L391" s="70"/>
      <c r="M391" s="70"/>
    </row>
    <row r="392" spans="6:13" ht="15.75">
      <c r="F392" s="35"/>
      <c r="H392" s="35"/>
      <c r="I392" s="70"/>
      <c r="J392" s="70"/>
      <c r="K392" s="70"/>
      <c r="L392" s="70"/>
      <c r="M392" s="70"/>
    </row>
    <row r="393" spans="6:13" ht="15.75">
      <c r="F393" s="35"/>
      <c r="H393" s="35"/>
      <c r="I393" s="70"/>
      <c r="J393" s="70"/>
      <c r="K393" s="70"/>
      <c r="L393" s="70"/>
      <c r="M393" s="70"/>
    </row>
    <row r="394" spans="6:13" ht="15.75">
      <c r="F394" s="35"/>
      <c r="H394" s="35"/>
      <c r="I394" s="70"/>
      <c r="J394" s="70"/>
      <c r="K394" s="70"/>
      <c r="L394" s="70"/>
      <c r="M394" s="70"/>
    </row>
    <row r="395" spans="6:13" ht="15.75">
      <c r="F395" s="35"/>
      <c r="H395" s="35"/>
      <c r="I395" s="70"/>
      <c r="J395" s="70"/>
      <c r="K395" s="70"/>
      <c r="L395" s="70"/>
      <c r="M395" s="70"/>
    </row>
    <row r="396" spans="6:13" ht="15.75">
      <c r="F396" s="35"/>
      <c r="H396" s="35"/>
      <c r="I396" s="70"/>
      <c r="J396" s="70"/>
      <c r="K396" s="70"/>
      <c r="L396" s="70"/>
      <c r="M396" s="70"/>
    </row>
    <row r="397" spans="6:13" ht="15.75">
      <c r="F397" s="35"/>
      <c r="H397" s="35"/>
      <c r="I397" s="70"/>
      <c r="J397" s="70"/>
      <c r="K397" s="70"/>
      <c r="L397" s="70"/>
      <c r="M397" s="70"/>
    </row>
    <row r="398" spans="6:13" ht="15.75">
      <c r="F398" s="35"/>
      <c r="H398" s="35"/>
      <c r="I398" s="70"/>
      <c r="J398" s="70"/>
      <c r="K398" s="70"/>
      <c r="L398" s="70"/>
      <c r="M398" s="70"/>
    </row>
    <row r="399" spans="6:13" ht="15.75">
      <c r="F399" s="35"/>
      <c r="H399" s="35"/>
      <c r="I399" s="70"/>
      <c r="J399" s="70"/>
      <c r="K399" s="70"/>
      <c r="L399" s="70"/>
      <c r="M399" s="70"/>
    </row>
    <row r="400" spans="6:13" ht="15.75">
      <c r="F400" s="35"/>
      <c r="H400" s="35"/>
      <c r="I400" s="70"/>
      <c r="J400" s="70"/>
      <c r="K400" s="70"/>
      <c r="L400" s="70"/>
      <c r="M400" s="70"/>
    </row>
    <row r="401" spans="6:13" ht="15.75">
      <c r="F401" s="35"/>
      <c r="H401" s="35"/>
      <c r="I401" s="70"/>
      <c r="J401" s="70"/>
      <c r="K401" s="70"/>
      <c r="L401" s="70"/>
      <c r="M401" s="70"/>
    </row>
    <row r="402" spans="6:13" ht="15.75">
      <c r="F402" s="35"/>
      <c r="H402" s="35"/>
      <c r="I402" s="70"/>
      <c r="J402" s="70"/>
      <c r="K402" s="70"/>
      <c r="L402" s="70"/>
      <c r="M402" s="70"/>
    </row>
    <row r="403" spans="6:13" ht="15.75">
      <c r="F403" s="35"/>
      <c r="H403" s="35"/>
      <c r="I403" s="70"/>
      <c r="J403" s="70"/>
      <c r="K403" s="70"/>
      <c r="L403" s="70"/>
      <c r="M403" s="70"/>
    </row>
    <row r="404" spans="6:13" ht="15.75">
      <c r="F404" s="35"/>
      <c r="H404" s="35"/>
      <c r="I404" s="70"/>
      <c r="J404" s="70"/>
      <c r="K404" s="70"/>
      <c r="L404" s="70"/>
      <c r="M404" s="70"/>
    </row>
    <row r="405" spans="6:13" ht="15.75">
      <c r="F405" s="35"/>
      <c r="H405" s="35"/>
      <c r="I405" s="70"/>
      <c r="J405" s="70"/>
      <c r="K405" s="70"/>
      <c r="L405" s="70"/>
      <c r="M405" s="70"/>
    </row>
    <row r="406" spans="6:13" ht="15.75">
      <c r="F406" s="35"/>
      <c r="H406" s="35"/>
      <c r="I406" s="70"/>
      <c r="J406" s="70"/>
      <c r="K406" s="70"/>
      <c r="L406" s="70"/>
      <c r="M406" s="70"/>
    </row>
    <row r="407" spans="6:13" ht="15.75">
      <c r="F407" s="35"/>
      <c r="H407" s="35"/>
      <c r="I407" s="70"/>
      <c r="J407" s="70"/>
      <c r="K407" s="70"/>
      <c r="L407" s="70"/>
      <c r="M407" s="70"/>
    </row>
    <row r="408" spans="6:13" ht="15.75">
      <c r="F408" s="35"/>
      <c r="H408" s="35"/>
      <c r="I408" s="70"/>
      <c r="J408" s="70"/>
      <c r="K408" s="70"/>
      <c r="L408" s="70"/>
      <c r="M408" s="70"/>
    </row>
    <row r="409" spans="6:13" ht="15.75">
      <c r="F409" s="35"/>
      <c r="H409" s="35"/>
      <c r="I409" s="70"/>
      <c r="J409" s="70"/>
      <c r="K409" s="70"/>
      <c r="L409" s="70"/>
      <c r="M409" s="70"/>
    </row>
    <row r="410" spans="6:13" ht="15.75">
      <c r="F410" s="35"/>
      <c r="H410" s="35"/>
      <c r="I410" s="70"/>
      <c r="J410" s="70"/>
      <c r="K410" s="70"/>
      <c r="L410" s="70"/>
      <c r="M410" s="70"/>
    </row>
    <row r="411" spans="6:13" ht="15.75">
      <c r="F411" s="35"/>
      <c r="H411" s="35"/>
      <c r="I411" s="70"/>
      <c r="J411" s="70"/>
      <c r="K411" s="70"/>
      <c r="L411" s="70"/>
      <c r="M411" s="70"/>
    </row>
    <row r="412" spans="6:13" ht="15.75">
      <c r="F412" s="35"/>
      <c r="H412" s="35"/>
      <c r="I412" s="70"/>
      <c r="J412" s="70"/>
      <c r="K412" s="70"/>
      <c r="L412" s="70"/>
      <c r="M412" s="70"/>
    </row>
    <row r="413" spans="6:13" ht="15.75">
      <c r="F413" s="35"/>
      <c r="H413" s="35"/>
      <c r="I413" s="70"/>
      <c r="J413" s="70"/>
      <c r="K413" s="70"/>
      <c r="L413" s="70"/>
      <c r="M413" s="70"/>
    </row>
    <row r="414" spans="6:13" ht="15.75">
      <c r="F414" s="35"/>
      <c r="H414" s="35"/>
      <c r="I414" s="70"/>
      <c r="J414" s="70"/>
      <c r="K414" s="70"/>
      <c r="L414" s="70"/>
      <c r="M414" s="70"/>
    </row>
    <row r="415" spans="6:13" ht="15.75">
      <c r="F415" s="35"/>
      <c r="H415" s="35"/>
      <c r="I415" s="70"/>
      <c r="J415" s="70"/>
      <c r="K415" s="70"/>
      <c r="L415" s="70"/>
      <c r="M415" s="70"/>
    </row>
    <row r="416" spans="6:13" ht="15.75">
      <c r="F416" s="35"/>
      <c r="H416" s="35"/>
      <c r="I416" s="70"/>
      <c r="J416" s="70"/>
      <c r="K416" s="70"/>
      <c r="L416" s="70"/>
      <c r="M416" s="70"/>
    </row>
    <row r="417" spans="6:13" ht="15.75">
      <c r="F417" s="35"/>
      <c r="H417" s="35"/>
      <c r="I417" s="70"/>
      <c r="J417" s="70"/>
      <c r="K417" s="70"/>
      <c r="L417" s="70"/>
      <c r="M417" s="70"/>
    </row>
    <row r="418" spans="6:13" ht="15.75">
      <c r="F418" s="35"/>
      <c r="H418" s="35"/>
      <c r="I418" s="70"/>
      <c r="J418" s="70"/>
      <c r="K418" s="70"/>
      <c r="L418" s="70"/>
      <c r="M418" s="70"/>
    </row>
    <row r="419" spans="6:13" ht="15.75">
      <c r="F419" s="35"/>
      <c r="H419" s="35"/>
      <c r="I419" s="70"/>
      <c r="J419" s="70"/>
      <c r="K419" s="70"/>
      <c r="L419" s="70"/>
      <c r="M419" s="70"/>
    </row>
    <row r="420" spans="6:13" ht="15.75">
      <c r="F420" s="35"/>
      <c r="H420" s="35"/>
      <c r="I420" s="70"/>
      <c r="J420" s="70"/>
      <c r="K420" s="70"/>
      <c r="L420" s="70"/>
      <c r="M420" s="70"/>
    </row>
    <row r="421" spans="6:13" ht="15.75">
      <c r="F421" s="35"/>
      <c r="H421" s="35"/>
      <c r="I421" s="70"/>
      <c r="J421" s="70"/>
      <c r="K421" s="70"/>
      <c r="L421" s="70"/>
      <c r="M421" s="70"/>
    </row>
    <row r="422" spans="6:13" ht="15.75">
      <c r="F422" s="35"/>
      <c r="H422" s="35"/>
      <c r="I422" s="70"/>
      <c r="J422" s="70"/>
      <c r="K422" s="70"/>
      <c r="L422" s="70"/>
      <c r="M422" s="70"/>
    </row>
    <row r="423" spans="6:13" ht="15.75">
      <c r="F423" s="35"/>
      <c r="H423" s="35"/>
      <c r="I423" s="70"/>
      <c r="J423" s="70"/>
      <c r="K423" s="70"/>
      <c r="L423" s="70"/>
      <c r="M423" s="70"/>
    </row>
    <row r="424" spans="6:13" ht="15.75">
      <c r="F424" s="35"/>
      <c r="H424" s="35"/>
      <c r="I424" s="70"/>
      <c r="J424" s="70"/>
      <c r="K424" s="70"/>
      <c r="L424" s="70"/>
      <c r="M424" s="70"/>
    </row>
    <row r="425" spans="6:13" ht="15.75">
      <c r="F425" s="35"/>
      <c r="H425" s="35"/>
      <c r="I425" s="70"/>
      <c r="J425" s="70"/>
      <c r="K425" s="70"/>
      <c r="L425" s="70"/>
      <c r="M425" s="70"/>
    </row>
    <row r="426" spans="6:13" ht="15.75">
      <c r="F426" s="35"/>
      <c r="H426" s="35"/>
      <c r="I426" s="70"/>
      <c r="J426" s="70"/>
      <c r="K426" s="70"/>
      <c r="L426" s="70"/>
      <c r="M426" s="70"/>
    </row>
    <row r="427" spans="6:13" ht="15.75">
      <c r="F427" s="35"/>
      <c r="H427" s="35"/>
      <c r="I427" s="70"/>
      <c r="J427" s="70"/>
      <c r="K427" s="70"/>
      <c r="L427" s="70"/>
      <c r="M427" s="70"/>
    </row>
    <row r="428" spans="6:13" ht="15.75">
      <c r="F428" s="35"/>
      <c r="H428" s="35"/>
      <c r="I428" s="70"/>
      <c r="J428" s="70"/>
      <c r="K428" s="70"/>
      <c r="L428" s="70"/>
      <c r="M428" s="70"/>
    </row>
    <row r="429" spans="9:13" ht="15.75">
      <c r="I429" s="70"/>
      <c r="J429" s="70"/>
      <c r="K429" s="70"/>
      <c r="L429" s="70"/>
      <c r="M429" s="70"/>
    </row>
    <row r="430" spans="9:13" ht="15.75">
      <c r="I430" s="70"/>
      <c r="J430" s="70"/>
      <c r="K430" s="70"/>
      <c r="L430" s="70"/>
      <c r="M430" s="70"/>
    </row>
    <row r="431" spans="9:13" ht="15.75">
      <c r="I431" s="70"/>
      <c r="J431" s="70"/>
      <c r="K431" s="70"/>
      <c r="L431" s="70"/>
      <c r="M431" s="70"/>
    </row>
    <row r="432" spans="9:13" ht="15.75">
      <c r="I432" s="70"/>
      <c r="J432" s="70"/>
      <c r="K432" s="70"/>
      <c r="L432" s="70"/>
      <c r="M432" s="70"/>
    </row>
    <row r="433" spans="9:13" ht="15.75">
      <c r="I433" s="70"/>
      <c r="J433" s="70"/>
      <c r="K433" s="70"/>
      <c r="L433" s="70"/>
      <c r="M433" s="70"/>
    </row>
    <row r="434" spans="9:13" ht="15.75">
      <c r="I434" s="70"/>
      <c r="J434" s="70"/>
      <c r="K434" s="70"/>
      <c r="L434" s="70"/>
      <c r="M434" s="70"/>
    </row>
    <row r="435" spans="9:13" ht="15.75">
      <c r="I435" s="70"/>
      <c r="J435" s="70"/>
      <c r="K435" s="70"/>
      <c r="L435" s="70"/>
      <c r="M435" s="70"/>
    </row>
    <row r="436" spans="9:13" ht="15.75">
      <c r="I436" s="70"/>
      <c r="J436" s="70"/>
      <c r="K436" s="70"/>
      <c r="L436" s="70"/>
      <c r="M436" s="70"/>
    </row>
    <row r="437" spans="9:13" ht="15.75">
      <c r="I437" s="70"/>
      <c r="J437" s="70"/>
      <c r="K437" s="70"/>
      <c r="L437" s="70"/>
      <c r="M437" s="70"/>
    </row>
    <row r="438" spans="9:13" ht="15.75">
      <c r="I438" s="70"/>
      <c r="J438" s="70"/>
      <c r="K438" s="70"/>
      <c r="L438" s="70"/>
      <c r="M438" s="70"/>
    </row>
    <row r="439" spans="9:13" ht="15.75">
      <c r="I439" s="70"/>
      <c r="J439" s="70"/>
      <c r="K439" s="70"/>
      <c r="L439" s="70"/>
      <c r="M439" s="70"/>
    </row>
    <row r="440" spans="9:13" ht="15.75">
      <c r="I440" s="70"/>
      <c r="J440" s="70"/>
      <c r="K440" s="70"/>
      <c r="L440" s="70"/>
      <c r="M440" s="70"/>
    </row>
    <row r="441" spans="9:13" ht="15.75">
      <c r="I441" s="70"/>
      <c r="J441" s="70"/>
      <c r="K441" s="70"/>
      <c r="L441" s="70"/>
      <c r="M441" s="70"/>
    </row>
    <row r="442" spans="9:13" ht="15.75">
      <c r="I442" s="70"/>
      <c r="J442" s="70"/>
      <c r="K442" s="70"/>
      <c r="L442" s="70"/>
      <c r="M442" s="70"/>
    </row>
    <row r="443" spans="9:13" ht="15.75">
      <c r="I443" s="70"/>
      <c r="J443" s="70"/>
      <c r="K443" s="70"/>
      <c r="L443" s="70"/>
      <c r="M443" s="70"/>
    </row>
    <row r="444" spans="9:13" ht="15.75">
      <c r="I444" s="70"/>
      <c r="J444" s="70"/>
      <c r="K444" s="70"/>
      <c r="L444" s="70"/>
      <c r="M444" s="70"/>
    </row>
    <row r="445" spans="9:13" ht="15.75">
      <c r="I445" s="70"/>
      <c r="J445" s="70"/>
      <c r="K445" s="70"/>
      <c r="L445" s="70"/>
      <c r="M445" s="70"/>
    </row>
    <row r="446" spans="9:13" ht="15.75">
      <c r="I446" s="70"/>
      <c r="J446" s="70"/>
      <c r="K446" s="70"/>
      <c r="L446" s="70"/>
      <c r="M446" s="70"/>
    </row>
    <row r="447" spans="9:13" ht="15.75">
      <c r="I447" s="70"/>
      <c r="J447" s="70"/>
      <c r="K447" s="70"/>
      <c r="L447" s="70"/>
      <c r="M447" s="70"/>
    </row>
    <row r="448" spans="9:13" ht="15.75">
      <c r="I448" s="70"/>
      <c r="J448" s="70"/>
      <c r="K448" s="70"/>
      <c r="L448" s="70"/>
      <c r="M448" s="70"/>
    </row>
    <row r="449" spans="9:13" ht="15.75">
      <c r="I449" s="70"/>
      <c r="J449" s="70"/>
      <c r="K449" s="70"/>
      <c r="L449" s="70"/>
      <c r="M449" s="70"/>
    </row>
    <row r="450" spans="9:13" ht="15.75">
      <c r="I450" s="70"/>
      <c r="J450" s="70"/>
      <c r="K450" s="70"/>
      <c r="L450" s="70"/>
      <c r="M450" s="70"/>
    </row>
    <row r="451" spans="9:13" ht="15.75">
      <c r="I451" s="70"/>
      <c r="J451" s="70"/>
      <c r="K451" s="70"/>
      <c r="L451" s="70"/>
      <c r="M451" s="70"/>
    </row>
    <row r="452" spans="9:13" ht="15.75">
      <c r="I452" s="70"/>
      <c r="J452" s="70"/>
      <c r="K452" s="70"/>
      <c r="L452" s="70"/>
      <c r="M452" s="70"/>
    </row>
    <row r="453" spans="9:13" ht="15.75">
      <c r="I453" s="70"/>
      <c r="J453" s="70"/>
      <c r="K453" s="70"/>
      <c r="L453" s="70"/>
      <c r="M453" s="70"/>
    </row>
    <row r="454" spans="9:13" ht="15.75">
      <c r="I454" s="70"/>
      <c r="J454" s="70"/>
      <c r="K454" s="70"/>
      <c r="L454" s="70"/>
      <c r="M454" s="70"/>
    </row>
    <row r="455" spans="9:13" ht="15.75">
      <c r="I455" s="70"/>
      <c r="J455" s="70"/>
      <c r="K455" s="70"/>
      <c r="L455" s="70"/>
      <c r="M455" s="70"/>
    </row>
    <row r="456" spans="9:13" ht="15.75">
      <c r="I456" s="70"/>
      <c r="J456" s="70"/>
      <c r="K456" s="70"/>
      <c r="L456" s="70"/>
      <c r="M456" s="70"/>
    </row>
    <row r="457" spans="9:13" ht="15.75">
      <c r="I457" s="70"/>
      <c r="J457" s="70"/>
      <c r="K457" s="70"/>
      <c r="L457" s="70"/>
      <c r="M457" s="70"/>
    </row>
    <row r="458" spans="9:13" ht="15.75">
      <c r="I458" s="70"/>
      <c r="J458" s="70"/>
      <c r="K458" s="70"/>
      <c r="L458" s="70"/>
      <c r="M458" s="70"/>
    </row>
    <row r="459" spans="9:13" ht="15.75">
      <c r="I459" s="70"/>
      <c r="J459" s="70"/>
      <c r="K459" s="70"/>
      <c r="L459" s="70"/>
      <c r="M459" s="70"/>
    </row>
    <row r="460" spans="9:13" ht="15.75">
      <c r="I460" s="70"/>
      <c r="J460" s="70"/>
      <c r="K460" s="70"/>
      <c r="L460" s="70"/>
      <c r="M460" s="70"/>
    </row>
    <row r="461" spans="9:13" ht="15.75">
      <c r="I461" s="70"/>
      <c r="J461" s="70"/>
      <c r="K461" s="70"/>
      <c r="L461" s="70"/>
      <c r="M461" s="70"/>
    </row>
    <row r="462" spans="9:13" ht="15.75">
      <c r="I462" s="70"/>
      <c r="J462" s="70"/>
      <c r="K462" s="70"/>
      <c r="L462" s="70"/>
      <c r="M462" s="70"/>
    </row>
    <row r="463" spans="9:13" ht="15.75">
      <c r="I463" s="70"/>
      <c r="J463" s="70"/>
      <c r="K463" s="70"/>
      <c r="L463" s="70"/>
      <c r="M463" s="70"/>
    </row>
    <row r="464" spans="9:13" ht="15.75">
      <c r="I464" s="70"/>
      <c r="J464" s="70"/>
      <c r="K464" s="70"/>
      <c r="L464" s="70"/>
      <c r="M464" s="70"/>
    </row>
    <row r="465" spans="9:13" ht="15.75">
      <c r="I465" s="70"/>
      <c r="J465" s="70"/>
      <c r="K465" s="70"/>
      <c r="L465" s="70"/>
      <c r="M465" s="70"/>
    </row>
    <row r="466" spans="9:13" ht="15.75">
      <c r="I466" s="70"/>
      <c r="J466" s="70"/>
      <c r="K466" s="70"/>
      <c r="L466" s="70"/>
      <c r="M466" s="70"/>
    </row>
    <row r="467" spans="9:13" ht="15.75">
      <c r="I467" s="70"/>
      <c r="J467" s="70"/>
      <c r="K467" s="70"/>
      <c r="L467" s="70"/>
      <c r="M467" s="70"/>
    </row>
    <row r="468" spans="9:13" ht="15.75">
      <c r="I468" s="70"/>
      <c r="J468" s="70"/>
      <c r="K468" s="70"/>
      <c r="L468" s="70"/>
      <c r="M468" s="70"/>
    </row>
    <row r="469" spans="9:13" ht="15.75">
      <c r="I469" s="70"/>
      <c r="J469" s="70"/>
      <c r="K469" s="70"/>
      <c r="L469" s="70"/>
      <c r="M469" s="70"/>
    </row>
    <row r="470" spans="9:13" ht="15.75">
      <c r="I470" s="70"/>
      <c r="J470" s="70"/>
      <c r="K470" s="70"/>
      <c r="L470" s="70"/>
      <c r="M470" s="70"/>
    </row>
    <row r="471" spans="9:13" ht="15.75">
      <c r="I471" s="70"/>
      <c r="J471" s="70"/>
      <c r="K471" s="70"/>
      <c r="L471" s="70"/>
      <c r="M471" s="70"/>
    </row>
    <row r="472" spans="9:13" ht="15.75">
      <c r="I472" s="70"/>
      <c r="J472" s="70"/>
      <c r="K472" s="70"/>
      <c r="L472" s="70"/>
      <c r="M472" s="70"/>
    </row>
    <row r="473" spans="9:13" ht="15.75">
      <c r="I473" s="70"/>
      <c r="J473" s="70"/>
      <c r="K473" s="70"/>
      <c r="L473" s="70"/>
      <c r="M473" s="70"/>
    </row>
    <row r="474" spans="9:13" ht="15.75">
      <c r="I474" s="70"/>
      <c r="J474" s="70"/>
      <c r="K474" s="70"/>
      <c r="L474" s="70"/>
      <c r="M474" s="70"/>
    </row>
    <row r="475" spans="9:13" ht="15.75">
      <c r="I475" s="70"/>
      <c r="J475" s="70"/>
      <c r="K475" s="70"/>
      <c r="L475" s="70"/>
      <c r="M475" s="70"/>
    </row>
    <row r="476" spans="9:13" ht="15.75">
      <c r="I476" s="70"/>
      <c r="J476" s="70"/>
      <c r="K476" s="70"/>
      <c r="L476" s="70"/>
      <c r="M476" s="70"/>
    </row>
    <row r="477" spans="9:13" ht="15.75">
      <c r="I477" s="70"/>
      <c r="J477" s="70"/>
      <c r="K477" s="70"/>
      <c r="L477" s="70"/>
      <c r="M477" s="70"/>
    </row>
    <row r="478" spans="9:13" ht="15.75">
      <c r="I478" s="70"/>
      <c r="J478" s="70"/>
      <c r="K478" s="70"/>
      <c r="L478" s="70"/>
      <c r="M478" s="70"/>
    </row>
    <row r="479" spans="9:13" ht="15.75">
      <c r="I479" s="70"/>
      <c r="J479" s="70"/>
      <c r="K479" s="70"/>
      <c r="L479" s="70"/>
      <c r="M479" s="70"/>
    </row>
    <row r="480" spans="9:13" ht="15.75">
      <c r="I480" s="70"/>
      <c r="J480" s="70"/>
      <c r="K480" s="70"/>
      <c r="L480" s="70"/>
      <c r="M480" s="70"/>
    </row>
    <row r="481" spans="9:13" ht="15.75">
      <c r="I481" s="70"/>
      <c r="J481" s="70"/>
      <c r="K481" s="70"/>
      <c r="L481" s="70"/>
      <c r="M481" s="70"/>
    </row>
    <row r="482" spans="9:13" ht="15.75">
      <c r="I482" s="70"/>
      <c r="J482" s="70"/>
      <c r="K482" s="70"/>
      <c r="L482" s="70"/>
      <c r="M482" s="70"/>
    </row>
    <row r="483" spans="9:13" ht="15.75">
      <c r="I483" s="70"/>
      <c r="J483" s="70"/>
      <c r="K483" s="70"/>
      <c r="L483" s="70"/>
      <c r="M483" s="70"/>
    </row>
    <row r="484" spans="9:13" ht="15.75">
      <c r="I484" s="70"/>
      <c r="J484" s="70"/>
      <c r="K484" s="70"/>
      <c r="L484" s="70"/>
      <c r="M484" s="70"/>
    </row>
    <row r="485" spans="9:13" ht="15.75">
      <c r="I485" s="70"/>
      <c r="J485" s="70"/>
      <c r="K485" s="70"/>
      <c r="L485" s="70"/>
      <c r="M485" s="70"/>
    </row>
    <row r="486" spans="9:13" ht="15.75">
      <c r="I486" s="70"/>
      <c r="J486" s="70"/>
      <c r="K486" s="70"/>
      <c r="L486" s="70"/>
      <c r="M486" s="70"/>
    </row>
    <row r="487" spans="9:13" ht="15.75">
      <c r="I487" s="70"/>
      <c r="J487" s="70"/>
      <c r="K487" s="70"/>
      <c r="L487" s="70"/>
      <c r="M487" s="70"/>
    </row>
    <row r="488" spans="9:13" ht="15.75">
      <c r="I488" s="70"/>
      <c r="J488" s="70"/>
      <c r="K488" s="70"/>
      <c r="L488" s="70"/>
      <c r="M488" s="70"/>
    </row>
    <row r="489" spans="9:13" ht="15.75">
      <c r="I489" s="70"/>
      <c r="J489" s="70"/>
      <c r="K489" s="70"/>
      <c r="L489" s="70"/>
      <c r="M489" s="70"/>
    </row>
    <row r="490" spans="9:13" ht="15.75">
      <c r="I490" s="70"/>
      <c r="J490" s="70"/>
      <c r="K490" s="70"/>
      <c r="L490" s="70"/>
      <c r="M490" s="70"/>
    </row>
    <row r="491" spans="9:13" ht="15.75">
      <c r="I491" s="70"/>
      <c r="J491" s="70"/>
      <c r="K491" s="70"/>
      <c r="L491" s="70"/>
      <c r="M491" s="70"/>
    </row>
    <row r="492" spans="9:13" ht="15.75">
      <c r="I492" s="70"/>
      <c r="J492" s="70"/>
      <c r="K492" s="70"/>
      <c r="L492" s="70"/>
      <c r="M492" s="70"/>
    </row>
    <row r="493" spans="9:13" ht="15.75">
      <c r="I493" s="70"/>
      <c r="J493" s="70"/>
      <c r="K493" s="70"/>
      <c r="L493" s="70"/>
      <c r="M493" s="70"/>
    </row>
    <row r="494" spans="9:13" ht="15.75">
      <c r="I494" s="70"/>
      <c r="J494" s="70"/>
      <c r="K494" s="70"/>
      <c r="L494" s="70"/>
      <c r="M494" s="70"/>
    </row>
    <row r="495" spans="9:13" ht="15.75">
      <c r="I495" s="70"/>
      <c r="J495" s="70"/>
      <c r="K495" s="70"/>
      <c r="L495" s="70"/>
      <c r="M495" s="70"/>
    </row>
    <row r="496" spans="9:13" ht="15.75">
      <c r="I496" s="70"/>
      <c r="J496" s="70"/>
      <c r="K496" s="70"/>
      <c r="L496" s="70"/>
      <c r="M496" s="70"/>
    </row>
    <row r="497" spans="9:13" ht="15.75">
      <c r="I497" s="70"/>
      <c r="J497" s="70"/>
      <c r="K497" s="70"/>
      <c r="L497" s="70"/>
      <c r="M497" s="70"/>
    </row>
    <row r="498" spans="9:13" ht="15.75">
      <c r="I498" s="70"/>
      <c r="J498" s="70"/>
      <c r="K498" s="70"/>
      <c r="L498" s="70"/>
      <c r="M498" s="70"/>
    </row>
    <row r="499" spans="9:13" ht="15.75">
      <c r="I499" s="70"/>
      <c r="J499" s="70"/>
      <c r="K499" s="70"/>
      <c r="L499" s="70"/>
      <c r="M499" s="70"/>
    </row>
    <row r="500" spans="9:13" ht="15.75">
      <c r="I500" s="70"/>
      <c r="J500" s="70"/>
      <c r="K500" s="70"/>
      <c r="L500" s="70"/>
      <c r="M500" s="70"/>
    </row>
    <row r="501" spans="9:13" ht="15.75">
      <c r="I501" s="70"/>
      <c r="J501" s="70"/>
      <c r="K501" s="70"/>
      <c r="L501" s="70"/>
      <c r="M501" s="70"/>
    </row>
    <row r="502" spans="9:13" ht="15.75">
      <c r="I502" s="70"/>
      <c r="J502" s="70"/>
      <c r="K502" s="70"/>
      <c r="L502" s="70"/>
      <c r="M502" s="70"/>
    </row>
    <row r="503" spans="9:13" ht="15.75">
      <c r="I503" s="70"/>
      <c r="J503" s="70"/>
      <c r="K503" s="70"/>
      <c r="L503" s="70"/>
      <c r="M503" s="70"/>
    </row>
    <row r="504" spans="9:13" ht="15.75">
      <c r="I504" s="70"/>
      <c r="J504" s="70"/>
      <c r="K504" s="70"/>
      <c r="L504" s="70"/>
      <c r="M504" s="70"/>
    </row>
    <row r="505" spans="9:13" ht="15.75">
      <c r="I505" s="70"/>
      <c r="J505" s="70"/>
      <c r="K505" s="70"/>
      <c r="L505" s="70"/>
      <c r="M505" s="70"/>
    </row>
    <row r="506" spans="9:13" ht="15.75">
      <c r="I506" s="70"/>
      <c r="J506" s="70"/>
      <c r="K506" s="70"/>
      <c r="L506" s="70"/>
      <c r="M506" s="70"/>
    </row>
    <row r="507" spans="9:13" ht="15.75">
      <c r="I507" s="70"/>
      <c r="J507" s="70"/>
      <c r="K507" s="70"/>
      <c r="L507" s="70"/>
      <c r="M507" s="70"/>
    </row>
    <row r="508" spans="9:13" ht="15.75">
      <c r="I508" s="70"/>
      <c r="J508" s="70"/>
      <c r="K508" s="70"/>
      <c r="L508" s="70"/>
      <c r="M508" s="70"/>
    </row>
    <row r="509" spans="9:13" ht="15.75">
      <c r="I509" s="70"/>
      <c r="J509" s="70"/>
      <c r="K509" s="70"/>
      <c r="L509" s="70"/>
      <c r="M509" s="70"/>
    </row>
    <row r="510" spans="9:13" ht="15.75">
      <c r="I510" s="70"/>
      <c r="J510" s="70"/>
      <c r="K510" s="70"/>
      <c r="L510" s="70"/>
      <c r="M510" s="70"/>
    </row>
    <row r="511" spans="9:13" ht="15.75">
      <c r="I511" s="70"/>
      <c r="J511" s="70"/>
      <c r="K511" s="70"/>
      <c r="L511" s="70"/>
      <c r="M511" s="70"/>
    </row>
    <row r="512" spans="9:13" ht="15.75">
      <c r="I512" s="70"/>
      <c r="J512" s="70"/>
      <c r="K512" s="70"/>
      <c r="L512" s="70"/>
      <c r="M512" s="70"/>
    </row>
    <row r="513" spans="9:13" ht="15.75">
      <c r="I513" s="70"/>
      <c r="J513" s="70"/>
      <c r="K513" s="70"/>
      <c r="L513" s="70"/>
      <c r="M513" s="70"/>
    </row>
    <row r="514" spans="9:13" ht="15.75">
      <c r="I514" s="70"/>
      <c r="J514" s="70"/>
      <c r="K514" s="70"/>
      <c r="L514" s="70"/>
      <c r="M514" s="70"/>
    </row>
    <row r="515" spans="9:13" ht="15.75">
      <c r="I515" s="70"/>
      <c r="J515" s="70"/>
      <c r="K515" s="70"/>
      <c r="L515" s="70"/>
      <c r="M515" s="70"/>
    </row>
    <row r="516" spans="9:13" ht="15.75">
      <c r="I516" s="70"/>
      <c r="J516" s="70"/>
      <c r="K516" s="70"/>
      <c r="L516" s="70"/>
      <c r="M516" s="70"/>
    </row>
    <row r="517" spans="9:13" ht="15.75">
      <c r="I517" s="70"/>
      <c r="J517" s="70"/>
      <c r="K517" s="70"/>
      <c r="L517" s="70"/>
      <c r="M517" s="70"/>
    </row>
    <row r="518" spans="9:13" ht="15.75">
      <c r="I518" s="70"/>
      <c r="J518" s="70"/>
      <c r="K518" s="70"/>
      <c r="L518" s="70"/>
      <c r="M518" s="70"/>
    </row>
    <row r="519" spans="9:13" ht="15.75">
      <c r="I519" s="70"/>
      <c r="J519" s="70"/>
      <c r="K519" s="70"/>
      <c r="L519" s="70"/>
      <c r="M519" s="70"/>
    </row>
    <row r="520" spans="9:13" ht="15.75">
      <c r="I520" s="70"/>
      <c r="J520" s="70"/>
      <c r="K520" s="70"/>
      <c r="L520" s="70"/>
      <c r="M520" s="70"/>
    </row>
    <row r="521" spans="9:13" ht="15.75">
      <c r="I521" s="70"/>
      <c r="J521" s="70"/>
      <c r="K521" s="70"/>
      <c r="L521" s="70"/>
      <c r="M521" s="70"/>
    </row>
    <row r="522" spans="9:13" ht="15.75">
      <c r="I522" s="70"/>
      <c r="J522" s="70"/>
      <c r="K522" s="70"/>
      <c r="L522" s="70"/>
      <c r="M522" s="70"/>
    </row>
    <row r="523" spans="9:13" ht="15.75">
      <c r="I523" s="70"/>
      <c r="J523" s="70"/>
      <c r="K523" s="70"/>
      <c r="L523" s="70"/>
      <c r="M523" s="70"/>
    </row>
    <row r="524" spans="9:13" ht="15.75">
      <c r="I524" s="70"/>
      <c r="J524" s="70"/>
      <c r="K524" s="70"/>
      <c r="L524" s="70"/>
      <c r="M524" s="70"/>
    </row>
    <row r="525" spans="9:13" ht="15.75">
      <c r="I525" s="70"/>
      <c r="J525" s="70"/>
      <c r="K525" s="70"/>
      <c r="L525" s="70"/>
      <c r="M525" s="70"/>
    </row>
    <row r="526" spans="9:13" ht="15.75">
      <c r="I526" s="70"/>
      <c r="J526" s="70"/>
      <c r="K526" s="70"/>
      <c r="L526" s="70"/>
      <c r="M526" s="70"/>
    </row>
    <row r="527" spans="9:13" ht="15.75">
      <c r="I527" s="70"/>
      <c r="J527" s="70"/>
      <c r="K527" s="70"/>
      <c r="L527" s="70"/>
      <c r="M527" s="70"/>
    </row>
    <row r="528" spans="9:13" ht="15.75">
      <c r="I528" s="70"/>
      <c r="J528" s="70"/>
      <c r="K528" s="70"/>
      <c r="L528" s="70"/>
      <c r="M528" s="70"/>
    </row>
    <row r="529" spans="9:13" ht="15.75">
      <c r="I529" s="70"/>
      <c r="J529" s="70"/>
      <c r="K529" s="70"/>
      <c r="L529" s="70"/>
      <c r="M529" s="70"/>
    </row>
    <row r="530" spans="9:13" ht="15.75">
      <c r="I530" s="70"/>
      <c r="J530" s="70"/>
      <c r="K530" s="70"/>
      <c r="L530" s="70"/>
      <c r="M530" s="70"/>
    </row>
    <row r="531" spans="9:13" ht="15.75">
      <c r="I531" s="70"/>
      <c r="J531" s="70"/>
      <c r="K531" s="70"/>
      <c r="L531" s="70"/>
      <c r="M531" s="70"/>
    </row>
    <row r="532" spans="9:13" ht="15.75">
      <c r="I532" s="70"/>
      <c r="J532" s="70"/>
      <c r="K532" s="70"/>
      <c r="L532" s="70"/>
      <c r="M532" s="70"/>
    </row>
    <row r="533" spans="9:13" ht="15.75">
      <c r="I533" s="70"/>
      <c r="J533" s="70"/>
      <c r="K533" s="70"/>
      <c r="L533" s="70"/>
      <c r="M533" s="70"/>
    </row>
    <row r="534" spans="9:13" ht="15.75">
      <c r="I534" s="70"/>
      <c r="J534" s="70"/>
      <c r="K534" s="70"/>
      <c r="L534" s="70"/>
      <c r="M534" s="70"/>
    </row>
    <row r="535" spans="9:13" ht="15.75">
      <c r="I535" s="70"/>
      <c r="J535" s="70"/>
      <c r="K535" s="70"/>
      <c r="L535" s="70"/>
      <c r="M535" s="70"/>
    </row>
    <row r="536" spans="9:13" ht="15.75">
      <c r="I536" s="70"/>
      <c r="J536" s="70"/>
      <c r="K536" s="70"/>
      <c r="L536" s="70"/>
      <c r="M536" s="70"/>
    </row>
    <row r="537" spans="9:13" ht="15.75">
      <c r="I537" s="70"/>
      <c r="J537" s="70"/>
      <c r="K537" s="70"/>
      <c r="L537" s="70"/>
      <c r="M537" s="70"/>
    </row>
    <row r="538" spans="9:13" ht="15.75">
      <c r="I538" s="70"/>
      <c r="J538" s="70"/>
      <c r="K538" s="70"/>
      <c r="L538" s="70"/>
      <c r="M538" s="70"/>
    </row>
    <row r="539" spans="9:13" ht="15.75">
      <c r="I539" s="70"/>
      <c r="J539" s="70"/>
      <c r="K539" s="70"/>
      <c r="L539" s="70"/>
      <c r="M539" s="70"/>
    </row>
    <row r="540" spans="9:13" ht="15.75">
      <c r="I540" s="70"/>
      <c r="J540" s="70"/>
      <c r="K540" s="70"/>
      <c r="L540" s="70"/>
      <c r="M540" s="70"/>
    </row>
    <row r="541" spans="9:13" ht="15.75">
      <c r="I541" s="70"/>
      <c r="J541" s="70"/>
      <c r="K541" s="70"/>
      <c r="L541" s="70"/>
      <c r="M541" s="70"/>
    </row>
    <row r="542" spans="9:13" ht="15.75">
      <c r="I542" s="70"/>
      <c r="J542" s="70"/>
      <c r="K542" s="70"/>
      <c r="L542" s="70"/>
      <c r="M542" s="70"/>
    </row>
    <row r="543" spans="9:13" ht="15.75">
      <c r="I543" s="70"/>
      <c r="J543" s="70"/>
      <c r="K543" s="70"/>
      <c r="L543" s="70"/>
      <c r="M543" s="70"/>
    </row>
    <row r="544" spans="9:13" ht="15.75">
      <c r="I544" s="70"/>
      <c r="J544" s="70"/>
      <c r="K544" s="70"/>
      <c r="L544" s="70"/>
      <c r="M544" s="70"/>
    </row>
    <row r="545" spans="9:13" ht="15.75">
      <c r="I545" s="70"/>
      <c r="J545" s="70"/>
      <c r="K545" s="70"/>
      <c r="L545" s="70"/>
      <c r="M545" s="70"/>
    </row>
    <row r="546" spans="9:13" ht="15.75">
      <c r="I546" s="70"/>
      <c r="J546" s="70"/>
      <c r="K546" s="70"/>
      <c r="L546" s="70"/>
      <c r="M546" s="70"/>
    </row>
    <row r="547" spans="9:13" ht="15.75">
      <c r="I547" s="70"/>
      <c r="J547" s="70"/>
      <c r="K547" s="70"/>
      <c r="L547" s="70"/>
      <c r="M547" s="70"/>
    </row>
    <row r="548" spans="9:13" ht="15.75">
      <c r="I548" s="70"/>
      <c r="J548" s="70"/>
      <c r="K548" s="70"/>
      <c r="L548" s="70"/>
      <c r="M548" s="70"/>
    </row>
    <row r="549" spans="9:13" ht="15.75">
      <c r="I549" s="70"/>
      <c r="J549" s="70"/>
      <c r="K549" s="70"/>
      <c r="L549" s="70"/>
      <c r="M549" s="70"/>
    </row>
    <row r="550" spans="9:13" ht="15.75">
      <c r="I550" s="70"/>
      <c r="J550" s="70"/>
      <c r="K550" s="70"/>
      <c r="L550" s="70"/>
      <c r="M550" s="70"/>
    </row>
    <row r="551" spans="9:13" ht="15.75">
      <c r="I551" s="70"/>
      <c r="J551" s="70"/>
      <c r="K551" s="70"/>
      <c r="L551" s="70"/>
      <c r="M551" s="70"/>
    </row>
    <row r="552" spans="9:13" ht="15.75">
      <c r="I552" s="70"/>
      <c r="J552" s="70"/>
      <c r="K552" s="70"/>
      <c r="L552" s="70"/>
      <c r="M552" s="70"/>
    </row>
    <row r="553" spans="9:13" ht="15.75">
      <c r="I553" s="70"/>
      <c r="J553" s="70"/>
      <c r="K553" s="70"/>
      <c r="L553" s="70"/>
      <c r="M553" s="70"/>
    </row>
    <row r="554" spans="9:13" ht="15.75">
      <c r="I554" s="70"/>
      <c r="J554" s="70"/>
      <c r="K554" s="70"/>
      <c r="L554" s="70"/>
      <c r="M554" s="70"/>
    </row>
    <row r="555" spans="9:13" ht="15.75">
      <c r="I555" s="70"/>
      <c r="J555" s="70"/>
      <c r="K555" s="70"/>
      <c r="L555" s="70"/>
      <c r="M555" s="70"/>
    </row>
    <row r="556" spans="9:13" ht="15.75">
      <c r="I556" s="70"/>
      <c r="J556" s="70"/>
      <c r="K556" s="70"/>
      <c r="L556" s="70"/>
      <c r="M556" s="70"/>
    </row>
    <row r="557" spans="9:13" ht="15.75">
      <c r="I557" s="70"/>
      <c r="J557" s="70"/>
      <c r="K557" s="70"/>
      <c r="L557" s="70"/>
      <c r="M557" s="70"/>
    </row>
    <row r="558" spans="9:13" ht="15.75">
      <c r="I558" s="70"/>
      <c r="J558" s="70"/>
      <c r="K558" s="70"/>
      <c r="L558" s="70"/>
      <c r="M558" s="70"/>
    </row>
    <row r="559" spans="9:13" ht="15.75">
      <c r="I559" s="70"/>
      <c r="J559" s="70"/>
      <c r="K559" s="70"/>
      <c r="L559" s="70"/>
      <c r="M559" s="70"/>
    </row>
    <row r="560" spans="9:13" ht="15.75">
      <c r="I560" s="70"/>
      <c r="J560" s="70"/>
      <c r="K560" s="70"/>
      <c r="L560" s="70"/>
      <c r="M560" s="70"/>
    </row>
    <row r="561" spans="9:13" ht="15.75">
      <c r="I561" s="70"/>
      <c r="J561" s="70"/>
      <c r="K561" s="70"/>
      <c r="L561" s="70"/>
      <c r="M561" s="70"/>
    </row>
    <row r="562" spans="9:13" ht="15.75">
      <c r="I562" s="70"/>
      <c r="J562" s="70"/>
      <c r="K562" s="70"/>
      <c r="L562" s="70"/>
      <c r="M562" s="70"/>
    </row>
    <row r="563" spans="9:13" ht="15.75">
      <c r="I563" s="70"/>
      <c r="J563" s="70"/>
      <c r="K563" s="70"/>
      <c r="L563" s="70"/>
      <c r="M563" s="70"/>
    </row>
    <row r="564" spans="9:13" ht="15.75">
      <c r="I564" s="70"/>
      <c r="J564" s="70"/>
      <c r="K564" s="70"/>
      <c r="L564" s="70"/>
      <c r="M564" s="70"/>
    </row>
    <row r="565" spans="9:13" ht="15.75">
      <c r="I565" s="70"/>
      <c r="J565" s="70"/>
      <c r="K565" s="70"/>
      <c r="L565" s="70"/>
      <c r="M565" s="70"/>
    </row>
    <row r="566" spans="9:13" ht="15.75">
      <c r="I566" s="70"/>
      <c r="J566" s="70"/>
      <c r="K566" s="70"/>
      <c r="L566" s="70"/>
      <c r="M566" s="70"/>
    </row>
    <row r="567" spans="9:13" ht="15.75">
      <c r="I567" s="70"/>
      <c r="J567" s="70"/>
      <c r="K567" s="70"/>
      <c r="L567" s="70"/>
      <c r="M567" s="70"/>
    </row>
    <row r="568" spans="9:13" ht="15.75">
      <c r="I568" s="70"/>
      <c r="J568" s="70"/>
      <c r="K568" s="70"/>
      <c r="L568" s="70"/>
      <c r="M568" s="70"/>
    </row>
    <row r="569" spans="9:13" ht="15.75">
      <c r="I569" s="70"/>
      <c r="J569" s="70"/>
      <c r="K569" s="70"/>
      <c r="L569" s="70"/>
      <c r="M569" s="70"/>
    </row>
    <row r="570" spans="9:13" ht="15.75">
      <c r="I570" s="70"/>
      <c r="J570" s="70"/>
      <c r="K570" s="70"/>
      <c r="L570" s="70"/>
      <c r="M570" s="70"/>
    </row>
    <row r="571" spans="9:13" ht="15.75">
      <c r="I571" s="70"/>
      <c r="J571" s="70"/>
      <c r="K571" s="70"/>
      <c r="L571" s="70"/>
      <c r="M571" s="70"/>
    </row>
    <row r="572" spans="9:13" ht="15.75">
      <c r="I572" s="70"/>
      <c r="J572" s="70"/>
      <c r="K572" s="70"/>
      <c r="L572" s="70"/>
      <c r="M572" s="70"/>
    </row>
    <row r="573" spans="9:13" ht="15.75">
      <c r="I573" s="70"/>
      <c r="J573" s="70"/>
      <c r="K573" s="70"/>
      <c r="L573" s="70"/>
      <c r="M573" s="70"/>
    </row>
    <row r="574" spans="9:13" ht="15.75">
      <c r="I574" s="70"/>
      <c r="J574" s="70"/>
      <c r="K574" s="70"/>
      <c r="L574" s="70"/>
      <c r="M574" s="70"/>
    </row>
    <row r="575" spans="9:13" ht="15.75">
      <c r="I575" s="70"/>
      <c r="J575" s="70"/>
      <c r="K575" s="70"/>
      <c r="L575" s="70"/>
      <c r="M575" s="70"/>
    </row>
    <row r="576" spans="9:13" ht="15.75">
      <c r="I576" s="70"/>
      <c r="J576" s="70"/>
      <c r="K576" s="70"/>
      <c r="L576" s="70"/>
      <c r="M576" s="70"/>
    </row>
    <row r="577" spans="9:13" ht="15.75">
      <c r="I577" s="70"/>
      <c r="J577" s="70"/>
      <c r="K577" s="70"/>
      <c r="L577" s="70"/>
      <c r="M577" s="70"/>
    </row>
    <row r="578" spans="9:13" ht="15.75">
      <c r="I578" s="70"/>
      <c r="J578" s="70"/>
      <c r="K578" s="70"/>
      <c r="L578" s="70"/>
      <c r="M578" s="70"/>
    </row>
    <row r="579" spans="9:13" ht="15.75">
      <c r="I579" s="70"/>
      <c r="J579" s="70"/>
      <c r="K579" s="70"/>
      <c r="L579" s="70"/>
      <c r="M579" s="70"/>
    </row>
    <row r="580" spans="9:13" ht="15.75">
      <c r="I580" s="70"/>
      <c r="J580" s="70"/>
      <c r="K580" s="70"/>
      <c r="L580" s="70"/>
      <c r="M580" s="70"/>
    </row>
    <row r="581" spans="9:13" ht="15.75">
      <c r="I581" s="70"/>
      <c r="J581" s="70"/>
      <c r="K581" s="70"/>
      <c r="L581" s="70"/>
      <c r="M581" s="70"/>
    </row>
    <row r="582" spans="9:13" ht="15.75">
      <c r="I582" s="70"/>
      <c r="J582" s="70"/>
      <c r="K582" s="70"/>
      <c r="L582" s="70"/>
      <c r="M582" s="70"/>
    </row>
    <row r="583" spans="9:13" ht="15.75">
      <c r="I583" s="70"/>
      <c r="J583" s="70"/>
      <c r="K583" s="70"/>
      <c r="L583" s="70"/>
      <c r="M583" s="70"/>
    </row>
    <row r="584" spans="9:13" ht="15.75">
      <c r="I584" s="70"/>
      <c r="J584" s="70"/>
      <c r="K584" s="70"/>
      <c r="L584" s="70"/>
      <c r="M584" s="70"/>
    </row>
    <row r="585" spans="9:13" ht="15.75">
      <c r="I585" s="70"/>
      <c r="J585" s="70"/>
      <c r="K585" s="70"/>
      <c r="L585" s="70"/>
      <c r="M585" s="70"/>
    </row>
    <row r="586" spans="9:13" ht="15.75">
      <c r="I586" s="70"/>
      <c r="J586" s="70"/>
      <c r="K586" s="70"/>
      <c r="L586" s="70"/>
      <c r="M586" s="70"/>
    </row>
    <row r="587" spans="9:13" ht="15.75">
      <c r="I587" s="70"/>
      <c r="J587" s="70"/>
      <c r="K587" s="70"/>
      <c r="L587" s="70"/>
      <c r="M587" s="70"/>
    </row>
    <row r="588" spans="9:13" ht="15.75">
      <c r="I588" s="70"/>
      <c r="J588" s="70"/>
      <c r="K588" s="70"/>
      <c r="L588" s="70"/>
      <c r="M588" s="70"/>
    </row>
    <row r="589" spans="9:13" ht="15.75">
      <c r="I589" s="70"/>
      <c r="J589" s="70"/>
      <c r="K589" s="70"/>
      <c r="L589" s="70"/>
      <c r="M589" s="70"/>
    </row>
    <row r="590" spans="9:13" ht="15.75">
      <c r="I590" s="70"/>
      <c r="J590" s="70"/>
      <c r="K590" s="70"/>
      <c r="L590" s="70"/>
      <c r="M590" s="70"/>
    </row>
    <row r="591" spans="9:13" ht="15.75">
      <c r="I591" s="70"/>
      <c r="J591" s="70"/>
      <c r="K591" s="70"/>
      <c r="L591" s="70"/>
      <c r="M591" s="70"/>
    </row>
    <row r="592" spans="9:13" ht="15.75">
      <c r="I592" s="70"/>
      <c r="J592" s="70"/>
      <c r="K592" s="70"/>
      <c r="L592" s="70"/>
      <c r="M592" s="70"/>
    </row>
    <row r="593" spans="9:13" ht="15.75">
      <c r="I593" s="70"/>
      <c r="J593" s="70"/>
      <c r="K593" s="70"/>
      <c r="L593" s="70"/>
      <c r="M593" s="70"/>
    </row>
    <row r="594" spans="9:13" ht="15.75">
      <c r="I594" s="70"/>
      <c r="J594" s="70"/>
      <c r="K594" s="70"/>
      <c r="L594" s="70"/>
      <c r="M594" s="70"/>
    </row>
    <row r="595" spans="9:13" ht="15.75">
      <c r="I595" s="70"/>
      <c r="J595" s="70"/>
      <c r="K595" s="70"/>
      <c r="L595" s="70"/>
      <c r="M595" s="70"/>
    </row>
    <row r="596" spans="9:13" ht="15.75">
      <c r="I596" s="70"/>
      <c r="J596" s="70"/>
      <c r="K596" s="70"/>
      <c r="L596" s="70"/>
      <c r="M596" s="70"/>
    </row>
    <row r="597" spans="9:13" ht="15.75">
      <c r="I597" s="70"/>
      <c r="J597" s="70"/>
      <c r="K597" s="70"/>
      <c r="L597" s="70"/>
      <c r="M597" s="70"/>
    </row>
    <row r="598" spans="9:13" ht="15.75">
      <c r="I598" s="70"/>
      <c r="J598" s="70"/>
      <c r="K598" s="70"/>
      <c r="L598" s="70"/>
      <c r="M598" s="70"/>
    </row>
    <row r="599" spans="9:13" ht="15.75">
      <c r="I599" s="70"/>
      <c r="J599" s="70"/>
      <c r="K599" s="70"/>
      <c r="L599" s="70"/>
      <c r="M599" s="70"/>
    </row>
    <row r="600" spans="9:13" ht="15.75">
      <c r="I600" s="70"/>
      <c r="J600" s="70"/>
      <c r="K600" s="70"/>
      <c r="L600" s="70"/>
      <c r="M600" s="70"/>
    </row>
    <row r="601" spans="9:13" ht="15.75">
      <c r="I601" s="70"/>
      <c r="J601" s="70"/>
      <c r="K601" s="70"/>
      <c r="L601" s="70"/>
      <c r="M601" s="70"/>
    </row>
    <row r="602" spans="9:13" ht="15.75">
      <c r="I602" s="70"/>
      <c r="J602" s="70"/>
      <c r="K602" s="70"/>
      <c r="L602" s="70"/>
      <c r="M602" s="70"/>
    </row>
    <row r="603" spans="9:13" ht="15.75">
      <c r="I603" s="70"/>
      <c r="J603" s="70"/>
      <c r="K603" s="70"/>
      <c r="L603" s="70"/>
      <c r="M603" s="70"/>
    </row>
    <row r="604" spans="9:13" ht="15.75">
      <c r="I604" s="70"/>
      <c r="J604" s="70"/>
      <c r="K604" s="70"/>
      <c r="L604" s="70"/>
      <c r="M604" s="70"/>
    </row>
    <row r="605" spans="9:13" ht="15.75">
      <c r="I605" s="70"/>
      <c r="J605" s="70"/>
      <c r="K605" s="70"/>
      <c r="L605" s="70"/>
      <c r="M605" s="70"/>
    </row>
    <row r="606" spans="9:13" ht="15.75">
      <c r="I606" s="70"/>
      <c r="J606" s="70"/>
      <c r="K606" s="70"/>
      <c r="L606" s="70"/>
      <c r="M606" s="70"/>
    </row>
    <row r="607" spans="9:13" ht="15.75">
      <c r="I607" s="70"/>
      <c r="J607" s="70"/>
      <c r="K607" s="70"/>
      <c r="L607" s="70"/>
      <c r="M607" s="70"/>
    </row>
    <row r="608" spans="9:13" ht="15.75">
      <c r="I608" s="70"/>
      <c r="J608" s="70"/>
      <c r="K608" s="70"/>
      <c r="L608" s="70"/>
      <c r="M608" s="70"/>
    </row>
    <row r="609" spans="9:13" ht="15.75">
      <c r="I609" s="70"/>
      <c r="J609" s="70"/>
      <c r="K609" s="70"/>
      <c r="L609" s="70"/>
      <c r="M609" s="70"/>
    </row>
    <row r="610" spans="9:13" ht="15.75">
      <c r="I610" s="70"/>
      <c r="J610" s="70"/>
      <c r="K610" s="70"/>
      <c r="L610" s="70"/>
      <c r="M610" s="70"/>
    </row>
    <row r="611" spans="9:13" ht="15.75">
      <c r="I611" s="70"/>
      <c r="J611" s="70"/>
      <c r="K611" s="70"/>
      <c r="L611" s="70"/>
      <c r="M611" s="70"/>
    </row>
    <row r="612" spans="9:13" ht="15.75">
      <c r="I612" s="70"/>
      <c r="J612" s="70"/>
      <c r="K612" s="70"/>
      <c r="L612" s="70"/>
      <c r="M612" s="70"/>
    </row>
  </sheetData>
  <printOptions horizontalCentered="1"/>
  <pageMargins left="0.2" right="0.24" top="0.5" bottom="0.32" header="0.5" footer="0.17"/>
  <pageSetup horizontalDpi="300" verticalDpi="300" orientation="portrait" scale="75" r:id="rId3"/>
  <headerFooter alignWithMargins="0">
    <oddFooter>&amp;CPage &amp;P</oddFooter>
  </headerFooter>
  <rowBreaks count="5" manualBreakCount="5">
    <brk id="56" min="2" max="7" man="1"/>
    <brk id="109" min="2" max="7" man="1"/>
    <brk id="158" min="2" max="7" man="1"/>
    <brk id="209" min="2" max="7" man="1"/>
    <brk id="268" min="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SClaffey</dc:creator>
  <cp:keywords/>
  <dc:description/>
  <cp:lastModifiedBy>Elizabeth Peters</cp:lastModifiedBy>
  <cp:lastPrinted>2005-10-17T19:34:56Z</cp:lastPrinted>
  <dcterms:created xsi:type="dcterms:W3CDTF">2003-04-15T14:52:13Z</dcterms:created>
  <dcterms:modified xsi:type="dcterms:W3CDTF">2005-12-15T00:37:30Z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592312891</vt:i4>
  </property>
  <property fmtid="{D5CDD505-2E9C-101B-9397-08002B2CF9AE}" pid="3" name="_EmailSubject">
    <vt:lpwstr>SDG&amp;E Statement of Original Cost &amp; Depreciation Reserve </vt:lpwstr>
  </property>
  <property fmtid="{D5CDD505-2E9C-101B-9397-08002B2CF9AE}" pid="4" name="_AuthorEmail">
    <vt:lpwstr>KLoney@semprautilities.com</vt:lpwstr>
  </property>
  <property fmtid="{D5CDD505-2E9C-101B-9397-08002B2CF9AE}" pid="5" name="_AuthorEmailDisplayName">
    <vt:lpwstr>Loney, Karen S.</vt:lpwstr>
  </property>
  <property fmtid="{D5CDD505-2E9C-101B-9397-08002B2CF9AE}" pid="6" name="_ReviewingToolsShownOnce">
    <vt:lpwstr/>
  </property>
  <property fmtid="{D5CDD505-2E9C-101B-9397-08002B2CF9AE}" pid="7" name="DM_Links_Updated">
    <vt:bool>true</vt:bool>
  </property>
</Properties>
</file>