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mpra.sharepoint.com/teams/transmissionrevenue/2026/TRBAA, TACBAA, RSBA Filings in 2026 for 2027/TRBAA/Filing Workpapers/"/>
    </mc:Choice>
  </mc:AlternateContent>
  <xr:revisionPtr revIDLastSave="121" documentId="8_{AD62B205-BCC3-49EB-BB1E-5BE1B98CC165}" xr6:coauthVersionLast="47" xr6:coauthVersionMax="47" xr10:uidLastSave="{E64FD891-31FB-40A2-8C95-B7354987C719}"/>
  <bookViews>
    <workbookView xWindow="-120" yWindow="-120" windowWidth="29040" windowHeight="15720" tabRatio="914" xr2:uid="{00000000-000D-0000-FFFF-FFFF00000000}"/>
  </bookViews>
  <sheets>
    <sheet name="Stmnt BD - Recorded KWH" sheetId="24" r:id="rId1"/>
    <sheet name="Stmnt BD - Forecast KWH" sheetId="51" r:id="rId2"/>
    <sheet name="Stmnt BD-Forecast MWH@Transm." sheetId="35" r:id="rId3"/>
    <sheet name="Stmt BD-Forecast Pump Storage" sheetId="138" r:id="rId4"/>
    <sheet name="Stmt BD-Pump Load True Up Adj" sheetId="146" r:id="rId5"/>
    <sheet name="Stmt BG - Page 1" sheetId="114" r:id="rId6"/>
    <sheet name="Stmt BG - Page 2" sheetId="139" r:id="rId7"/>
    <sheet name="Stmt BG - Page 3" sheetId="116" r:id="rId8"/>
    <sheet name="Stmt BG - Page 4" sheetId="117" r:id="rId9"/>
    <sheet name="Stmt BH - Page 1" sheetId="140" r:id="rId10"/>
    <sheet name="Stmt BH - Page 2" sheetId="119" r:id="rId11"/>
    <sheet name="Stmt BH - Page 3" sheetId="120" r:id="rId12"/>
    <sheet name="Stmnt BK1 - TRBAA" sheetId="46" r:id="rId13"/>
    <sheet name="Stmnt BK2 - TRBAA" sheetId="32" r:id="rId14"/>
    <sheet name="Stmnt BL (Non-CAISO) - TRBAA" sheetId="47" r:id="rId15"/>
    <sheet name="Stmnt BL - CAISO WHOLESALE" sheetId="22" r:id="rId16"/>
    <sheet name="WP 1.1 Recorded Sales" sheetId="96" r:id="rId17"/>
    <sheet name="WP 1.2 Forecast Sales" sheetId="97" r:id="rId18"/>
    <sheet name="WP 2 Allocation of TRBAA" sheetId="17" r:id="rId19"/>
    <sheet name="WP 3 Standby Revenues" sheetId="147" r:id="rId20"/>
    <sheet name="WP 4 Monthly TRBAA " sheetId="111" r:id="rId21"/>
    <sheet name="WP 4 Footnotes" sheetId="89" r:id="rId22"/>
    <sheet name="WP 5 CAISO Charges" sheetId="56" r:id="rId23"/>
    <sheet name="WP 6 HV LV Alloc Summary" sheetId="143" r:id="rId24"/>
    <sheet name="WP 7 Wheeling Revenues" sheetId="79" r:id="rId25"/>
    <sheet name="WP 8 CT4575" sheetId="113" r:id="rId26"/>
    <sheet name="WP 9 ETC Cost Diffs" sheetId="144" r:id="rId27"/>
    <sheet name="WP 10 ETC Costs" sheetId="141" r:id="rId28"/>
    <sheet name="WP 11 Other PTO Forecast" sheetId="107" r:id="rId29"/>
    <sheet name="WP 12 PTO" sheetId="108" r:id="rId30"/>
  </sheets>
  <definedNames>
    <definedName name="_Fill" localSheetId="4" hidden="1">#REF!</definedName>
    <definedName name="_Fill" localSheetId="28" hidden="1">#REF!</definedName>
    <definedName name="_Fill" localSheetId="29" hidden="1">#REF!</definedName>
    <definedName name="_Fill" localSheetId="20" hidden="1">#REF!</definedName>
    <definedName name="_Fill" localSheetId="25" hidden="1">#REF!</definedName>
    <definedName name="_Fill" hidden="1">#REF!</definedName>
    <definedName name="_xlnm.Print_Area" localSheetId="6">'Stmt BG - Page 2'!$A$1:$J$45</definedName>
    <definedName name="_xlnm.Print_Area" localSheetId="9">'Stmt BH - Page 1'!$A$1:$J$45</definedName>
    <definedName name="_xlnm.Print_Area" localSheetId="10">'Stmt BH - Page 2'!$A$1:$J$46</definedName>
    <definedName name="_xlnm.Print_Area" localSheetId="11">'Stmt BH - Page 3'!$A$1:$K$46</definedName>
    <definedName name="_xlnm.Print_Area" localSheetId="16">'WP 1.1 Recorded Sales'!$A$1:$P$49</definedName>
    <definedName name="_xlnm.Print_Area" localSheetId="17">'WP 1.2 Forecast Sales'!$A$1:$P$53</definedName>
    <definedName name="_xlnm.Print_Area" localSheetId="27">'WP 10 ETC Costs'!$A$3:$Q$67</definedName>
    <definedName name="_xlnm.Print_Area" localSheetId="19">'WP 3 Standby Revenues'!$A$1:$G$20</definedName>
    <definedName name="_xlnm.Print_Area" localSheetId="20">'WP 4 Monthly TRBAA '!$A$1:$Q$44</definedName>
    <definedName name="_xlnm.Print_Area" localSheetId="22">'WP 5 CAISO Charges'!$A$1:$Q$20</definedName>
    <definedName name="_xlnm.Print_Area" localSheetId="23">'WP 6 HV LV Alloc Summary'!$A$1:$G$50</definedName>
    <definedName name="_xlnm.Print_Titles" localSheetId="27">'WP 10 ETC Costs'!$A:$C</definedName>
    <definedName name="_xlnm.Print_Titles" localSheetId="20">'WP 4 Monthly TRBAA '!$A:$B</definedName>
    <definedName name="_xlnm.Print_Titles" localSheetId="22">'WP 5 CAISO Charges'!$A:$B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7" i="141" l="1"/>
  <c r="O27" i="141"/>
  <c r="O25" i="141"/>
  <c r="O21" i="141"/>
  <c r="P48" i="97" l="1"/>
  <c r="P49" i="97" s="1"/>
  <c r="P50" i="97" s="1"/>
  <c r="P51" i="97" s="1"/>
  <c r="P52" i="97" s="1"/>
  <c r="A48" i="97"/>
  <c r="A49" i="97"/>
  <c r="A50" i="97" s="1"/>
  <c r="A51" i="97" s="1"/>
  <c r="P22" i="97"/>
  <c r="P23" i="97" s="1"/>
  <c r="P24" i="97" s="1"/>
  <c r="A22" i="97"/>
  <c r="A23" i="97" s="1"/>
  <c r="A24" i="97" s="1"/>
  <c r="C47" i="97" l="1"/>
  <c r="C48" i="97"/>
  <c r="D48" i="97"/>
  <c r="E48" i="97"/>
  <c r="F48" i="97"/>
  <c r="G48" i="97"/>
  <c r="H48" i="97"/>
  <c r="I48" i="97"/>
  <c r="J48" i="97"/>
  <c r="K48" i="97"/>
  <c r="L48" i="97"/>
  <c r="M48" i="97"/>
  <c r="N48" i="97"/>
  <c r="O48" i="97"/>
  <c r="C49" i="97"/>
  <c r="D49" i="97"/>
  <c r="E49" i="97"/>
  <c r="F49" i="97"/>
  <c r="G49" i="97"/>
  <c r="H49" i="97"/>
  <c r="I49" i="97"/>
  <c r="J49" i="97"/>
  <c r="K49" i="97"/>
  <c r="L49" i="97"/>
  <c r="M49" i="97"/>
  <c r="N49" i="97"/>
  <c r="O49" i="97"/>
  <c r="C50" i="97"/>
  <c r="D50" i="97"/>
  <c r="E50" i="97"/>
  <c r="F50" i="97"/>
  <c r="G50" i="97"/>
  <c r="H50" i="97"/>
  <c r="I50" i="97"/>
  <c r="J50" i="97"/>
  <c r="K50" i="97"/>
  <c r="L50" i="97"/>
  <c r="M50" i="97"/>
  <c r="N50" i="97"/>
  <c r="O50" i="97"/>
  <c r="O22" i="97"/>
  <c r="O23" i="97"/>
  <c r="F43" i="111" l="1"/>
  <c r="F42" i="111"/>
  <c r="Q13" i="141" l="1"/>
  <c r="Q14" i="141"/>
  <c r="Q15" i="141"/>
  <c r="Q16" i="141"/>
  <c r="Q17" i="141"/>
  <c r="Q18" i="141"/>
  <c r="Q19" i="141"/>
  <c r="Q20" i="141"/>
  <c r="Q21" i="141"/>
  <c r="Q22" i="141"/>
  <c r="Q23" i="141"/>
  <c r="Q24" i="141"/>
  <c r="Q25" i="141"/>
  <c r="Q26" i="141"/>
  <c r="Q27" i="141"/>
  <c r="Q28" i="141"/>
  <c r="Q29" i="141"/>
  <c r="Q30" i="141"/>
  <c r="Q31" i="141"/>
  <c r="Q32" i="141"/>
  <c r="Q33" i="141"/>
  <c r="Q34" i="141"/>
  <c r="Q35" i="141"/>
  <c r="Q36" i="141"/>
  <c r="Q37" i="141"/>
  <c r="Q38" i="141"/>
  <c r="Q39" i="141"/>
  <c r="Q40" i="141"/>
  <c r="Q41" i="141"/>
  <c r="Q42" i="141"/>
  <c r="Q43" i="141"/>
  <c r="Q44" i="141"/>
  <c r="Q45" i="141"/>
  <c r="Q46" i="141"/>
  <c r="Q47" i="141"/>
  <c r="Q48" i="141"/>
  <c r="Q49" i="141"/>
  <c r="Q50" i="141"/>
  <c r="Q51" i="141"/>
  <c r="Q52" i="141"/>
  <c r="Q53" i="141"/>
  <c r="Q54" i="141"/>
  <c r="Q55" i="141"/>
  <c r="Q56" i="141"/>
  <c r="Q57" i="141"/>
  <c r="Q58" i="141"/>
  <c r="Q59" i="141"/>
  <c r="Q60" i="141"/>
  <c r="Q61" i="141"/>
  <c r="Q62" i="141"/>
  <c r="Q63" i="141"/>
  <c r="Q64" i="141"/>
  <c r="Q65" i="141"/>
  <c r="Q66" i="141"/>
  <c r="Q67" i="141"/>
  <c r="A13" i="141"/>
  <c r="A14" i="141" s="1"/>
  <c r="A15" i="141" s="1"/>
  <c r="A16" i="141" s="1"/>
  <c r="A17" i="141" s="1"/>
  <c r="A18" i="141" s="1"/>
  <c r="A19" i="141" s="1"/>
  <c r="A20" i="141" s="1"/>
  <c r="A21" i="141" s="1"/>
  <c r="A22" i="141" s="1"/>
  <c r="A23" i="141" s="1"/>
  <c r="A24" i="141" s="1"/>
  <c r="A25" i="141" s="1"/>
  <c r="A26" i="141" s="1"/>
  <c r="A27" i="141" s="1"/>
  <c r="A28" i="141" s="1"/>
  <c r="A29" i="141" s="1"/>
  <c r="A30" i="141" s="1"/>
  <c r="A31" i="141" s="1"/>
  <c r="A32" i="141" s="1"/>
  <c r="A33" i="141" s="1"/>
  <c r="A34" i="141" s="1"/>
  <c r="A35" i="141" s="1"/>
  <c r="A36" i="141" s="1"/>
  <c r="A37" i="141" s="1"/>
  <c r="A38" i="141" s="1"/>
  <c r="A39" i="141" s="1"/>
  <c r="A40" i="141" s="1"/>
  <c r="A41" i="141" s="1"/>
  <c r="A42" i="141" s="1"/>
  <c r="A43" i="141" s="1"/>
  <c r="A44" i="141" s="1"/>
  <c r="A45" i="141" s="1"/>
  <c r="A46" i="141" s="1"/>
  <c r="A47" i="141" s="1"/>
  <c r="A48" i="141" s="1"/>
  <c r="A49" i="141" s="1"/>
  <c r="A50" i="141" s="1"/>
  <c r="A51" i="141" s="1"/>
  <c r="A52" i="141" s="1"/>
  <c r="A53" i="141" s="1"/>
  <c r="A54" i="141" s="1"/>
  <c r="A55" i="141" s="1"/>
  <c r="A56" i="141" s="1"/>
  <c r="A57" i="141" s="1"/>
  <c r="A58" i="141" s="1"/>
  <c r="A59" i="141" s="1"/>
  <c r="A60" i="141" s="1"/>
  <c r="A61" i="141" s="1"/>
  <c r="A62" i="141" s="1"/>
  <c r="A63" i="141" s="1"/>
  <c r="A64" i="141" s="1"/>
  <c r="A65" i="141" s="1"/>
  <c r="A66" i="141" s="1"/>
  <c r="A67" i="141" s="1"/>
  <c r="P60" i="141"/>
  <c r="P59" i="141"/>
  <c r="P58" i="141"/>
  <c r="P48" i="141"/>
  <c r="P49" i="141"/>
  <c r="P41" i="141"/>
  <c r="P38" i="141"/>
  <c r="P39" i="141"/>
  <c r="P33" i="141"/>
  <c r="P26" i="141"/>
  <c r="P22" i="141"/>
  <c r="P23" i="141"/>
  <c r="P24" i="141"/>
  <c r="P13" i="141"/>
  <c r="N57" i="141" l="1"/>
  <c r="M57" i="141"/>
  <c r="L57" i="141"/>
  <c r="K57" i="141"/>
  <c r="J57" i="141"/>
  <c r="I57" i="141"/>
  <c r="H57" i="141"/>
  <c r="G57" i="141"/>
  <c r="F57" i="141"/>
  <c r="E57" i="141"/>
  <c r="D57" i="141"/>
  <c r="M27" i="141"/>
  <c r="H27" i="141"/>
  <c r="M25" i="141"/>
  <c r="D25" i="141"/>
  <c r="N21" i="141"/>
  <c r="M21" i="141"/>
  <c r="L21" i="141"/>
  <c r="K21" i="141"/>
  <c r="J21" i="141"/>
  <c r="I21" i="141"/>
  <c r="H21" i="141"/>
  <c r="G21" i="141"/>
  <c r="F21" i="141"/>
  <c r="E21" i="141"/>
  <c r="D21" i="141"/>
  <c r="D5" i="141"/>
  <c r="M5" i="141"/>
  <c r="M62" i="141" l="1"/>
  <c r="N42" i="111"/>
  <c r="M42" i="111"/>
  <c r="L42" i="111"/>
  <c r="K42" i="111"/>
  <c r="J42" i="111"/>
  <c r="I42" i="111"/>
  <c r="H42" i="111"/>
  <c r="G43" i="111"/>
  <c r="J43" i="111" s="1"/>
  <c r="G42" i="111"/>
  <c r="C43" i="111"/>
  <c r="E43" i="111" s="1"/>
  <c r="C42" i="111"/>
  <c r="E42" i="111" l="1"/>
  <c r="N43" i="111"/>
  <c r="K43" i="111"/>
  <c r="L43" i="111"/>
  <c r="I43" i="111"/>
  <c r="M43" i="111"/>
  <c r="O28" i="141" l="1"/>
  <c r="N28" i="141"/>
  <c r="M28" i="141"/>
  <c r="L28" i="141"/>
  <c r="K28" i="141"/>
  <c r="J28" i="141"/>
  <c r="I28" i="141"/>
  <c r="H28" i="141"/>
  <c r="G28" i="141"/>
  <c r="F28" i="141"/>
  <c r="E28" i="141"/>
  <c r="D28" i="141"/>
  <c r="O62" i="141"/>
  <c r="N27" i="141"/>
  <c r="L27" i="141"/>
  <c r="K27" i="141"/>
  <c r="J27" i="141"/>
  <c r="I27" i="141"/>
  <c r="G27" i="141"/>
  <c r="F27" i="141"/>
  <c r="E27" i="141"/>
  <c r="D27" i="141"/>
  <c r="D62" i="141" s="1"/>
  <c r="J25" i="141"/>
  <c r="J62" i="141" s="1"/>
  <c r="N25" i="141"/>
  <c r="L25" i="141"/>
  <c r="K25" i="141"/>
  <c r="K62" i="141" s="1"/>
  <c r="I25" i="141"/>
  <c r="G25" i="141"/>
  <c r="F25" i="141"/>
  <c r="F62" i="141" s="1"/>
  <c r="E25" i="141"/>
  <c r="E62" i="141" s="1"/>
  <c r="N5" i="141"/>
  <c r="L5" i="141"/>
  <c r="K5" i="141"/>
  <c r="J5" i="141"/>
  <c r="I5" i="141"/>
  <c r="G5" i="141"/>
  <c r="F5" i="141"/>
  <c r="E5" i="141"/>
  <c r="I62" i="141" l="1"/>
  <c r="L62" i="141"/>
  <c r="G62" i="141"/>
  <c r="N62" i="141"/>
  <c r="A6" i="141"/>
  <c r="P31" i="141"/>
  <c r="H25" i="141" l="1"/>
  <c r="H62" i="141" s="1"/>
  <c r="H5" i="141"/>
  <c r="I50" i="111"/>
  <c r="D21" i="96"/>
  <c r="E21" i="96"/>
  <c r="F21" i="96"/>
  <c r="G21" i="96"/>
  <c r="H21" i="96"/>
  <c r="I21" i="96"/>
  <c r="J21" i="96"/>
  <c r="K21" i="96"/>
  <c r="L21" i="96"/>
  <c r="M21" i="96"/>
  <c r="N21" i="96"/>
  <c r="C21" i="96"/>
  <c r="O5" i="141"/>
  <c r="P12" i="141" l="1"/>
  <c r="Q6" i="108" l="1"/>
  <c r="Q7" i="108"/>
  <c r="Q8" i="108"/>
  <c r="Q9" i="108"/>
  <c r="Q10" i="108"/>
  <c r="Q11" i="108"/>
  <c r="Q12" i="108"/>
  <c r="Q13" i="108"/>
  <c r="Q14" i="108"/>
  <c r="Q15" i="108"/>
  <c r="Q16" i="108"/>
  <c r="Q17" i="108"/>
  <c r="Q5" i="108"/>
  <c r="P15" i="108"/>
  <c r="P13" i="108"/>
  <c r="P11" i="108"/>
  <c r="P9" i="108"/>
  <c r="P7" i="108"/>
  <c r="P5" i="108"/>
  <c r="E5" i="111"/>
  <c r="D5" i="111"/>
  <c r="P30" i="108" l="1"/>
  <c r="P29" i="108"/>
  <c r="J16" i="56" l="1"/>
  <c r="P25" i="141"/>
  <c r="M16" i="56"/>
  <c r="L16" i="56"/>
  <c r="K16" i="56"/>
  <c r="E16" i="56"/>
  <c r="P34" i="96"/>
  <c r="P35" i="96" s="1"/>
  <c r="D34" i="96"/>
  <c r="E34" i="96"/>
  <c r="F34" i="96"/>
  <c r="G34" i="96"/>
  <c r="H34" i="96"/>
  <c r="I34" i="96"/>
  <c r="J34" i="96"/>
  <c r="K34" i="96"/>
  <c r="L34" i="96"/>
  <c r="M34" i="96"/>
  <c r="N34" i="96"/>
  <c r="C34" i="96"/>
  <c r="A34" i="96"/>
  <c r="A35" i="96"/>
  <c r="O9" i="96"/>
  <c r="O10" i="96"/>
  <c r="P27" i="141"/>
  <c r="F16" i="56"/>
  <c r="L10" i="56"/>
  <c r="L17" i="111" s="1"/>
  <c r="N16" i="56"/>
  <c r="D56" i="111"/>
  <c r="E56" i="111"/>
  <c r="C56" i="111"/>
  <c r="G11" i="111"/>
  <c r="E3" i="141"/>
  <c r="E3" i="108" s="1"/>
  <c r="F3" i="141"/>
  <c r="F3" i="108" s="1"/>
  <c r="G3" i="141"/>
  <c r="G3" i="108" s="1"/>
  <c r="H3" i="141"/>
  <c r="H3" i="108" s="1"/>
  <c r="I3" i="141"/>
  <c r="I3" i="108" s="1"/>
  <c r="J3" i="141"/>
  <c r="J3" i="108" s="1"/>
  <c r="K3" i="141"/>
  <c r="K3" i="108" s="1"/>
  <c r="L3" i="141"/>
  <c r="L3" i="108" s="1"/>
  <c r="M3" i="141"/>
  <c r="M3" i="108" s="1"/>
  <c r="N3" i="141"/>
  <c r="N3" i="108" s="1"/>
  <c r="O3" i="141"/>
  <c r="O3" i="108" s="1"/>
  <c r="D3" i="141"/>
  <c r="D3" i="108" s="1"/>
  <c r="P28" i="141"/>
  <c r="A7" i="141"/>
  <c r="F5" i="111"/>
  <c r="G5" i="111" s="1"/>
  <c r="G56" i="111" s="1"/>
  <c r="B28" i="47"/>
  <c r="D10" i="114"/>
  <c r="D36" i="97"/>
  <c r="E36" i="97"/>
  <c r="F36" i="97"/>
  <c r="G36" i="97"/>
  <c r="H36" i="97"/>
  <c r="I36" i="97"/>
  <c r="J36" i="97"/>
  <c r="K36" i="97"/>
  <c r="L36" i="97"/>
  <c r="M36" i="97"/>
  <c r="N36" i="97"/>
  <c r="C36" i="97"/>
  <c r="O9" i="97"/>
  <c r="C14" i="97"/>
  <c r="C13" i="35" s="1"/>
  <c r="D14" i="97"/>
  <c r="C14" i="35" s="1"/>
  <c r="E14" i="97"/>
  <c r="C15" i="35" s="1"/>
  <c r="F14" i="97"/>
  <c r="C16" i="35" s="1"/>
  <c r="G14" i="97"/>
  <c r="C17" i="35" s="1"/>
  <c r="H14" i="97"/>
  <c r="C18" i="35" s="1"/>
  <c r="I14" i="97"/>
  <c r="C19" i="35" s="1"/>
  <c r="J14" i="97"/>
  <c r="K14" i="97"/>
  <c r="C21" i="35" s="1"/>
  <c r="L14" i="97"/>
  <c r="C22" i="35" s="1"/>
  <c r="M14" i="97"/>
  <c r="C23" i="35" s="1"/>
  <c r="N14" i="97"/>
  <c r="C24" i="35" s="1"/>
  <c r="Q18" i="108"/>
  <c r="Q19" i="108" s="1"/>
  <c r="Q20" i="108" s="1"/>
  <c r="Q21" i="108" s="1"/>
  <c r="Q22" i="108" s="1"/>
  <c r="Q23" i="108" s="1"/>
  <c r="A16" i="108"/>
  <c r="A17" i="108"/>
  <c r="A18" i="108"/>
  <c r="A19" i="108"/>
  <c r="A20" i="108"/>
  <c r="A21" i="108"/>
  <c r="A22" i="108"/>
  <c r="A23" i="108"/>
  <c r="I44" i="111"/>
  <c r="P56" i="141"/>
  <c r="P55" i="141"/>
  <c r="P54" i="141"/>
  <c r="P53" i="141"/>
  <c r="P52" i="141"/>
  <c r="P51" i="141"/>
  <c r="P50" i="141"/>
  <c r="P47" i="141"/>
  <c r="P46" i="141"/>
  <c r="P45" i="141"/>
  <c r="P44" i="141"/>
  <c r="P43" i="141"/>
  <c r="P42" i="141"/>
  <c r="P40" i="141"/>
  <c r="P37" i="141"/>
  <c r="P36" i="141"/>
  <c r="P35" i="141"/>
  <c r="P34" i="141"/>
  <c r="P32" i="141"/>
  <c r="P20" i="141"/>
  <c r="P19" i="141"/>
  <c r="P18" i="141"/>
  <c r="P17" i="141"/>
  <c r="P16" i="141"/>
  <c r="P15" i="141"/>
  <c r="P14" i="141"/>
  <c r="P11" i="141"/>
  <c r="P10" i="141"/>
  <c r="P9" i="141"/>
  <c r="P8" i="141"/>
  <c r="P7" i="141"/>
  <c r="P6" i="141"/>
  <c r="H11" i="111"/>
  <c r="I11" i="111" s="1"/>
  <c r="J11" i="111" s="1"/>
  <c r="K11" i="111" s="1"/>
  <c r="L11" i="111" s="1"/>
  <c r="M11" i="111" s="1"/>
  <c r="N11" i="111" s="1"/>
  <c r="H43" i="111"/>
  <c r="D11" i="147"/>
  <c r="C11" i="147"/>
  <c r="G10" i="147"/>
  <c r="G11" i="147"/>
  <c r="G12" i="147"/>
  <c r="G13" i="147"/>
  <c r="G14" i="147"/>
  <c r="G15" i="147"/>
  <c r="A10" i="147"/>
  <c r="A11" i="147"/>
  <c r="A12" i="147"/>
  <c r="A13" i="147"/>
  <c r="A14" i="147"/>
  <c r="A15" i="147"/>
  <c r="D45" i="143"/>
  <c r="C45" i="143"/>
  <c r="P31" i="108"/>
  <c r="O17" i="108"/>
  <c r="O20" i="108" s="1"/>
  <c r="N17" i="108"/>
  <c r="N20" i="108" s="1"/>
  <c r="M17" i="108"/>
  <c r="L19" i="56" s="1"/>
  <c r="C26" i="107" s="1"/>
  <c r="L17" i="108"/>
  <c r="L20" i="108" s="1"/>
  <c r="K17" i="108"/>
  <c r="K20" i="108" s="1"/>
  <c r="J17" i="108"/>
  <c r="J20" i="108" s="1"/>
  <c r="I17" i="108"/>
  <c r="H19" i="56" s="1"/>
  <c r="H17" i="108"/>
  <c r="H20" i="108" s="1"/>
  <c r="G17" i="108"/>
  <c r="G20" i="108" s="1"/>
  <c r="F17" i="108"/>
  <c r="E17" i="108"/>
  <c r="D19" i="56" s="1"/>
  <c r="D17" i="108"/>
  <c r="C19" i="56" s="1"/>
  <c r="A5" i="108"/>
  <c r="A6" i="108"/>
  <c r="A7" i="108"/>
  <c r="A8" i="108"/>
  <c r="A9" i="108"/>
  <c r="A10" i="108"/>
  <c r="A11" i="108"/>
  <c r="A12" i="108"/>
  <c r="A13" i="108"/>
  <c r="A14" i="108"/>
  <c r="A15" i="108"/>
  <c r="D43" i="111"/>
  <c r="N44" i="111"/>
  <c r="J44" i="111"/>
  <c r="D42" i="111"/>
  <c r="D44" i="111" s="1"/>
  <c r="C30" i="111"/>
  <c r="E13" i="32"/>
  <c r="D24" i="35"/>
  <c r="D23" i="35"/>
  <c r="D22" i="35"/>
  <c r="D21" i="35"/>
  <c r="D20" i="35"/>
  <c r="D19" i="35"/>
  <c r="D18" i="35"/>
  <c r="D17" i="35"/>
  <c r="D16" i="35"/>
  <c r="D15" i="35"/>
  <c r="D14" i="35"/>
  <c r="D13" i="35"/>
  <c r="D40" i="97"/>
  <c r="D13" i="51" s="1"/>
  <c r="E40" i="97"/>
  <c r="D14" i="51" s="1"/>
  <c r="F40" i="97"/>
  <c r="D15" i="51" s="1"/>
  <c r="G40" i="97"/>
  <c r="D16" i="51" s="1"/>
  <c r="H40" i="97"/>
  <c r="D17" i="51" s="1"/>
  <c r="I40" i="97"/>
  <c r="D18" i="51" s="1"/>
  <c r="J40" i="97"/>
  <c r="D19" i="51" s="1"/>
  <c r="K40" i="97"/>
  <c r="D20" i="51" s="1"/>
  <c r="L40" i="97"/>
  <c r="D21" i="51" s="1"/>
  <c r="M40" i="97"/>
  <c r="D22" i="51" s="1"/>
  <c r="N40" i="97"/>
  <c r="D23" i="51" s="1"/>
  <c r="C40" i="97"/>
  <c r="D12" i="51" s="1"/>
  <c r="O31" i="108"/>
  <c r="E12" i="146"/>
  <c r="E14" i="146"/>
  <c r="E16" i="146"/>
  <c r="E18" i="146"/>
  <c r="A12" i="146"/>
  <c r="A14" i="146"/>
  <c r="A16" i="146"/>
  <c r="A18" i="146"/>
  <c r="C14" i="146"/>
  <c r="C18" i="146" s="1"/>
  <c r="C6" i="89"/>
  <c r="A6" i="89"/>
  <c r="C7" i="89"/>
  <c r="D30" i="107"/>
  <c r="D28" i="107"/>
  <c r="D26" i="107"/>
  <c r="D24" i="107"/>
  <c r="D22" i="107"/>
  <c r="D20" i="107"/>
  <c r="D18" i="107"/>
  <c r="D16" i="107"/>
  <c r="D14" i="107"/>
  <c r="D12" i="107"/>
  <c r="D10" i="107"/>
  <c r="A9" i="107"/>
  <c r="A10" i="107"/>
  <c r="A11" i="107"/>
  <c r="E8" i="107"/>
  <c r="E9" i="107"/>
  <c r="E11" i="107"/>
  <c r="A12" i="107"/>
  <c r="E10" i="107"/>
  <c r="C30" i="113"/>
  <c r="C28" i="113"/>
  <c r="C26" i="113"/>
  <c r="C24" i="113"/>
  <c r="C22" i="113"/>
  <c r="C20" i="113"/>
  <c r="C18" i="113"/>
  <c r="C16" i="113"/>
  <c r="C14" i="113"/>
  <c r="C32" i="113" s="1"/>
  <c r="C34" i="113" s="1"/>
  <c r="C12" i="113"/>
  <c r="C10" i="113"/>
  <c r="C8" i="113"/>
  <c r="D30" i="144"/>
  <c r="D28" i="144"/>
  <c r="D26" i="144"/>
  <c r="D24" i="144"/>
  <c r="D22" i="144"/>
  <c r="D20" i="144"/>
  <c r="D18" i="144"/>
  <c r="D16" i="144"/>
  <c r="D14" i="144"/>
  <c r="D12" i="144"/>
  <c r="D10" i="144"/>
  <c r="A10" i="144"/>
  <c r="E10" i="144"/>
  <c r="A9" i="144"/>
  <c r="E9" i="144"/>
  <c r="E8" i="144"/>
  <c r="D30" i="113"/>
  <c r="D28" i="113"/>
  <c r="D26" i="113"/>
  <c r="D24" i="113"/>
  <c r="D22" i="113"/>
  <c r="D20" i="113"/>
  <c r="D18" i="113"/>
  <c r="D16" i="113"/>
  <c r="D14" i="113"/>
  <c r="D12" i="113"/>
  <c r="D10" i="113"/>
  <c r="A9" i="113"/>
  <c r="A10" i="113"/>
  <c r="A11" i="113"/>
  <c r="D16" i="143"/>
  <c r="C16" i="143"/>
  <c r="E14" i="143"/>
  <c r="E12" i="143"/>
  <c r="A9" i="143"/>
  <c r="A10" i="143"/>
  <c r="B28" i="120"/>
  <c r="B28" i="117"/>
  <c r="A11" i="144"/>
  <c r="E9" i="113"/>
  <c r="A11" i="143"/>
  <c r="G10" i="143"/>
  <c r="G9" i="143"/>
  <c r="E12" i="107"/>
  <c r="A13" i="107"/>
  <c r="E11" i="113"/>
  <c r="A12" i="113"/>
  <c r="E10" i="113"/>
  <c r="A12" i="144"/>
  <c r="E11" i="144"/>
  <c r="A12" i="143"/>
  <c r="G11" i="143"/>
  <c r="A14" i="107"/>
  <c r="E13" i="107"/>
  <c r="E12" i="113"/>
  <c r="A13" i="113"/>
  <c r="A13" i="144"/>
  <c r="E12" i="144"/>
  <c r="A13" i="143"/>
  <c r="G12" i="143"/>
  <c r="E14" i="107"/>
  <c r="A15" i="107"/>
  <c r="A14" i="113"/>
  <c r="E13" i="113"/>
  <c r="E31" i="35"/>
  <c r="A14" i="144"/>
  <c r="E13" i="144"/>
  <c r="G13" i="143"/>
  <c r="A14" i="143"/>
  <c r="A16" i="107"/>
  <c r="E15" i="107"/>
  <c r="E14" i="113"/>
  <c r="A15" i="113"/>
  <c r="A15" i="144"/>
  <c r="E14" i="144"/>
  <c r="A15" i="143"/>
  <c r="G14" i="143"/>
  <c r="A17" i="107"/>
  <c r="E16" i="107"/>
  <c r="A16" i="113"/>
  <c r="E15" i="113"/>
  <c r="A16" i="144"/>
  <c r="E15" i="144"/>
  <c r="A16" i="143"/>
  <c r="G15" i="143"/>
  <c r="A18" i="107"/>
  <c r="E17" i="107"/>
  <c r="A17" i="113"/>
  <c r="E16" i="113"/>
  <c r="A17" i="144"/>
  <c r="E16" i="144"/>
  <c r="G16" i="143"/>
  <c r="A17" i="143"/>
  <c r="E18" i="107"/>
  <c r="A19" i="107"/>
  <c r="A18" i="113"/>
  <c r="E17" i="113"/>
  <c r="E17" i="144"/>
  <c r="A18" i="144"/>
  <c r="A18" i="143"/>
  <c r="G17" i="143"/>
  <c r="E19" i="107"/>
  <c r="A20" i="107"/>
  <c r="A19" i="113"/>
  <c r="E18" i="113"/>
  <c r="A19" i="144"/>
  <c r="E18" i="144"/>
  <c r="G18" i="143"/>
  <c r="A19" i="143"/>
  <c r="A21" i="107"/>
  <c r="E20" i="107"/>
  <c r="E19" i="113"/>
  <c r="A20" i="113"/>
  <c r="C61" i="111"/>
  <c r="C63" i="111" s="1"/>
  <c r="D21" i="120"/>
  <c r="E21" i="120"/>
  <c r="F21" i="120"/>
  <c r="G21" i="120"/>
  <c r="H21" i="120"/>
  <c r="C21" i="120"/>
  <c r="D19" i="120"/>
  <c r="E19" i="120"/>
  <c r="F19" i="120"/>
  <c r="G19" i="120"/>
  <c r="H19" i="120"/>
  <c r="C19" i="120"/>
  <c r="D17" i="120"/>
  <c r="E17" i="120"/>
  <c r="F17" i="120"/>
  <c r="G17" i="120"/>
  <c r="H17" i="120"/>
  <c r="C17" i="120"/>
  <c r="D13" i="120"/>
  <c r="E13" i="120"/>
  <c r="F13" i="120"/>
  <c r="G13" i="120"/>
  <c r="H13" i="120"/>
  <c r="C13" i="120"/>
  <c r="D11" i="120"/>
  <c r="E11" i="120"/>
  <c r="F11" i="120"/>
  <c r="G11" i="120"/>
  <c r="H11" i="120"/>
  <c r="C11" i="120"/>
  <c r="D21" i="119"/>
  <c r="E21" i="119"/>
  <c r="F21" i="119"/>
  <c r="F43" i="119" s="1"/>
  <c r="F20" i="140" s="1"/>
  <c r="G21" i="119"/>
  <c r="H21" i="119"/>
  <c r="C21" i="119"/>
  <c r="C43" i="119" s="1"/>
  <c r="C20" i="140" s="1"/>
  <c r="D19" i="119"/>
  <c r="E19" i="119"/>
  <c r="F19" i="119"/>
  <c r="G19" i="119"/>
  <c r="H19" i="119"/>
  <c r="C19" i="119"/>
  <c r="C41" i="119" s="1"/>
  <c r="C18" i="140" s="1"/>
  <c r="D17" i="119"/>
  <c r="D39" i="119" s="1"/>
  <c r="D16" i="140" s="1"/>
  <c r="E17" i="119"/>
  <c r="F17" i="119"/>
  <c r="G17" i="119"/>
  <c r="H17" i="119"/>
  <c r="C17" i="119"/>
  <c r="C39" i="119" s="1"/>
  <c r="C16" i="140" s="1"/>
  <c r="D13" i="119"/>
  <c r="E13" i="119"/>
  <c r="F13" i="119"/>
  <c r="F35" i="119" s="1"/>
  <c r="F12" i="140" s="1"/>
  <c r="G13" i="119"/>
  <c r="H13" i="119"/>
  <c r="C13" i="119"/>
  <c r="C35" i="119" s="1"/>
  <c r="D11" i="119"/>
  <c r="E11" i="119"/>
  <c r="F11" i="119"/>
  <c r="F33" i="119" s="1"/>
  <c r="F10" i="140" s="1"/>
  <c r="G11" i="119"/>
  <c r="H11" i="119"/>
  <c r="C11" i="119"/>
  <c r="C33" i="119" s="1"/>
  <c r="D21" i="117"/>
  <c r="E21" i="117"/>
  <c r="F21" i="117"/>
  <c r="G21" i="117"/>
  <c r="H21" i="117"/>
  <c r="C21" i="117"/>
  <c r="D19" i="117"/>
  <c r="E19" i="117"/>
  <c r="F19" i="117"/>
  <c r="G19" i="117"/>
  <c r="H19" i="117"/>
  <c r="C19" i="117"/>
  <c r="D17" i="117"/>
  <c r="E17" i="117"/>
  <c r="F17" i="117"/>
  <c r="G17" i="117"/>
  <c r="H17" i="117"/>
  <c r="C17" i="117"/>
  <c r="D13" i="117"/>
  <c r="E13" i="117"/>
  <c r="F13" i="117"/>
  <c r="G13" i="117"/>
  <c r="H13" i="117"/>
  <c r="C13" i="117"/>
  <c r="D11" i="117"/>
  <c r="E11" i="117"/>
  <c r="F11" i="117"/>
  <c r="G11" i="117"/>
  <c r="H11" i="117"/>
  <c r="C11" i="117"/>
  <c r="D21" i="116"/>
  <c r="E21" i="116"/>
  <c r="F21" i="116"/>
  <c r="G21" i="116"/>
  <c r="H21" i="116"/>
  <c r="C21" i="116"/>
  <c r="D19" i="116"/>
  <c r="E19" i="116"/>
  <c r="F19" i="116"/>
  <c r="G19" i="116"/>
  <c r="H19" i="116"/>
  <c r="C19" i="116"/>
  <c r="D17" i="116"/>
  <c r="E17" i="116"/>
  <c r="F17" i="116"/>
  <c r="G17" i="116"/>
  <c r="H17" i="116"/>
  <c r="C17" i="116"/>
  <c r="D13" i="116"/>
  <c r="E13" i="116"/>
  <c r="F13" i="116"/>
  <c r="G13" i="116"/>
  <c r="H13" i="116"/>
  <c r="C13" i="116"/>
  <c r="D11" i="116"/>
  <c r="E11" i="116"/>
  <c r="F11" i="116"/>
  <c r="G11" i="116"/>
  <c r="H11" i="116"/>
  <c r="C11" i="116"/>
  <c r="A20" i="144"/>
  <c r="E19" i="144"/>
  <c r="A20" i="143"/>
  <c r="G19" i="143"/>
  <c r="A22" i="107"/>
  <c r="E21" i="107"/>
  <c r="A21" i="113"/>
  <c r="E20" i="113"/>
  <c r="A21" i="144"/>
  <c r="E20" i="144"/>
  <c r="G20" i="143"/>
  <c r="A21" i="143"/>
  <c r="E22" i="107"/>
  <c r="A23" i="107"/>
  <c r="A22" i="113"/>
  <c r="E21" i="113"/>
  <c r="E21" i="144"/>
  <c r="A22" i="144"/>
  <c r="A22" i="143"/>
  <c r="G21" i="143"/>
  <c r="E23" i="107"/>
  <c r="A24" i="107"/>
  <c r="E22" i="113"/>
  <c r="A23" i="113"/>
  <c r="Q5" i="141"/>
  <c r="E22" i="144"/>
  <c r="A23" i="144"/>
  <c r="G22" i="143"/>
  <c r="A23" i="143"/>
  <c r="A25" i="107"/>
  <c r="E24" i="107"/>
  <c r="A24" i="113"/>
  <c r="E23" i="113"/>
  <c r="P5" i="141"/>
  <c r="A24" i="144"/>
  <c r="E23" i="144"/>
  <c r="A24" i="143"/>
  <c r="G23" i="143"/>
  <c r="A26" i="107"/>
  <c r="E25" i="107"/>
  <c r="A25" i="113"/>
  <c r="E24" i="113"/>
  <c r="F50" i="111"/>
  <c r="E24" i="144"/>
  <c r="A25" i="144"/>
  <c r="A25" i="143"/>
  <c r="G24" i="143"/>
  <c r="A27" i="107"/>
  <c r="E26" i="107"/>
  <c r="E25" i="113"/>
  <c r="A26" i="113"/>
  <c r="E25" i="144"/>
  <c r="A26" i="144"/>
  <c r="G25" i="143"/>
  <c r="A26" i="143"/>
  <c r="E27" i="107"/>
  <c r="A28" i="107"/>
  <c r="A27" i="113"/>
  <c r="E26" i="113"/>
  <c r="B43" i="96"/>
  <c r="A4" i="120"/>
  <c r="A4" i="119"/>
  <c r="A5" i="140"/>
  <c r="A5" i="119" s="1"/>
  <c r="A5" i="117"/>
  <c r="A4" i="117"/>
  <c r="A5" i="116"/>
  <c r="A4" i="116"/>
  <c r="A5" i="139"/>
  <c r="A4" i="139"/>
  <c r="A27" i="144"/>
  <c r="E26" i="144"/>
  <c r="G26" i="143"/>
  <c r="G27" i="143"/>
  <c r="G28" i="143"/>
  <c r="G29" i="143"/>
  <c r="G30" i="143"/>
  <c r="G31" i="143"/>
  <c r="G32" i="143"/>
  <c r="G33" i="143"/>
  <c r="G34" i="143"/>
  <c r="G35" i="143"/>
  <c r="G36" i="143"/>
  <c r="G37" i="143"/>
  <c r="G38" i="143"/>
  <c r="G39" i="143"/>
  <c r="G40" i="143"/>
  <c r="G41" i="143"/>
  <c r="G42" i="143"/>
  <c r="G43" i="143"/>
  <c r="G44" i="143"/>
  <c r="G45" i="143"/>
  <c r="G46" i="143"/>
  <c r="G47" i="143"/>
  <c r="G48" i="143"/>
  <c r="A27" i="143"/>
  <c r="A28" i="143"/>
  <c r="A29" i="143"/>
  <c r="A30" i="143"/>
  <c r="A31" i="143"/>
  <c r="A32" i="143"/>
  <c r="A33" i="143"/>
  <c r="A34" i="143"/>
  <c r="A35" i="143"/>
  <c r="A36" i="143"/>
  <c r="A37" i="143"/>
  <c r="A38" i="143"/>
  <c r="A39" i="143"/>
  <c r="A40" i="143"/>
  <c r="A41" i="143"/>
  <c r="A42" i="143"/>
  <c r="A43" i="143"/>
  <c r="E28" i="107"/>
  <c r="A29" i="107"/>
  <c r="E27" i="113"/>
  <c r="A28" i="113"/>
  <c r="P23" i="111"/>
  <c r="D8" i="117"/>
  <c r="E8" i="117"/>
  <c r="F8" i="117"/>
  <c r="G8" i="117"/>
  <c r="H8" i="117"/>
  <c r="C8" i="117"/>
  <c r="D8" i="116"/>
  <c r="E8" i="116"/>
  <c r="F8" i="116"/>
  <c r="G8" i="116"/>
  <c r="H8" i="116"/>
  <c r="C8" i="116"/>
  <c r="D26" i="140"/>
  <c r="D8" i="120" s="1"/>
  <c r="E26" i="140"/>
  <c r="E8" i="120" s="1"/>
  <c r="F26" i="140"/>
  <c r="F8" i="120" s="1"/>
  <c r="G26" i="140"/>
  <c r="G8" i="120" s="1"/>
  <c r="H26" i="140"/>
  <c r="H8" i="120" s="1"/>
  <c r="C26" i="140"/>
  <c r="C8" i="120" s="1"/>
  <c r="D8" i="140"/>
  <c r="D8" i="119" s="1"/>
  <c r="E8" i="140"/>
  <c r="E8" i="119" s="1"/>
  <c r="F8" i="140"/>
  <c r="F8" i="119" s="1"/>
  <c r="G8" i="140"/>
  <c r="G8" i="119" s="1"/>
  <c r="H8" i="140"/>
  <c r="H8" i="119" s="1"/>
  <c r="C8" i="140"/>
  <c r="C8" i="119" s="1"/>
  <c r="I25" i="140"/>
  <c r="H25" i="140"/>
  <c r="G25" i="140"/>
  <c r="F25" i="140"/>
  <c r="E25" i="140"/>
  <c r="D25" i="140"/>
  <c r="C25" i="140"/>
  <c r="J11" i="140"/>
  <c r="J12" i="140"/>
  <c r="J13" i="140"/>
  <c r="J14" i="140"/>
  <c r="J15" i="140"/>
  <c r="J16" i="140"/>
  <c r="J17" i="140"/>
  <c r="J18" i="140"/>
  <c r="J19" i="140"/>
  <c r="J20" i="140"/>
  <c r="J21" i="140"/>
  <c r="J22" i="140"/>
  <c r="J28" i="140"/>
  <c r="J29" i="140"/>
  <c r="J30" i="140"/>
  <c r="J31" i="140"/>
  <c r="J32" i="140"/>
  <c r="J33" i="140"/>
  <c r="J34" i="140"/>
  <c r="J35" i="140"/>
  <c r="J36" i="140"/>
  <c r="J37" i="140"/>
  <c r="J38" i="140"/>
  <c r="J39" i="140"/>
  <c r="J40" i="140"/>
  <c r="A11" i="140"/>
  <c r="A12" i="140"/>
  <c r="A13" i="140"/>
  <c r="A14" i="140"/>
  <c r="A15" i="140"/>
  <c r="A16" i="140"/>
  <c r="A17" i="140"/>
  <c r="A18" i="140"/>
  <c r="A19" i="140"/>
  <c r="A20" i="140"/>
  <c r="A21" i="140"/>
  <c r="A22" i="140"/>
  <c r="A28" i="140"/>
  <c r="A29" i="140"/>
  <c r="A30" i="140"/>
  <c r="A31" i="140"/>
  <c r="A32" i="140"/>
  <c r="A33" i="140"/>
  <c r="A34" i="140"/>
  <c r="A35" i="140"/>
  <c r="A36" i="140"/>
  <c r="A37" i="140"/>
  <c r="A38" i="140"/>
  <c r="A39" i="140"/>
  <c r="A40" i="140"/>
  <c r="I25" i="139"/>
  <c r="H25" i="139"/>
  <c r="G25" i="139"/>
  <c r="F25" i="139"/>
  <c r="E25" i="139"/>
  <c r="D25" i="139"/>
  <c r="C25" i="139"/>
  <c r="J11" i="139"/>
  <c r="J12" i="139"/>
  <c r="J13" i="139"/>
  <c r="J14" i="139"/>
  <c r="J15" i="139"/>
  <c r="J16" i="139"/>
  <c r="J17" i="139"/>
  <c r="J18" i="139"/>
  <c r="J19" i="139"/>
  <c r="J20" i="139"/>
  <c r="J21" i="139"/>
  <c r="J22" i="139"/>
  <c r="J28" i="139"/>
  <c r="J29" i="139"/>
  <c r="J30" i="139"/>
  <c r="J31" i="139"/>
  <c r="J32" i="139"/>
  <c r="J33" i="139"/>
  <c r="J34" i="139"/>
  <c r="J35" i="139"/>
  <c r="J36" i="139"/>
  <c r="J37" i="139"/>
  <c r="J38" i="139"/>
  <c r="J39" i="139"/>
  <c r="J40" i="139"/>
  <c r="A11" i="139"/>
  <c r="A12" i="139"/>
  <c r="A13" i="139"/>
  <c r="A14" i="139"/>
  <c r="A15" i="139"/>
  <c r="A16" i="139"/>
  <c r="A17" i="139"/>
  <c r="A18" i="139"/>
  <c r="A19" i="139"/>
  <c r="A20" i="139"/>
  <c r="A21" i="139"/>
  <c r="A22" i="139"/>
  <c r="A28" i="139"/>
  <c r="A29" i="139"/>
  <c r="A30" i="139"/>
  <c r="A31" i="139"/>
  <c r="A32" i="139"/>
  <c r="A33" i="139"/>
  <c r="A34" i="139"/>
  <c r="A35" i="139"/>
  <c r="A36" i="139"/>
  <c r="A37" i="139"/>
  <c r="A38" i="139"/>
  <c r="A39" i="139"/>
  <c r="A40" i="139"/>
  <c r="A44" i="143"/>
  <c r="A45" i="143"/>
  <c r="A46" i="143"/>
  <c r="A47" i="143"/>
  <c r="A48" i="143"/>
  <c r="A49" i="143"/>
  <c r="A50" i="143"/>
  <c r="A28" i="144"/>
  <c r="E27" i="144"/>
  <c r="G49" i="143"/>
  <c r="G50" i="143"/>
  <c r="A30" i="107"/>
  <c r="E29" i="107"/>
  <c r="A29" i="113"/>
  <c r="E28" i="113"/>
  <c r="A29" i="144"/>
  <c r="E28" i="144"/>
  <c r="E30" i="107"/>
  <c r="A31" i="107"/>
  <c r="A30" i="113"/>
  <c r="E29" i="113"/>
  <c r="A30" i="144"/>
  <c r="E29" i="144"/>
  <c r="A32" i="107"/>
  <c r="E31" i="107"/>
  <c r="E30" i="113"/>
  <c r="A31" i="113"/>
  <c r="E30" i="144"/>
  <c r="A31" i="144"/>
  <c r="E32" i="107"/>
  <c r="A33" i="107"/>
  <c r="A32" i="113"/>
  <c r="E31" i="113"/>
  <c r="A32" i="144"/>
  <c r="E31" i="144"/>
  <c r="A34" i="107"/>
  <c r="A35" i="107"/>
  <c r="E33" i="107"/>
  <c r="E34" i="107"/>
  <c r="E35" i="107"/>
  <c r="E32" i="113"/>
  <c r="A33" i="113"/>
  <c r="E32" i="144"/>
  <c r="A33" i="144"/>
  <c r="A34" i="113"/>
  <c r="E33" i="113"/>
  <c r="A34" i="144"/>
  <c r="E33" i="144"/>
  <c r="A35" i="113"/>
  <c r="E34" i="113"/>
  <c r="E35" i="113"/>
  <c r="A35" i="144"/>
  <c r="E34" i="144"/>
  <c r="E35" i="144"/>
  <c r="B3" i="17"/>
  <c r="E10" i="56"/>
  <c r="E17" i="111" s="1"/>
  <c r="O9" i="56"/>
  <c r="A7" i="89"/>
  <c r="A8" i="89"/>
  <c r="N9" i="138"/>
  <c r="N13" i="138" s="1"/>
  <c r="J28" i="117"/>
  <c r="D20" i="47"/>
  <c r="F33" i="79"/>
  <c r="F31" i="79"/>
  <c r="F29" i="79"/>
  <c r="F27" i="79"/>
  <c r="F25" i="79"/>
  <c r="F23" i="79"/>
  <c r="F21" i="79"/>
  <c r="F19" i="79"/>
  <c r="F17" i="79"/>
  <c r="F15" i="79"/>
  <c r="F13" i="79"/>
  <c r="D18" i="47"/>
  <c r="G15" i="35"/>
  <c r="G16" i="35"/>
  <c r="G17" i="35"/>
  <c r="G18" i="35"/>
  <c r="G19" i="35"/>
  <c r="G20" i="35"/>
  <c r="G21" i="35"/>
  <c r="G22" i="35"/>
  <c r="G23" i="35"/>
  <c r="G24" i="35"/>
  <c r="G14" i="35"/>
  <c r="F14" i="51"/>
  <c r="F15" i="51"/>
  <c r="F16" i="51"/>
  <c r="F17" i="51"/>
  <c r="F18" i="51"/>
  <c r="F19" i="51"/>
  <c r="F20" i="51"/>
  <c r="F21" i="51"/>
  <c r="F22" i="51"/>
  <c r="F23" i="51"/>
  <c r="F13" i="51"/>
  <c r="F14" i="24"/>
  <c r="F15" i="24"/>
  <c r="F16" i="24"/>
  <c r="F17" i="24"/>
  <c r="F18" i="24"/>
  <c r="F19" i="24"/>
  <c r="F20" i="24"/>
  <c r="F21" i="24"/>
  <c r="F22" i="24"/>
  <c r="F23" i="24"/>
  <c r="F13" i="24"/>
  <c r="A3" i="79"/>
  <c r="A3" i="143" s="1"/>
  <c r="A3" i="144"/>
  <c r="N58" i="111"/>
  <c r="M58" i="111"/>
  <c r="F61" i="111"/>
  <c r="K58" i="111"/>
  <c r="J58" i="111"/>
  <c r="N59" i="111"/>
  <c r="O59" i="111" s="1"/>
  <c r="M59" i="111"/>
  <c r="K59" i="111"/>
  <c r="J59" i="111"/>
  <c r="I59" i="111"/>
  <c r="I61" i="111"/>
  <c r="I63" i="111" s="1"/>
  <c r="H59" i="111"/>
  <c r="E59" i="111"/>
  <c r="D59" i="111"/>
  <c r="G59" i="111"/>
  <c r="L59" i="111"/>
  <c r="L61" i="111" s="1"/>
  <c r="L63" i="111" s="1"/>
  <c r="M61" i="111"/>
  <c r="M63" i="111" s="1"/>
  <c r="B33" i="79"/>
  <c r="B30" i="107" s="1"/>
  <c r="B31" i="79"/>
  <c r="B28" i="144" s="1"/>
  <c r="B29" i="79"/>
  <c r="B26" i="113" s="1"/>
  <c r="B27" i="79"/>
  <c r="B24" i="107" s="1"/>
  <c r="B25" i="79"/>
  <c r="B22" i="113" s="1"/>
  <c r="B23" i="79"/>
  <c r="B20" i="113" s="1"/>
  <c r="B21" i="79"/>
  <c r="B18" i="107" s="1"/>
  <c r="B19" i="79"/>
  <c r="B16" i="107" s="1"/>
  <c r="B17" i="79"/>
  <c r="B14" i="107" s="1"/>
  <c r="B15" i="79"/>
  <c r="B12" i="113" s="1"/>
  <c r="B13" i="79"/>
  <c r="B10" i="144" s="1"/>
  <c r="B11" i="79"/>
  <c r="B8" i="144" s="1"/>
  <c r="B12" i="144"/>
  <c r="B12" i="107"/>
  <c r="B28" i="113"/>
  <c r="B22" i="107"/>
  <c r="B8" i="107"/>
  <c r="B4" i="46"/>
  <c r="B3" i="147" s="1"/>
  <c r="J28" i="120"/>
  <c r="J27" i="120"/>
  <c r="C28" i="120"/>
  <c r="K12" i="120"/>
  <c r="K13" i="120"/>
  <c r="K14" i="120"/>
  <c r="K15" i="120"/>
  <c r="K16" i="120"/>
  <c r="K17" i="120"/>
  <c r="K18" i="120"/>
  <c r="K19" i="120"/>
  <c r="K20" i="120"/>
  <c r="K21" i="120"/>
  <c r="K22" i="120"/>
  <c r="K23" i="120"/>
  <c r="K24" i="120"/>
  <c r="K25" i="120"/>
  <c r="A12" i="120"/>
  <c r="A13" i="120"/>
  <c r="A14" i="120"/>
  <c r="A15" i="120"/>
  <c r="A16" i="120"/>
  <c r="A17" i="120"/>
  <c r="A18" i="120"/>
  <c r="A19" i="120"/>
  <c r="A20" i="120"/>
  <c r="A21" i="120"/>
  <c r="A22" i="120"/>
  <c r="A23" i="120"/>
  <c r="A24" i="120"/>
  <c r="A25" i="120"/>
  <c r="F28" i="119"/>
  <c r="E28" i="119"/>
  <c r="J12" i="119"/>
  <c r="J13" i="119"/>
  <c r="J14" i="119"/>
  <c r="J15" i="119"/>
  <c r="J16" i="119"/>
  <c r="J17" i="119"/>
  <c r="J18" i="119"/>
  <c r="J19" i="119"/>
  <c r="J20" i="119"/>
  <c r="J21" i="119"/>
  <c r="J22" i="119"/>
  <c r="J23" i="119"/>
  <c r="J24" i="119"/>
  <c r="J25" i="119"/>
  <c r="A12" i="119"/>
  <c r="A13" i="119"/>
  <c r="A14" i="119"/>
  <c r="A15" i="119"/>
  <c r="A16" i="119"/>
  <c r="A17" i="119"/>
  <c r="A18" i="119"/>
  <c r="A19" i="119"/>
  <c r="A20" i="119"/>
  <c r="A21" i="119"/>
  <c r="A22" i="119"/>
  <c r="A23" i="119"/>
  <c r="A24" i="119"/>
  <c r="A25" i="119"/>
  <c r="K26" i="120"/>
  <c r="K27" i="120"/>
  <c r="K28" i="120"/>
  <c r="A26" i="120"/>
  <c r="A27" i="120"/>
  <c r="A28" i="120"/>
  <c r="A26" i="119"/>
  <c r="A27" i="119"/>
  <c r="A28" i="119"/>
  <c r="J26" i="119"/>
  <c r="J27" i="119"/>
  <c r="J28" i="119"/>
  <c r="D28" i="119"/>
  <c r="D35" i="119" s="1"/>
  <c r="D12" i="140" s="1"/>
  <c r="H28" i="119"/>
  <c r="G28" i="119"/>
  <c r="A29" i="120"/>
  <c r="A30" i="120"/>
  <c r="A31" i="120"/>
  <c r="A32" i="120"/>
  <c r="A33" i="120"/>
  <c r="A34" i="120"/>
  <c r="A35" i="120"/>
  <c r="A36" i="120"/>
  <c r="A37" i="120"/>
  <c r="A38" i="120"/>
  <c r="A39" i="120"/>
  <c r="A40" i="120"/>
  <c r="A41" i="120"/>
  <c r="A42" i="120"/>
  <c r="A43" i="120"/>
  <c r="A44" i="120"/>
  <c r="A45" i="120"/>
  <c r="A29" i="119"/>
  <c r="A30" i="119"/>
  <c r="A31" i="119"/>
  <c r="A32" i="119"/>
  <c r="A33" i="119"/>
  <c r="A34" i="119"/>
  <c r="A35" i="119"/>
  <c r="A36" i="119"/>
  <c r="A37" i="119"/>
  <c r="A38" i="119"/>
  <c r="A39" i="119"/>
  <c r="A40" i="119"/>
  <c r="A41" i="119"/>
  <c r="A42" i="119"/>
  <c r="A43" i="119"/>
  <c r="A44" i="119"/>
  <c r="A45" i="119"/>
  <c r="K29" i="120"/>
  <c r="K30" i="120"/>
  <c r="K31" i="120"/>
  <c r="K32" i="120"/>
  <c r="K33" i="120"/>
  <c r="K34" i="120"/>
  <c r="K35" i="120"/>
  <c r="K36" i="120"/>
  <c r="K37" i="120"/>
  <c r="K38" i="120"/>
  <c r="K39" i="120"/>
  <c r="K40" i="120"/>
  <c r="K41" i="120"/>
  <c r="K42" i="120"/>
  <c r="K43" i="120"/>
  <c r="K44" i="120"/>
  <c r="K45" i="120"/>
  <c r="J29" i="119"/>
  <c r="J30" i="119"/>
  <c r="J31" i="119"/>
  <c r="J32" i="119"/>
  <c r="J33" i="119"/>
  <c r="J34" i="119"/>
  <c r="J35" i="119"/>
  <c r="J36" i="119"/>
  <c r="J37" i="119"/>
  <c r="J38" i="119"/>
  <c r="J39" i="119"/>
  <c r="J40" i="119"/>
  <c r="J41" i="119"/>
  <c r="J42" i="119"/>
  <c r="J43" i="119"/>
  <c r="J44" i="119"/>
  <c r="J45" i="119"/>
  <c r="K12" i="117"/>
  <c r="K13" i="117"/>
  <c r="K14" i="117"/>
  <c r="K15" i="117"/>
  <c r="K16" i="117"/>
  <c r="K17" i="117"/>
  <c r="K18" i="117"/>
  <c r="K19" i="117"/>
  <c r="K20" i="117"/>
  <c r="K21" i="117"/>
  <c r="K22" i="117"/>
  <c r="K23" i="117"/>
  <c r="K24" i="117"/>
  <c r="K25" i="117"/>
  <c r="A12" i="117"/>
  <c r="A13" i="117"/>
  <c r="A14" i="117"/>
  <c r="A15" i="117"/>
  <c r="A16" i="117"/>
  <c r="A17" i="117"/>
  <c r="A18" i="117"/>
  <c r="A19" i="117"/>
  <c r="A20" i="117"/>
  <c r="A21" i="117"/>
  <c r="A22" i="117"/>
  <c r="A23" i="117"/>
  <c r="A24" i="117"/>
  <c r="A25" i="117"/>
  <c r="J12" i="116"/>
  <c r="J13" i="116"/>
  <c r="J14" i="116"/>
  <c r="J15" i="116"/>
  <c r="J16" i="116"/>
  <c r="J17" i="116"/>
  <c r="J18" i="116"/>
  <c r="J19" i="116"/>
  <c r="J20" i="116"/>
  <c r="J21" i="116"/>
  <c r="J22" i="116"/>
  <c r="J23" i="116"/>
  <c r="J24" i="116"/>
  <c r="J25" i="116"/>
  <c r="A12" i="116"/>
  <c r="A13" i="116"/>
  <c r="A14" i="116"/>
  <c r="A15" i="116"/>
  <c r="A16" i="116"/>
  <c r="A17" i="116"/>
  <c r="A18" i="116"/>
  <c r="A19" i="116"/>
  <c r="A20" i="116"/>
  <c r="A21" i="116"/>
  <c r="A22" i="116"/>
  <c r="A23" i="116"/>
  <c r="A24" i="116"/>
  <c r="A25" i="116"/>
  <c r="I15" i="114"/>
  <c r="I16" i="114"/>
  <c r="I17" i="114"/>
  <c r="I18" i="114"/>
  <c r="I19" i="114"/>
  <c r="I20" i="114"/>
  <c r="I21" i="114"/>
  <c r="I22" i="114"/>
  <c r="I23" i="114"/>
  <c r="I24" i="114"/>
  <c r="I25" i="114"/>
  <c r="I26" i="114"/>
  <c r="I27" i="114"/>
  <c r="A15" i="114"/>
  <c r="A16" i="114"/>
  <c r="A17" i="114"/>
  <c r="A18" i="114"/>
  <c r="A19" i="114"/>
  <c r="A20" i="114"/>
  <c r="A21" i="114"/>
  <c r="A22" i="114"/>
  <c r="A23" i="114"/>
  <c r="A24" i="114"/>
  <c r="A25" i="114"/>
  <c r="A26" i="114"/>
  <c r="A27" i="114"/>
  <c r="J26" i="116"/>
  <c r="J27" i="116"/>
  <c r="J28" i="116"/>
  <c r="K26" i="117"/>
  <c r="K27" i="117"/>
  <c r="K28" i="117"/>
  <c r="A26" i="117"/>
  <c r="A27" i="117"/>
  <c r="A28" i="117"/>
  <c r="A26" i="116"/>
  <c r="A27" i="116"/>
  <c r="A28" i="116"/>
  <c r="J29" i="116"/>
  <c r="J30" i="116"/>
  <c r="J31" i="116"/>
  <c r="J32" i="116"/>
  <c r="J33" i="116"/>
  <c r="J34" i="116"/>
  <c r="J35" i="116"/>
  <c r="J36" i="116"/>
  <c r="J37" i="116"/>
  <c r="J38" i="116"/>
  <c r="J39" i="116"/>
  <c r="J40" i="116"/>
  <c r="J41" i="116"/>
  <c r="J42" i="116"/>
  <c r="J43" i="116"/>
  <c r="J44" i="116"/>
  <c r="J45" i="116"/>
  <c r="A29" i="116"/>
  <c r="A30" i="116"/>
  <c r="A31" i="116"/>
  <c r="A32" i="116"/>
  <c r="A33" i="116"/>
  <c r="A34" i="116"/>
  <c r="A35" i="116"/>
  <c r="A36" i="116"/>
  <c r="A37" i="116"/>
  <c r="A38" i="116"/>
  <c r="A39" i="116"/>
  <c r="A40" i="116"/>
  <c r="A41" i="116"/>
  <c r="A42" i="116"/>
  <c r="A43" i="116"/>
  <c r="A44" i="116"/>
  <c r="A45" i="116"/>
  <c r="A29" i="117"/>
  <c r="A30" i="117"/>
  <c r="A31" i="117"/>
  <c r="A32" i="117"/>
  <c r="A33" i="117"/>
  <c r="A34" i="117"/>
  <c r="A35" i="117"/>
  <c r="A36" i="117"/>
  <c r="A37" i="117"/>
  <c r="A38" i="117"/>
  <c r="A39" i="117"/>
  <c r="A40" i="117"/>
  <c r="A41" i="117"/>
  <c r="A42" i="117"/>
  <c r="A43" i="117"/>
  <c r="A44" i="117"/>
  <c r="A45" i="117"/>
  <c r="K29" i="117"/>
  <c r="K30" i="117"/>
  <c r="K31" i="117"/>
  <c r="K32" i="117"/>
  <c r="K33" i="117"/>
  <c r="K34" i="117"/>
  <c r="K35" i="117"/>
  <c r="K36" i="117"/>
  <c r="K37" i="117"/>
  <c r="K38" i="117"/>
  <c r="K39" i="117"/>
  <c r="K40" i="117"/>
  <c r="K41" i="117"/>
  <c r="K42" i="117"/>
  <c r="K43" i="117"/>
  <c r="K44" i="117"/>
  <c r="K45" i="117"/>
  <c r="O62" i="111"/>
  <c r="F63" i="111"/>
  <c r="O60" i="111"/>
  <c r="H58" i="111"/>
  <c r="G58" i="111"/>
  <c r="G61" i="111" s="1"/>
  <c r="G63" i="111" s="1"/>
  <c r="E58" i="111"/>
  <c r="E61" i="111" s="1"/>
  <c r="D58" i="111"/>
  <c r="D61" i="111" s="1"/>
  <c r="D63" i="111" s="1"/>
  <c r="C50" i="111"/>
  <c r="C51" i="111" s="1"/>
  <c r="F11" i="111" s="1"/>
  <c r="L44" i="111"/>
  <c r="H44" i="111"/>
  <c r="G44" i="111"/>
  <c r="F44" i="111"/>
  <c r="C44" i="111"/>
  <c r="O36" i="111"/>
  <c r="N33" i="111"/>
  <c r="M33" i="111"/>
  <c r="L33" i="111"/>
  <c r="K33" i="111"/>
  <c r="J33" i="111"/>
  <c r="I33" i="111"/>
  <c r="H33" i="111"/>
  <c r="G33" i="111"/>
  <c r="F33" i="111"/>
  <c r="E33" i="111"/>
  <c r="D33" i="111"/>
  <c r="C33" i="111"/>
  <c r="N24" i="111"/>
  <c r="M24" i="111"/>
  <c r="L24" i="111"/>
  <c r="K24" i="111"/>
  <c r="J24" i="111"/>
  <c r="I24" i="111"/>
  <c r="H24" i="111"/>
  <c r="G24" i="111"/>
  <c r="F24" i="111"/>
  <c r="E24" i="111"/>
  <c r="D24" i="111"/>
  <c r="C24" i="111"/>
  <c r="O23" i="111"/>
  <c r="O24" i="111"/>
  <c r="C11" i="111"/>
  <c r="D11" i="111" s="1"/>
  <c r="E11" i="111" s="1"/>
  <c r="Q8" i="111"/>
  <c r="Q9" i="111"/>
  <c r="Q10" i="111"/>
  <c r="Q11" i="111"/>
  <c r="Q12" i="111"/>
  <c r="Q13" i="111"/>
  <c r="Q14" i="111"/>
  <c r="Q15" i="111"/>
  <c r="Q16" i="111"/>
  <c r="Q17" i="111"/>
  <c r="Q18" i="111"/>
  <c r="Q19" i="111"/>
  <c r="Q20" i="111"/>
  <c r="Q21" i="111"/>
  <c r="Q22" i="111"/>
  <c r="Q23" i="111"/>
  <c r="Q24" i="111"/>
  <c r="Q25" i="111"/>
  <c r="Q26" i="111"/>
  <c r="Q27" i="111"/>
  <c r="Q28" i="111"/>
  <c r="Q29" i="111"/>
  <c r="Q30" i="111"/>
  <c r="Q31" i="111"/>
  <c r="Q32" i="111"/>
  <c r="Q33" i="111"/>
  <c r="Q34" i="111"/>
  <c r="A8" i="111"/>
  <c r="A9" i="111"/>
  <c r="A10" i="111"/>
  <c r="A11" i="111"/>
  <c r="A12" i="111"/>
  <c r="A13" i="111"/>
  <c r="A14" i="111"/>
  <c r="A15" i="111"/>
  <c r="A16" i="111"/>
  <c r="A17" i="111"/>
  <c r="A18" i="111"/>
  <c r="A19" i="111"/>
  <c r="A20" i="111"/>
  <c r="A21" i="111"/>
  <c r="A22" i="111"/>
  <c r="A23" i="111"/>
  <c r="A24" i="111"/>
  <c r="A25" i="111"/>
  <c r="A26" i="111"/>
  <c r="A27" i="111"/>
  <c r="A28" i="111"/>
  <c r="A29" i="111"/>
  <c r="A30" i="111"/>
  <c r="A31" i="111"/>
  <c r="A32" i="111"/>
  <c r="A33" i="111"/>
  <c r="A34" i="111"/>
  <c r="O7" i="111"/>
  <c r="Q35" i="111"/>
  <c r="Q36" i="111"/>
  <c r="Q37" i="111"/>
  <c r="Q38" i="111"/>
  <c r="A35" i="111"/>
  <c r="A36" i="111"/>
  <c r="A37" i="111"/>
  <c r="A38" i="111"/>
  <c r="A39" i="111"/>
  <c r="A40" i="111"/>
  <c r="A41" i="111"/>
  <c r="A42" i="111"/>
  <c r="A43" i="111"/>
  <c r="A44" i="111"/>
  <c r="Q39" i="111"/>
  <c r="Q40" i="111"/>
  <c r="Q41" i="111"/>
  <c r="Q42" i="111"/>
  <c r="Q43" i="111"/>
  <c r="Q44" i="111"/>
  <c r="E19" i="56"/>
  <c r="C12" i="107" s="1"/>
  <c r="F20" i="108"/>
  <c r="O45" i="97"/>
  <c r="N32" i="97"/>
  <c r="N45" i="97" s="1"/>
  <c r="M32" i="97"/>
  <c r="M45" i="97" s="1"/>
  <c r="L32" i="97"/>
  <c r="L45" i="97" s="1"/>
  <c r="K32" i="97"/>
  <c r="K45" i="97" s="1"/>
  <c r="J32" i="97"/>
  <c r="J45" i="97" s="1"/>
  <c r="I32" i="97"/>
  <c r="I45" i="97" s="1"/>
  <c r="H32" i="97"/>
  <c r="H45" i="97" s="1"/>
  <c r="G32" i="97"/>
  <c r="G45" i="97" s="1"/>
  <c r="F32" i="97"/>
  <c r="F45" i="97" s="1"/>
  <c r="E32" i="97"/>
  <c r="E45" i="97" s="1"/>
  <c r="D32" i="97"/>
  <c r="D45" i="97" s="1"/>
  <c r="C32" i="97"/>
  <c r="C45" i="97" s="1"/>
  <c r="B30" i="97"/>
  <c r="P5" i="97"/>
  <c r="P6" i="97" s="1"/>
  <c r="P7" i="97" s="1"/>
  <c r="P8" i="97" s="1"/>
  <c r="P9" i="97" s="1"/>
  <c r="P10" i="97" s="1"/>
  <c r="P11" i="97" s="1"/>
  <c r="P12" i="97" s="1"/>
  <c r="P13" i="97" s="1"/>
  <c r="P14" i="97" s="1"/>
  <c r="P15" i="97" s="1"/>
  <c r="P16" i="97" s="1"/>
  <c r="P17" i="97" s="1"/>
  <c r="P18" i="97" s="1"/>
  <c r="P19" i="97" s="1"/>
  <c r="P20" i="97" s="1"/>
  <c r="P21" i="97" s="1"/>
  <c r="P25" i="97" s="1"/>
  <c r="P26" i="97" s="1"/>
  <c r="P31" i="97" s="1"/>
  <c r="P32" i="97" s="1"/>
  <c r="P33" i="97" s="1"/>
  <c r="P34" i="97" s="1"/>
  <c r="P35" i="97" s="1"/>
  <c r="P36" i="97" s="1"/>
  <c r="P37" i="97" s="1"/>
  <c r="P38" i="97" s="1"/>
  <c r="P39" i="97" s="1"/>
  <c r="P40" i="97" s="1"/>
  <c r="P41" i="97" s="1"/>
  <c r="P42" i="97" s="1"/>
  <c r="P43" i="97" s="1"/>
  <c r="P44" i="97" s="1"/>
  <c r="P45" i="97" s="1"/>
  <c r="P46" i="97" s="1"/>
  <c r="P47" i="97" s="1"/>
  <c r="P53" i="97" s="1"/>
  <c r="A5" i="97"/>
  <c r="A6" i="97" s="1"/>
  <c r="A7" i="97" s="1"/>
  <c r="A8" i="97" s="1"/>
  <c r="A9" i="97" s="1"/>
  <c r="A10" i="97" s="1"/>
  <c r="A11" i="97" s="1"/>
  <c r="A12" i="97" s="1"/>
  <c r="A13" i="97" s="1"/>
  <c r="A14" i="97" s="1"/>
  <c r="A15" i="97" s="1"/>
  <c r="A16" i="97" s="1"/>
  <c r="A17" i="97" s="1"/>
  <c r="A18" i="97" s="1"/>
  <c r="A19" i="97" s="1"/>
  <c r="A20" i="97" s="1"/>
  <c r="A21" i="97" s="1"/>
  <c r="A25" i="97" s="1"/>
  <c r="A26" i="97" s="1"/>
  <c r="A31" i="97" s="1"/>
  <c r="A32" i="97" s="1"/>
  <c r="A33" i="97" s="1"/>
  <c r="A34" i="97" s="1"/>
  <c r="A35" i="97" s="1"/>
  <c r="A36" i="97" s="1"/>
  <c r="A37" i="97" s="1"/>
  <c r="A38" i="97" s="1"/>
  <c r="A39" i="97" s="1"/>
  <c r="A40" i="97" s="1"/>
  <c r="A41" i="97" s="1"/>
  <c r="A42" i="97" s="1"/>
  <c r="A43" i="97" s="1"/>
  <c r="A44" i="97" s="1"/>
  <c r="A45" i="97" s="1"/>
  <c r="A46" i="97" s="1"/>
  <c r="A47" i="97" s="1"/>
  <c r="A52" i="97" s="1"/>
  <c r="A53" i="97" s="1"/>
  <c r="N51" i="97"/>
  <c r="M51" i="97"/>
  <c r="L51" i="97"/>
  <c r="K51" i="97"/>
  <c r="J51" i="97"/>
  <c r="I51" i="97"/>
  <c r="H51" i="97"/>
  <c r="G51" i="97"/>
  <c r="F51" i="97"/>
  <c r="E51" i="97"/>
  <c r="D51" i="97"/>
  <c r="C51" i="97"/>
  <c r="H25" i="97"/>
  <c r="D25" i="97"/>
  <c r="M47" i="97"/>
  <c r="L47" i="97"/>
  <c r="K47" i="97"/>
  <c r="I47" i="97"/>
  <c r="H47" i="97"/>
  <c r="E47" i="97"/>
  <c r="D47" i="97"/>
  <c r="O18" i="97"/>
  <c r="N18" i="97"/>
  <c r="M18" i="97"/>
  <c r="L18" i="97"/>
  <c r="K18" i="97"/>
  <c r="J18" i="97"/>
  <c r="I18" i="97"/>
  <c r="H18" i="97"/>
  <c r="G18" i="97"/>
  <c r="F18" i="97"/>
  <c r="E18" i="97"/>
  <c r="D18" i="97"/>
  <c r="C18" i="97"/>
  <c r="N47" i="96"/>
  <c r="M47" i="96"/>
  <c r="L47" i="96"/>
  <c r="K47" i="96"/>
  <c r="J47" i="96"/>
  <c r="I47" i="96"/>
  <c r="H47" i="96"/>
  <c r="G47" i="96"/>
  <c r="F47" i="96"/>
  <c r="E47" i="96"/>
  <c r="D47" i="96"/>
  <c r="C47" i="96"/>
  <c r="N46" i="96"/>
  <c r="N48" i="96" s="1"/>
  <c r="N33" i="96" s="1"/>
  <c r="M46" i="96"/>
  <c r="L46" i="96"/>
  <c r="L48" i="96" s="1"/>
  <c r="L33" i="96" s="1"/>
  <c r="K46" i="96"/>
  <c r="K48" i="96" s="1"/>
  <c r="K33" i="96" s="1"/>
  <c r="J46" i="96"/>
  <c r="I46" i="96"/>
  <c r="H46" i="96"/>
  <c r="G46" i="96"/>
  <c r="G48" i="96" s="1"/>
  <c r="G33" i="96" s="1"/>
  <c r="F46" i="96"/>
  <c r="E46" i="96"/>
  <c r="D46" i="96"/>
  <c r="C46" i="96"/>
  <c r="C48" i="96" s="1"/>
  <c r="C33" i="96" s="1"/>
  <c r="N45" i="96"/>
  <c r="M45" i="96"/>
  <c r="L45" i="96"/>
  <c r="K45" i="96"/>
  <c r="J45" i="96"/>
  <c r="I45" i="96"/>
  <c r="H45" i="96"/>
  <c r="G45" i="96"/>
  <c r="F45" i="96"/>
  <c r="E45" i="96"/>
  <c r="O45" i="96" s="1"/>
  <c r="D45" i="96"/>
  <c r="C45" i="96"/>
  <c r="O43" i="96"/>
  <c r="N38" i="96"/>
  <c r="D23" i="24" s="1"/>
  <c r="M38" i="96"/>
  <c r="D22" i="24" s="1"/>
  <c r="L38" i="96"/>
  <c r="D21" i="24" s="1"/>
  <c r="K38" i="96"/>
  <c r="D20" i="24" s="1"/>
  <c r="J38" i="96"/>
  <c r="D19" i="24" s="1"/>
  <c r="I38" i="96"/>
  <c r="H38" i="96"/>
  <c r="D17" i="24" s="1"/>
  <c r="G38" i="96"/>
  <c r="D16" i="24" s="1"/>
  <c r="F38" i="96"/>
  <c r="D15" i="24" s="1"/>
  <c r="E38" i="96"/>
  <c r="D14" i="24" s="1"/>
  <c r="D38" i="96"/>
  <c r="D13" i="24" s="1"/>
  <c r="C38" i="96"/>
  <c r="D12" i="24" s="1"/>
  <c r="N37" i="96"/>
  <c r="M37" i="96"/>
  <c r="L37" i="96"/>
  <c r="K37" i="96"/>
  <c r="J37" i="96"/>
  <c r="I37" i="96"/>
  <c r="H37" i="96"/>
  <c r="G37" i="96"/>
  <c r="F37" i="96"/>
  <c r="E37" i="96"/>
  <c r="D37" i="96"/>
  <c r="C37" i="96"/>
  <c r="N36" i="96"/>
  <c r="M36" i="96"/>
  <c r="L36" i="96"/>
  <c r="K36" i="96"/>
  <c r="J36" i="96"/>
  <c r="I36" i="96"/>
  <c r="H36" i="96"/>
  <c r="G36" i="96"/>
  <c r="F36" i="96"/>
  <c r="E36" i="96"/>
  <c r="D36" i="96"/>
  <c r="C36" i="96"/>
  <c r="N35" i="96"/>
  <c r="M35" i="96"/>
  <c r="L35" i="96"/>
  <c r="K35" i="96"/>
  <c r="J35" i="96"/>
  <c r="I35" i="96"/>
  <c r="H35" i="96"/>
  <c r="G35" i="96"/>
  <c r="F35" i="96"/>
  <c r="E35" i="96"/>
  <c r="D35" i="96"/>
  <c r="C35" i="96"/>
  <c r="N32" i="96"/>
  <c r="M32" i="96"/>
  <c r="L32" i="96"/>
  <c r="K32" i="96"/>
  <c r="J32" i="96"/>
  <c r="I32" i="96"/>
  <c r="H32" i="96"/>
  <c r="G32" i="96"/>
  <c r="F32" i="96"/>
  <c r="E32" i="96"/>
  <c r="D32" i="96"/>
  <c r="C32" i="96"/>
  <c r="N31" i="96"/>
  <c r="M31" i="96"/>
  <c r="L31" i="96"/>
  <c r="K31" i="96"/>
  <c r="J31" i="96"/>
  <c r="I31" i="96"/>
  <c r="H31" i="96"/>
  <c r="G31" i="96"/>
  <c r="F31" i="96"/>
  <c r="E31" i="96"/>
  <c r="D31" i="96"/>
  <c r="C31" i="96"/>
  <c r="N30" i="96"/>
  <c r="N43" i="96" s="1"/>
  <c r="M30" i="96"/>
  <c r="M43" i="96" s="1"/>
  <c r="L30" i="96"/>
  <c r="L43" i="96" s="1"/>
  <c r="K30" i="96"/>
  <c r="K43" i="96" s="1"/>
  <c r="J30" i="96"/>
  <c r="J43" i="96" s="1"/>
  <c r="I30" i="96"/>
  <c r="I43" i="96" s="1"/>
  <c r="H30" i="96"/>
  <c r="H43" i="96" s="1"/>
  <c r="G30" i="96"/>
  <c r="G43" i="96" s="1"/>
  <c r="F30" i="96"/>
  <c r="F43" i="96" s="1"/>
  <c r="E30" i="96"/>
  <c r="E43" i="96" s="1"/>
  <c r="D30" i="96"/>
  <c r="D43" i="96" s="1"/>
  <c r="C30" i="96"/>
  <c r="C43" i="96" s="1"/>
  <c r="B28" i="96"/>
  <c r="P5" i="96"/>
  <c r="P6" i="96" s="1"/>
  <c r="P7" i="96" s="1"/>
  <c r="P8" i="96" s="1"/>
  <c r="P9" i="96" s="1"/>
  <c r="P10" i="96" s="1"/>
  <c r="A5" i="96"/>
  <c r="A6" i="96" s="1"/>
  <c r="A7" i="96" s="1"/>
  <c r="A8" i="96" s="1"/>
  <c r="N23" i="96"/>
  <c r="M23" i="96"/>
  <c r="L23" i="96"/>
  <c r="K23" i="96"/>
  <c r="J23" i="96"/>
  <c r="I23" i="96"/>
  <c r="H23" i="96"/>
  <c r="G23" i="96"/>
  <c r="F23" i="96"/>
  <c r="E23" i="96"/>
  <c r="D23" i="96"/>
  <c r="C23" i="96"/>
  <c r="O22" i="96"/>
  <c r="O21" i="96"/>
  <c r="O20" i="96"/>
  <c r="O18" i="96"/>
  <c r="N18" i="96"/>
  <c r="M18" i="96"/>
  <c r="L18" i="96"/>
  <c r="K18" i="96"/>
  <c r="J18" i="96"/>
  <c r="I18" i="96"/>
  <c r="H18" i="96"/>
  <c r="G18" i="96"/>
  <c r="F18" i="96"/>
  <c r="E18" i="96"/>
  <c r="D18" i="96"/>
  <c r="C18" i="96"/>
  <c r="O13" i="96"/>
  <c r="O12" i="96"/>
  <c r="O11" i="96"/>
  <c r="O7" i="96"/>
  <c r="O6" i="96"/>
  <c r="G12" i="79"/>
  <c r="G13" i="79"/>
  <c r="G14" i="79"/>
  <c r="G15" i="79"/>
  <c r="G16" i="79"/>
  <c r="G17" i="79"/>
  <c r="G18" i="79"/>
  <c r="G19" i="79"/>
  <c r="G20" i="79"/>
  <c r="G21" i="79"/>
  <c r="G22" i="79"/>
  <c r="G23" i="79"/>
  <c r="G24" i="79"/>
  <c r="G25" i="79"/>
  <c r="G26" i="79"/>
  <c r="G27" i="79"/>
  <c r="G28" i="79"/>
  <c r="G29" i="79"/>
  <c r="G30" i="79"/>
  <c r="G31" i="79"/>
  <c r="G32" i="79"/>
  <c r="G33" i="79"/>
  <c r="G34" i="79"/>
  <c r="G35" i="79"/>
  <c r="G36" i="79"/>
  <c r="G37" i="79"/>
  <c r="G38" i="79"/>
  <c r="A12" i="79"/>
  <c r="A13" i="79"/>
  <c r="A14" i="79"/>
  <c r="A15" i="79"/>
  <c r="A16" i="79"/>
  <c r="A17" i="79"/>
  <c r="A18" i="79"/>
  <c r="A19" i="79"/>
  <c r="A20" i="79"/>
  <c r="A21" i="79"/>
  <c r="A22" i="79"/>
  <c r="A23" i="79"/>
  <c r="A24" i="79"/>
  <c r="A25" i="79"/>
  <c r="A26" i="79"/>
  <c r="A27" i="79"/>
  <c r="A28" i="79"/>
  <c r="A29" i="79"/>
  <c r="A30" i="79"/>
  <c r="A31" i="79"/>
  <c r="A32" i="79"/>
  <c r="A33" i="79"/>
  <c r="A34" i="79"/>
  <c r="A35" i="79"/>
  <c r="A36" i="79"/>
  <c r="A37" i="79"/>
  <c r="A38" i="79"/>
  <c r="Q8" i="56"/>
  <c r="A8" i="56"/>
  <c r="N5" i="56"/>
  <c r="M5" i="56"/>
  <c r="L5" i="56"/>
  <c r="K5" i="56"/>
  <c r="J5" i="56"/>
  <c r="I5" i="56"/>
  <c r="H5" i="56"/>
  <c r="G5" i="56"/>
  <c r="F5" i="56"/>
  <c r="E5" i="56"/>
  <c r="D5" i="56"/>
  <c r="D15" i="116"/>
  <c r="D15" i="119"/>
  <c r="D37" i="119" s="1"/>
  <c r="D14" i="140" s="1"/>
  <c r="H15" i="119"/>
  <c r="H15" i="116"/>
  <c r="F16" i="96"/>
  <c r="J14" i="96"/>
  <c r="N16" i="96"/>
  <c r="C14" i="96"/>
  <c r="D14" i="96"/>
  <c r="H14" i="96"/>
  <c r="L16" i="96"/>
  <c r="Q9" i="56"/>
  <c r="Q10" i="56"/>
  <c r="Q11" i="56"/>
  <c r="Q12" i="56"/>
  <c r="Q13" i="56"/>
  <c r="Q14" i="56"/>
  <c r="Q15" i="56"/>
  <c r="Q16" i="56"/>
  <c r="Q17" i="56"/>
  <c r="Q18" i="56"/>
  <c r="Q19" i="56"/>
  <c r="Q20" i="56"/>
  <c r="A9" i="56"/>
  <c r="A10" i="56"/>
  <c r="A11" i="56"/>
  <c r="A12" i="56"/>
  <c r="A13" i="56"/>
  <c r="A14" i="56"/>
  <c r="A15" i="56"/>
  <c r="G33" i="97"/>
  <c r="C34" i="97"/>
  <c r="K34" i="97"/>
  <c r="N37" i="97"/>
  <c r="N38" i="97"/>
  <c r="N39" i="97"/>
  <c r="F33" i="97"/>
  <c r="J33" i="97"/>
  <c r="N33" i="97"/>
  <c r="F34" i="97"/>
  <c r="J34" i="97"/>
  <c r="N34" i="97"/>
  <c r="E37" i="97"/>
  <c r="I37" i="97"/>
  <c r="M37" i="97"/>
  <c r="E38" i="97"/>
  <c r="I38" i="97"/>
  <c r="M38" i="97"/>
  <c r="E39" i="97"/>
  <c r="I39" i="97"/>
  <c r="M39" i="97"/>
  <c r="C33" i="97"/>
  <c r="G34" i="97"/>
  <c r="J37" i="97"/>
  <c r="F38" i="97"/>
  <c r="F39" i="97"/>
  <c r="D34" i="97"/>
  <c r="H34" i="97"/>
  <c r="L34" i="97"/>
  <c r="G37" i="97"/>
  <c r="K37" i="97"/>
  <c r="C38" i="97"/>
  <c r="G38" i="97"/>
  <c r="K38" i="97"/>
  <c r="C39" i="97"/>
  <c r="G39" i="97"/>
  <c r="K39" i="97"/>
  <c r="K33" i="97"/>
  <c r="F37" i="97"/>
  <c r="J38" i="97"/>
  <c r="J39" i="97"/>
  <c r="I33" i="97"/>
  <c r="E34" i="97"/>
  <c r="I34" i="97"/>
  <c r="M34" i="97"/>
  <c r="D37" i="97"/>
  <c r="H37" i="97"/>
  <c r="L37" i="97"/>
  <c r="D38" i="97"/>
  <c r="H38" i="97"/>
  <c r="L38" i="97"/>
  <c r="D39" i="97"/>
  <c r="H39" i="97"/>
  <c r="L39" i="97"/>
  <c r="I18" i="111"/>
  <c r="M18" i="111"/>
  <c r="F18" i="111"/>
  <c r="N18" i="111"/>
  <c r="C18" i="111"/>
  <c r="G18" i="111"/>
  <c r="K18" i="111"/>
  <c r="E18" i="111"/>
  <c r="J18" i="111"/>
  <c r="D18" i="111"/>
  <c r="H18" i="111"/>
  <c r="L18" i="111"/>
  <c r="L25" i="97"/>
  <c r="D35" i="79"/>
  <c r="D37" i="79"/>
  <c r="D22" i="143"/>
  <c r="D26" i="143"/>
  <c r="O10" i="97"/>
  <c r="O11" i="97"/>
  <c r="O20" i="97"/>
  <c r="H16" i="97"/>
  <c r="I25" i="97"/>
  <c r="F25" i="97"/>
  <c r="J25" i="97"/>
  <c r="N25" i="97"/>
  <c r="E25" i="97"/>
  <c r="M25" i="97"/>
  <c r="G16" i="96"/>
  <c r="G14" i="96"/>
  <c r="K16" i="96"/>
  <c r="K14" i="96"/>
  <c r="F14" i="96"/>
  <c r="N14" i="96"/>
  <c r="O24" i="97"/>
  <c r="G25" i="97"/>
  <c r="D33" i="97"/>
  <c r="L33" i="97"/>
  <c r="C37" i="97"/>
  <c r="F47" i="97"/>
  <c r="N47" i="97"/>
  <c r="D16" i="97"/>
  <c r="E33" i="97"/>
  <c r="M33" i="97"/>
  <c r="G47" i="97"/>
  <c r="O7" i="97"/>
  <c r="C25" i="97"/>
  <c r="K25" i="97"/>
  <c r="H33" i="97"/>
  <c r="J47" i="97"/>
  <c r="O12" i="97"/>
  <c r="O6" i="97"/>
  <c r="O21" i="97"/>
  <c r="E14" i="96"/>
  <c r="E16" i="96"/>
  <c r="I14" i="96"/>
  <c r="I16" i="96"/>
  <c r="M14" i="96"/>
  <c r="M16" i="96"/>
  <c r="O13" i="56"/>
  <c r="E12" i="17"/>
  <c r="D19" i="32"/>
  <c r="C15" i="116"/>
  <c r="C15" i="119"/>
  <c r="C37" i="119" s="1"/>
  <c r="C14" i="140" s="1"/>
  <c r="F15" i="119"/>
  <c r="F37" i="119" s="1"/>
  <c r="F14" i="140" s="1"/>
  <c r="F15" i="116"/>
  <c r="E15" i="119"/>
  <c r="E37" i="119" s="1"/>
  <c r="E15" i="116"/>
  <c r="H15" i="120"/>
  <c r="H15" i="117"/>
  <c r="C15" i="117"/>
  <c r="C15" i="120"/>
  <c r="F15" i="120"/>
  <c r="F15" i="117"/>
  <c r="E15" i="120"/>
  <c r="E15" i="117"/>
  <c r="G15" i="119"/>
  <c r="G15" i="116"/>
  <c r="G15" i="120"/>
  <c r="G15" i="117"/>
  <c r="D15" i="120"/>
  <c r="D15" i="117"/>
  <c r="L14" i="96"/>
  <c r="D16" i="96"/>
  <c r="H16" i="96"/>
  <c r="C16" i="96"/>
  <c r="J16" i="96"/>
  <c r="O8" i="96"/>
  <c r="F16" i="97"/>
  <c r="K16" i="97"/>
  <c r="J16" i="97"/>
  <c r="C16" i="97"/>
  <c r="L16" i="97"/>
  <c r="I16" i="97"/>
  <c r="N16" i="97"/>
  <c r="D10" i="56"/>
  <c r="D17" i="111" s="1"/>
  <c r="J10" i="56"/>
  <c r="C25" i="79" s="1"/>
  <c r="E25" i="79" s="1"/>
  <c r="K10" i="56"/>
  <c r="C27" i="79" s="1"/>
  <c r="E27" i="79" s="1"/>
  <c r="I10" i="56"/>
  <c r="I17" i="111" s="1"/>
  <c r="G10" i="56"/>
  <c r="C19" i="79" s="1"/>
  <c r="E19" i="79" s="1"/>
  <c r="M10" i="56"/>
  <c r="C31" i="79" s="1"/>
  <c r="N10" i="56"/>
  <c r="C33" i="79" s="1"/>
  <c r="E33" i="79" s="1"/>
  <c r="H10" i="56"/>
  <c r="C21" i="79" s="1"/>
  <c r="E21" i="79" s="1"/>
  <c r="C10" i="56"/>
  <c r="C17" i="111" s="1"/>
  <c r="F10" i="56"/>
  <c r="C17" i="79" s="1"/>
  <c r="E17" i="79" s="1"/>
  <c r="M16" i="97"/>
  <c r="O8" i="97"/>
  <c r="G16" i="97"/>
  <c r="E16" i="97"/>
  <c r="C29" i="79"/>
  <c r="E29" i="79" s="1"/>
  <c r="C11" i="79"/>
  <c r="E11" i="79" s="1"/>
  <c r="O8" i="56"/>
  <c r="D26" i="47"/>
  <c r="D28" i="47"/>
  <c r="D24" i="47"/>
  <c r="D16" i="47"/>
  <c r="D14" i="47"/>
  <c r="D10" i="47"/>
  <c r="B4" i="22"/>
  <c r="B15" i="32"/>
  <c r="A4" i="51"/>
  <c r="A4" i="35" s="1"/>
  <c r="D18" i="24"/>
  <c r="B23" i="35"/>
  <c r="B22" i="35"/>
  <c r="B21" i="35"/>
  <c r="B20" i="35"/>
  <c r="B19" i="35"/>
  <c r="B18" i="35"/>
  <c r="B17" i="35"/>
  <c r="B16" i="35"/>
  <c r="B15" i="35"/>
  <c r="B14" i="35"/>
  <c r="B13" i="35"/>
  <c r="A9" i="89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H11" i="17"/>
  <c r="H12" i="17"/>
  <c r="H13" i="17"/>
  <c r="H14" i="17"/>
  <c r="H15" i="17"/>
  <c r="H16" i="17"/>
  <c r="H17" i="17"/>
  <c r="H18" i="17"/>
  <c r="H19" i="17"/>
  <c r="H20" i="17"/>
  <c r="H21" i="17"/>
  <c r="H22" i="17"/>
  <c r="A11" i="17"/>
  <c r="A12" i="17"/>
  <c r="A13" i="17"/>
  <c r="A14" i="17"/>
  <c r="A15" i="17"/>
  <c r="A16" i="17"/>
  <c r="A17" i="17"/>
  <c r="A18" i="17"/>
  <c r="A19" i="17"/>
  <c r="A20" i="17"/>
  <c r="G14" i="32"/>
  <c r="G15" i="32" s="1"/>
  <c r="G16" i="32" s="1"/>
  <c r="G17" i="32" s="1"/>
  <c r="G18" i="32" s="1"/>
  <c r="G19" i="32" s="1"/>
  <c r="G20" i="32" s="1"/>
  <c r="G21" i="32" s="1"/>
  <c r="G22" i="32" s="1"/>
  <c r="G23" i="32" s="1"/>
  <c r="G24" i="32" s="1"/>
  <c r="G25" i="32" s="1"/>
  <c r="G26" i="32" s="1"/>
  <c r="G27" i="32" s="1"/>
  <c r="G28" i="32" s="1"/>
  <c r="G29" i="32" s="1"/>
  <c r="G30" i="32" s="1"/>
  <c r="G31" i="32" s="1"/>
  <c r="G32" i="32" s="1"/>
  <c r="G33" i="32" s="1"/>
  <c r="G34" i="32" s="1"/>
  <c r="G35" i="32" s="1"/>
  <c r="G36" i="32" s="1"/>
  <c r="G37" i="32" s="1"/>
  <c r="A14" i="32"/>
  <c r="A15" i="32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E11" i="47"/>
  <c r="E12" i="47"/>
  <c r="E13" i="47"/>
  <c r="E14" i="47"/>
  <c r="E15" i="47"/>
  <c r="E16" i="47"/>
  <c r="E17" i="47"/>
  <c r="A11" i="46"/>
  <c r="A12" i="46"/>
  <c r="A13" i="46"/>
  <c r="A14" i="46"/>
  <c r="A15" i="46"/>
  <c r="A16" i="46"/>
  <c r="A17" i="46"/>
  <c r="G13" i="51"/>
  <c r="G14" i="51"/>
  <c r="G15" i="51"/>
  <c r="G16" i="51"/>
  <c r="G17" i="51"/>
  <c r="G18" i="51"/>
  <c r="G19" i="51"/>
  <c r="G20" i="51"/>
  <c r="G21" i="51"/>
  <c r="G22" i="51"/>
  <c r="G23" i="51"/>
  <c r="G24" i="51"/>
  <c r="G25" i="51"/>
  <c r="G26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E11" i="46"/>
  <c r="E12" i="46"/>
  <c r="E13" i="46"/>
  <c r="E14" i="46"/>
  <c r="E15" i="46"/>
  <c r="E16" i="46"/>
  <c r="E17" i="46"/>
  <c r="A11" i="47"/>
  <c r="A12" i="47"/>
  <c r="A13" i="47"/>
  <c r="A14" i="47"/>
  <c r="A15" i="47"/>
  <c r="A16" i="47"/>
  <c r="A17" i="47"/>
  <c r="D13" i="22"/>
  <c r="C13" i="22"/>
  <c r="H14" i="35"/>
  <c r="H15" i="35"/>
  <c r="H16" i="35"/>
  <c r="H17" i="35"/>
  <c r="H18" i="35"/>
  <c r="H19" i="35"/>
  <c r="H20" i="35"/>
  <c r="H21" i="35"/>
  <c r="H22" i="35"/>
  <c r="H23" i="35"/>
  <c r="H24" i="35"/>
  <c r="H25" i="35"/>
  <c r="H26" i="35"/>
  <c r="H27" i="35"/>
  <c r="H28" i="35"/>
  <c r="H29" i="35"/>
  <c r="H30" i="35"/>
  <c r="H31" i="35"/>
  <c r="H32" i="35"/>
  <c r="H33" i="35"/>
  <c r="H34" i="35"/>
  <c r="H35" i="35"/>
  <c r="H36" i="35"/>
  <c r="H37" i="35"/>
  <c r="H38" i="35"/>
  <c r="H39" i="35"/>
  <c r="H40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14" i="22"/>
  <c r="A15" i="22"/>
  <c r="A16" i="22"/>
  <c r="A17" i="22"/>
  <c r="A18" i="22"/>
  <c r="A19" i="22"/>
  <c r="A20" i="22"/>
  <c r="A21" i="22"/>
  <c r="A22" i="22"/>
  <c r="A23" i="22"/>
  <c r="G14" i="22"/>
  <c r="G15" i="22"/>
  <c r="G16" i="22"/>
  <c r="G17" i="22"/>
  <c r="G18" i="22"/>
  <c r="G19" i="22"/>
  <c r="G20" i="22"/>
  <c r="G21" i="22"/>
  <c r="G22" i="22"/>
  <c r="G23" i="22"/>
  <c r="A40" i="35"/>
  <c r="A21" i="17"/>
  <c r="A22" i="17"/>
  <c r="A23" i="17"/>
  <c r="A24" i="17"/>
  <c r="H23" i="17"/>
  <c r="H24" i="17"/>
  <c r="C8" i="89"/>
  <c r="C9" i="89"/>
  <c r="E18" i="47"/>
  <c r="E19" i="47"/>
  <c r="E20" i="47"/>
  <c r="E21" i="47"/>
  <c r="E22" i="47"/>
  <c r="E23" i="47"/>
  <c r="E24" i="47"/>
  <c r="E25" i="47"/>
  <c r="A18" i="47"/>
  <c r="A19" i="47"/>
  <c r="A20" i="47"/>
  <c r="A21" i="47"/>
  <c r="A22" i="47"/>
  <c r="A23" i="47"/>
  <c r="A24" i="47"/>
  <c r="A25" i="47"/>
  <c r="E18" i="46"/>
  <c r="E19" i="46"/>
  <c r="E20" i="46"/>
  <c r="E21" i="46"/>
  <c r="E22" i="46"/>
  <c r="E23" i="46"/>
  <c r="E24" i="46"/>
  <c r="E25" i="46"/>
  <c r="A18" i="46"/>
  <c r="A19" i="46"/>
  <c r="A20" i="46"/>
  <c r="A21" i="46"/>
  <c r="A22" i="46"/>
  <c r="A23" i="46"/>
  <c r="A24" i="46"/>
  <c r="B24" i="35"/>
  <c r="E26" i="47"/>
  <c r="E27" i="47"/>
  <c r="E28" i="47"/>
  <c r="E29" i="47"/>
  <c r="E30" i="47"/>
  <c r="E31" i="47"/>
  <c r="E32" i="47"/>
  <c r="E33" i="47"/>
  <c r="E34" i="47"/>
  <c r="E35" i="47"/>
  <c r="E36" i="47"/>
  <c r="A26" i="47"/>
  <c r="A27" i="47"/>
  <c r="A28" i="47"/>
  <c r="A29" i="47"/>
  <c r="A30" i="47"/>
  <c r="A31" i="47"/>
  <c r="A32" i="47"/>
  <c r="A33" i="47"/>
  <c r="A34" i="47"/>
  <c r="A35" i="47"/>
  <c r="A36" i="47"/>
  <c r="A25" i="46"/>
  <c r="A26" i="46"/>
  <c r="A27" i="46"/>
  <c r="A28" i="46"/>
  <c r="A29" i="46"/>
  <c r="A30" i="46"/>
  <c r="A31" i="46"/>
  <c r="A32" i="46"/>
  <c r="E26" i="46"/>
  <c r="E27" i="46"/>
  <c r="E28" i="46"/>
  <c r="E29" i="46"/>
  <c r="E30" i="46"/>
  <c r="E31" i="46"/>
  <c r="E32" i="46"/>
  <c r="C20" i="35"/>
  <c r="O13" i="97"/>
  <c r="A16" i="56"/>
  <c r="A17" i="56"/>
  <c r="A18" i="56"/>
  <c r="A19" i="56"/>
  <c r="A20" i="56"/>
  <c r="M19" i="56" l="1"/>
  <c r="C28" i="107" s="1"/>
  <c r="G39" i="119"/>
  <c r="G16" i="140" s="1"/>
  <c r="C43" i="120"/>
  <c r="C38" i="140" s="1"/>
  <c r="G28" i="120"/>
  <c r="E35" i="119"/>
  <c r="E12" i="140" s="1"/>
  <c r="E33" i="119"/>
  <c r="E10" i="140" s="1"/>
  <c r="G41" i="119"/>
  <c r="G18" i="140" s="1"/>
  <c r="C37" i="120"/>
  <c r="C32" i="140" s="1"/>
  <c r="D33" i="119"/>
  <c r="D10" i="140" s="1"/>
  <c r="F41" i="119"/>
  <c r="F18" i="140" s="1"/>
  <c r="G43" i="120"/>
  <c r="G38" i="140" s="1"/>
  <c r="F48" i="96"/>
  <c r="F33" i="96" s="1"/>
  <c r="F41" i="96" s="1"/>
  <c r="F10" i="111" s="1"/>
  <c r="F12" i="111" s="1"/>
  <c r="E23" i="35"/>
  <c r="F23" i="35" s="1"/>
  <c r="D26" i="35"/>
  <c r="G39" i="120"/>
  <c r="G34" i="140" s="1"/>
  <c r="E22" i="35"/>
  <c r="F22" i="35" s="1"/>
  <c r="E18" i="35"/>
  <c r="F18" i="35" s="1"/>
  <c r="E13" i="35"/>
  <c r="L5" i="111"/>
  <c r="L56" i="111" s="1"/>
  <c r="F56" i="111"/>
  <c r="F17" i="111"/>
  <c r="J17" i="111"/>
  <c r="B26" i="144"/>
  <c r="B24" i="113"/>
  <c r="B24" i="144"/>
  <c r="B22" i="144"/>
  <c r="B4" i="32"/>
  <c r="B4" i="47"/>
  <c r="M20" i="108"/>
  <c r="K44" i="111"/>
  <c r="G37" i="119"/>
  <c r="G14" i="140" s="1"/>
  <c r="D52" i="97"/>
  <c r="D35" i="97" s="1"/>
  <c r="D43" i="97" s="1"/>
  <c r="J52" i="97"/>
  <c r="J35" i="97" s="1"/>
  <c r="J43" i="97" s="1"/>
  <c r="G52" i="97"/>
  <c r="G35" i="97" s="1"/>
  <c r="M52" i="97"/>
  <c r="M35" i="97" s="1"/>
  <c r="M41" i="97" s="1"/>
  <c r="C22" i="51" s="1"/>
  <c r="E22" i="51" s="1"/>
  <c r="N52" i="97"/>
  <c r="N35" i="97" s="1"/>
  <c r="N43" i="97" s="1"/>
  <c r="L52" i="97"/>
  <c r="L35" i="97" s="1"/>
  <c r="L41" i="97" s="1"/>
  <c r="C21" i="51" s="1"/>
  <c r="E21" i="51" s="1"/>
  <c r="F52" i="97"/>
  <c r="F35" i="97" s="1"/>
  <c r="F41" i="97" s="1"/>
  <c r="C15" i="51" s="1"/>
  <c r="E15" i="51" s="1"/>
  <c r="E24" i="35"/>
  <c r="F24" i="35" s="1"/>
  <c r="E16" i="35"/>
  <c r="F16" i="35" s="1"/>
  <c r="E23" i="117"/>
  <c r="O38" i="97"/>
  <c r="K61" i="111"/>
  <c r="K63" i="111" s="1"/>
  <c r="E44" i="111"/>
  <c r="M44" i="111"/>
  <c r="O18" i="111"/>
  <c r="K17" i="111"/>
  <c r="I19" i="56"/>
  <c r="C20" i="107" s="1"/>
  <c r="E20" i="108"/>
  <c r="B28" i="107"/>
  <c r="B18" i="113"/>
  <c r="B16" i="113"/>
  <c r="B16" i="144"/>
  <c r="C16" i="47"/>
  <c r="E30" i="143"/>
  <c r="C16" i="46"/>
  <c r="D20" i="111"/>
  <c r="E21" i="108" s="1"/>
  <c r="E22" i="108" s="1"/>
  <c r="C10" i="107"/>
  <c r="M20" i="111"/>
  <c r="N21" i="108" s="1"/>
  <c r="N22" i="108" s="1"/>
  <c r="L20" i="111"/>
  <c r="M21" i="108" s="1"/>
  <c r="O25" i="97"/>
  <c r="E52" i="97"/>
  <c r="E35" i="97" s="1"/>
  <c r="E41" i="97" s="1"/>
  <c r="C14" i="51" s="1"/>
  <c r="E14" i="51" s="1"/>
  <c r="E15" i="35"/>
  <c r="F15" i="35" s="1"/>
  <c r="C23" i="117"/>
  <c r="E14" i="35"/>
  <c r="F14" i="35" s="1"/>
  <c r="O33" i="97"/>
  <c r="O39" i="97"/>
  <c r="C23" i="120"/>
  <c r="E20" i="35"/>
  <c r="F20" i="35" s="1"/>
  <c r="D23" i="120"/>
  <c r="D23" i="116"/>
  <c r="D23" i="117"/>
  <c r="E17" i="35"/>
  <c r="F17" i="35" s="1"/>
  <c r="J61" i="111"/>
  <c r="J63" i="111" s="1"/>
  <c r="H61" i="111"/>
  <c r="H63" i="111" s="1"/>
  <c r="N61" i="111"/>
  <c r="N63" i="111" s="1"/>
  <c r="C23" i="79"/>
  <c r="E23" i="79" s="1"/>
  <c r="H52" i="97"/>
  <c r="H35" i="97" s="1"/>
  <c r="H43" i="97" s="1"/>
  <c r="O47" i="97"/>
  <c r="I52" i="97"/>
  <c r="I35" i="97" s="1"/>
  <c r="I41" i="97" s="1"/>
  <c r="C18" i="51" s="1"/>
  <c r="E18" i="51" s="1"/>
  <c r="O51" i="97"/>
  <c r="D26" i="51"/>
  <c r="G43" i="119"/>
  <c r="G20" i="140" s="1"/>
  <c r="I13" i="120"/>
  <c r="E23" i="120"/>
  <c r="O36" i="97"/>
  <c r="O34" i="97"/>
  <c r="I21" i="120"/>
  <c r="I15" i="120"/>
  <c r="O37" i="97"/>
  <c r="I11" i="117"/>
  <c r="H23" i="116"/>
  <c r="I21" i="117"/>
  <c r="H23" i="119"/>
  <c r="F23" i="119"/>
  <c r="G23" i="120"/>
  <c r="I17" i="120"/>
  <c r="E21" i="35"/>
  <c r="F21" i="35" s="1"/>
  <c r="O14" i="97"/>
  <c r="C39" i="120"/>
  <c r="C34" i="140" s="1"/>
  <c r="I19" i="120"/>
  <c r="E19" i="35"/>
  <c r="F19" i="35" s="1"/>
  <c r="D23" i="119"/>
  <c r="D43" i="119"/>
  <c r="D20" i="140" s="1"/>
  <c r="I11" i="120"/>
  <c r="C23" i="116"/>
  <c r="G23" i="116"/>
  <c r="I19" i="117"/>
  <c r="G23" i="117"/>
  <c r="O40" i="97"/>
  <c r="O16" i="97"/>
  <c r="F23" i="116"/>
  <c r="F23" i="120"/>
  <c r="I15" i="117"/>
  <c r="H23" i="117"/>
  <c r="F23" i="117"/>
  <c r="H39" i="119"/>
  <c r="H16" i="140" s="1"/>
  <c r="J19" i="56"/>
  <c r="C22" i="107" s="1"/>
  <c r="E20" i="111"/>
  <c r="F21" i="108" s="1"/>
  <c r="F22" i="108" s="1"/>
  <c r="C20" i="111"/>
  <c r="D21" i="108" s="1"/>
  <c r="C8" i="107"/>
  <c r="D20" i="108"/>
  <c r="K19" i="56"/>
  <c r="D16" i="56"/>
  <c r="D24" i="56" s="1"/>
  <c r="G17" i="111"/>
  <c r="C15" i="79"/>
  <c r="E15" i="79" s="1"/>
  <c r="H5" i="111"/>
  <c r="H56" i="111" s="1"/>
  <c r="M5" i="111"/>
  <c r="M56" i="111" s="1"/>
  <c r="H37" i="119"/>
  <c r="H14" i="140" s="1"/>
  <c r="D28" i="120"/>
  <c r="D33" i="120" s="1"/>
  <c r="D28" i="140" s="1"/>
  <c r="C41" i="120"/>
  <c r="C36" i="140" s="1"/>
  <c r="H41" i="119"/>
  <c r="H18" i="140" s="1"/>
  <c r="G35" i="120"/>
  <c r="G30" i="140" s="1"/>
  <c r="B20" i="144"/>
  <c r="B20" i="107"/>
  <c r="B18" i="144"/>
  <c r="E45" i="143"/>
  <c r="I20" i="111"/>
  <c r="J21" i="108" s="1"/>
  <c r="J22" i="108" s="1"/>
  <c r="G19" i="56"/>
  <c r="F19" i="56"/>
  <c r="F24" i="56" s="1"/>
  <c r="N19" i="56"/>
  <c r="C30" i="107" s="1"/>
  <c r="G65" i="141"/>
  <c r="G16" i="56"/>
  <c r="H16" i="56"/>
  <c r="O10" i="56"/>
  <c r="E16" i="143"/>
  <c r="C18" i="143" s="1"/>
  <c r="H17" i="111"/>
  <c r="C13" i="79"/>
  <c r="E13" i="79" s="1"/>
  <c r="E63" i="111"/>
  <c r="N5" i="111"/>
  <c r="N56" i="111" s="1"/>
  <c r="K5" i="111"/>
  <c r="K56" i="111" s="1"/>
  <c r="J5" i="111"/>
  <c r="J56" i="111" s="1"/>
  <c r="I5" i="111"/>
  <c r="I56" i="111" s="1"/>
  <c r="E11" i="147"/>
  <c r="D13" i="147" s="1"/>
  <c r="D15" i="147" s="1"/>
  <c r="D35" i="32" s="1"/>
  <c r="D17" i="22" s="1"/>
  <c r="H43" i="119"/>
  <c r="H20" i="140" s="1"/>
  <c r="G41" i="120"/>
  <c r="G36" i="140" s="1"/>
  <c r="E28" i="120"/>
  <c r="H35" i="119"/>
  <c r="H12" i="140" s="1"/>
  <c r="E43" i="119"/>
  <c r="E20" i="140" s="1"/>
  <c r="F28" i="120"/>
  <c r="G35" i="119"/>
  <c r="G12" i="140" s="1"/>
  <c r="F39" i="119"/>
  <c r="F16" i="140" s="1"/>
  <c r="F22" i="140" s="1"/>
  <c r="E41" i="119"/>
  <c r="E18" i="140" s="1"/>
  <c r="H28" i="120"/>
  <c r="E39" i="119"/>
  <c r="E16" i="140" s="1"/>
  <c r="D41" i="119"/>
  <c r="D18" i="140" s="1"/>
  <c r="G37" i="120"/>
  <c r="G32" i="140" s="1"/>
  <c r="G33" i="120"/>
  <c r="G28" i="140" s="1"/>
  <c r="C33" i="120"/>
  <c r="C28" i="140" s="1"/>
  <c r="G33" i="119"/>
  <c r="G10" i="140" s="1"/>
  <c r="A5" i="120"/>
  <c r="K52" i="97"/>
  <c r="K35" i="97" s="1"/>
  <c r="K43" i="97" s="1"/>
  <c r="C52" i="97"/>
  <c r="C35" i="97" s="1"/>
  <c r="C43" i="97" s="1"/>
  <c r="G43" i="97"/>
  <c r="D41" i="97"/>
  <c r="C13" i="51" s="1"/>
  <c r="E13" i="51" s="1"/>
  <c r="E14" i="140"/>
  <c r="F13" i="35"/>
  <c r="C12" i="140"/>
  <c r="C10" i="140"/>
  <c r="C45" i="119"/>
  <c r="H23" i="120"/>
  <c r="E23" i="116"/>
  <c r="I13" i="117"/>
  <c r="E41" i="120"/>
  <c r="E36" i="140" s="1"/>
  <c r="C26" i="35"/>
  <c r="C23" i="119"/>
  <c r="C35" i="120"/>
  <c r="C30" i="140" s="1"/>
  <c r="I17" i="117"/>
  <c r="G41" i="97"/>
  <c r="C16" i="51" s="1"/>
  <c r="E16" i="51" s="1"/>
  <c r="E23" i="119"/>
  <c r="H33" i="119"/>
  <c r="G23" i="119"/>
  <c r="J48" i="96"/>
  <c r="J33" i="96" s="1"/>
  <c r="J41" i="96" s="1"/>
  <c r="J10" i="111" s="1"/>
  <c r="J12" i="111" s="1"/>
  <c r="O34" i="96"/>
  <c r="G39" i="96"/>
  <c r="C16" i="24" s="1"/>
  <c r="E16" i="24" s="1"/>
  <c r="O35" i="96"/>
  <c r="B10" i="107"/>
  <c r="B14" i="113"/>
  <c r="B10" i="113"/>
  <c r="B30" i="113"/>
  <c r="B14" i="144"/>
  <c r="B26" i="107"/>
  <c r="B30" i="144"/>
  <c r="A3" i="113"/>
  <c r="A3" i="107" s="1"/>
  <c r="B8" i="113"/>
  <c r="E13" i="22"/>
  <c r="Q6" i="141"/>
  <c r="K19" i="111"/>
  <c r="L65" i="141"/>
  <c r="A8" i="141"/>
  <c r="Q7" i="141"/>
  <c r="I16" i="56"/>
  <c r="P17" i="108"/>
  <c r="E43" i="143" s="1"/>
  <c r="O65" i="141"/>
  <c r="N19" i="111"/>
  <c r="O66" i="141" s="1"/>
  <c r="C30" i="144"/>
  <c r="N17" i="111"/>
  <c r="P57" i="141"/>
  <c r="F65" i="141"/>
  <c r="M65" i="141"/>
  <c r="J19" i="111"/>
  <c r="K66" i="141" s="1"/>
  <c r="C22" i="144"/>
  <c r="J24" i="56"/>
  <c r="K65" i="141"/>
  <c r="C14" i="144"/>
  <c r="F19" i="111"/>
  <c r="G66" i="141" s="1"/>
  <c r="E24" i="56"/>
  <c r="E19" i="111"/>
  <c r="F66" i="141" s="1"/>
  <c r="C12" i="144"/>
  <c r="P21" i="141"/>
  <c r="E65" i="141"/>
  <c r="C18" i="107"/>
  <c r="H20" i="111"/>
  <c r="I20" i="108"/>
  <c r="O23" i="96"/>
  <c r="L19" i="111"/>
  <c r="L21" i="111" s="1"/>
  <c r="C26" i="144"/>
  <c r="L24" i="56"/>
  <c r="N65" i="141"/>
  <c r="C28" i="144"/>
  <c r="M19" i="111"/>
  <c r="M24" i="56"/>
  <c r="E31" i="79"/>
  <c r="M17" i="111"/>
  <c r="M48" i="96"/>
  <c r="M33" i="96" s="1"/>
  <c r="M41" i="96" s="1"/>
  <c r="M10" i="111" s="1"/>
  <c r="M12" i="111" s="1"/>
  <c r="D48" i="96"/>
  <c r="D33" i="96" s="1"/>
  <c r="D41" i="96" s="1"/>
  <c r="D10" i="111" s="1"/>
  <c r="D12" i="111" s="1"/>
  <c r="D13" i="111" s="1"/>
  <c r="D14" i="111" s="1"/>
  <c r="H48" i="96"/>
  <c r="H33" i="96" s="1"/>
  <c r="H41" i="96" s="1"/>
  <c r="H10" i="111" s="1"/>
  <c r="H12" i="111" s="1"/>
  <c r="N41" i="96"/>
  <c r="N10" i="111" s="1"/>
  <c r="N12" i="111" s="1"/>
  <c r="N13" i="111" s="1"/>
  <c r="I48" i="96"/>
  <c r="I33" i="96" s="1"/>
  <c r="I39" i="96" s="1"/>
  <c r="C18" i="24" s="1"/>
  <c r="E18" i="24" s="1"/>
  <c r="A9" i="96"/>
  <c r="A10" i="96" s="1"/>
  <c r="A11" i="96" s="1"/>
  <c r="A12" i="96" s="1"/>
  <c r="A13" i="96" s="1"/>
  <c r="A14" i="96" s="1"/>
  <c r="A15" i="96" s="1"/>
  <c r="A16" i="96" s="1"/>
  <c r="A17" i="96" s="1"/>
  <c r="A18" i="96" s="1"/>
  <c r="A19" i="96" s="1"/>
  <c r="A20" i="96" s="1"/>
  <c r="A21" i="96" s="1"/>
  <c r="A22" i="96" s="1"/>
  <c r="A23" i="96" s="1"/>
  <c r="A24" i="96" s="1"/>
  <c r="A29" i="96" s="1"/>
  <c r="A30" i="96" s="1"/>
  <c r="A31" i="96" s="1"/>
  <c r="A32" i="96" s="1"/>
  <c r="A33" i="96" s="1"/>
  <c r="A36" i="96" s="1"/>
  <c r="A37" i="96" s="1"/>
  <c r="A38" i="96" s="1"/>
  <c r="A39" i="96" s="1"/>
  <c r="A40" i="96" s="1"/>
  <c r="A41" i="96" s="1"/>
  <c r="A42" i="96" s="1"/>
  <c r="A43" i="96" s="1"/>
  <c r="A44" i="96" s="1"/>
  <c r="A45" i="96" s="1"/>
  <c r="A46" i="96" s="1"/>
  <c r="A47" i="96" s="1"/>
  <c r="A48" i="96" s="1"/>
  <c r="A49" i="96" s="1"/>
  <c r="O47" i="96"/>
  <c r="P11" i="96"/>
  <c r="P12" i="96" s="1"/>
  <c r="P13" i="96" s="1"/>
  <c r="P14" i="96" s="1"/>
  <c r="P15" i="96" s="1"/>
  <c r="P16" i="96" s="1"/>
  <c r="P17" i="96" s="1"/>
  <c r="P18" i="96" s="1"/>
  <c r="P19" i="96" s="1"/>
  <c r="P20" i="96" s="1"/>
  <c r="P21" i="96" s="1"/>
  <c r="P22" i="96" s="1"/>
  <c r="P23" i="96" s="1"/>
  <c r="P24" i="96" s="1"/>
  <c r="P29" i="96" s="1"/>
  <c r="P30" i="96" s="1"/>
  <c r="P31" i="96" s="1"/>
  <c r="P32" i="96" s="1"/>
  <c r="P33" i="96" s="1"/>
  <c r="P36" i="96" s="1"/>
  <c r="P37" i="96" s="1"/>
  <c r="P38" i="96" s="1"/>
  <c r="P39" i="96" s="1"/>
  <c r="P40" i="96" s="1"/>
  <c r="P41" i="96" s="1"/>
  <c r="P42" i="96" s="1"/>
  <c r="P43" i="96" s="1"/>
  <c r="P44" i="96" s="1"/>
  <c r="P45" i="96" s="1"/>
  <c r="P46" i="96" s="1"/>
  <c r="P47" i="96" s="1"/>
  <c r="P48" i="96" s="1"/>
  <c r="P49" i="96" s="1"/>
  <c r="O16" i="96"/>
  <c r="O46" i="96"/>
  <c r="O48" i="96" s="1"/>
  <c r="N39" i="96"/>
  <c r="C23" i="24" s="1"/>
  <c r="E23" i="24" s="1"/>
  <c r="O36" i="96"/>
  <c r="D26" i="24"/>
  <c r="O31" i="96"/>
  <c r="O37" i="96"/>
  <c r="C41" i="96"/>
  <c r="C10" i="111" s="1"/>
  <c r="C12" i="111" s="1"/>
  <c r="C13" i="111" s="1"/>
  <c r="C39" i="96"/>
  <c r="C12" i="24" s="1"/>
  <c r="E12" i="24" s="1"/>
  <c r="K41" i="96"/>
  <c r="K10" i="111" s="1"/>
  <c r="K12" i="111" s="1"/>
  <c r="K13" i="111" s="1"/>
  <c r="L41" i="96"/>
  <c r="L10" i="111" s="1"/>
  <c r="L12" i="111" s="1"/>
  <c r="L13" i="111" s="1"/>
  <c r="F39" i="96"/>
  <c r="C15" i="24" s="1"/>
  <c r="E15" i="24" s="1"/>
  <c r="G41" i="96"/>
  <c r="G10" i="111" s="1"/>
  <c r="G12" i="111" s="1"/>
  <c r="G13" i="111" s="1"/>
  <c r="G14" i="111" s="1"/>
  <c r="E48" i="96"/>
  <c r="E33" i="96" s="1"/>
  <c r="O32" i="96"/>
  <c r="O38" i="96"/>
  <c r="O14" i="96"/>
  <c r="K39" i="96"/>
  <c r="C20" i="24" s="1"/>
  <c r="E20" i="24" s="1"/>
  <c r="L39" i="96"/>
  <c r="C21" i="24" s="1"/>
  <c r="E21" i="24" s="1"/>
  <c r="I43" i="97" l="1"/>
  <c r="M43" i="97"/>
  <c r="E43" i="97"/>
  <c r="N41" i="97"/>
  <c r="C23" i="51" s="1"/>
  <c r="E23" i="51" s="1"/>
  <c r="J41" i="97"/>
  <c r="C19" i="51" s="1"/>
  <c r="E19" i="51" s="1"/>
  <c r="M22" i="108"/>
  <c r="P62" i="141"/>
  <c r="P65" i="141" s="1"/>
  <c r="K41" i="97"/>
  <c r="C20" i="51" s="1"/>
  <c r="E20" i="51" s="1"/>
  <c r="H41" i="97"/>
  <c r="C17" i="51" s="1"/>
  <c r="E17" i="51" s="1"/>
  <c r="L43" i="97"/>
  <c r="D35" i="120"/>
  <c r="D30" i="140" s="1"/>
  <c r="F43" i="97"/>
  <c r="O52" i="97"/>
  <c r="O61" i="111"/>
  <c r="O63" i="111"/>
  <c r="M13" i="111"/>
  <c r="M14" i="111" s="1"/>
  <c r="E35" i="79"/>
  <c r="E37" i="79" s="1"/>
  <c r="C14" i="46" s="1"/>
  <c r="C35" i="79"/>
  <c r="C37" i="79" s="1"/>
  <c r="C22" i="143" s="1"/>
  <c r="E22" i="143" s="1"/>
  <c r="J20" i="111"/>
  <c r="K21" i="108" s="1"/>
  <c r="K22" i="108" s="1"/>
  <c r="N20" i="111"/>
  <c r="O21" i="108" s="1"/>
  <c r="O22" i="108" s="1"/>
  <c r="M39" i="96"/>
  <c r="C22" i="24" s="1"/>
  <c r="E22" i="24" s="1"/>
  <c r="D22" i="108"/>
  <c r="O35" i="97"/>
  <c r="O41" i="97" s="1"/>
  <c r="I23" i="117"/>
  <c r="C40" i="140"/>
  <c r="E26" i="35"/>
  <c r="E28" i="35" s="1"/>
  <c r="F26" i="35"/>
  <c r="F34" i="35" s="1"/>
  <c r="F40" i="35" s="1"/>
  <c r="C21" i="22" s="1"/>
  <c r="D18" i="143"/>
  <c r="D33" i="143" s="1"/>
  <c r="C41" i="97"/>
  <c r="C12" i="51" s="1"/>
  <c r="E12" i="51" s="1"/>
  <c r="D22" i="140"/>
  <c r="I23" i="120"/>
  <c r="G22" i="140"/>
  <c r="D19" i="111"/>
  <c r="E66" i="141" s="1"/>
  <c r="E67" i="141" s="1"/>
  <c r="C10" i="144"/>
  <c r="K20" i="111"/>
  <c r="L21" i="108" s="1"/>
  <c r="L22" i="108" s="1"/>
  <c r="C24" i="107"/>
  <c r="H65" i="141"/>
  <c r="G19" i="111"/>
  <c r="C16" i="56"/>
  <c r="C19" i="111" s="1"/>
  <c r="D66" i="141" s="1"/>
  <c r="E45" i="119"/>
  <c r="F45" i="119"/>
  <c r="G40" i="140"/>
  <c r="D39" i="120"/>
  <c r="D34" i="140" s="1"/>
  <c r="D41" i="120"/>
  <c r="D36" i="140" s="1"/>
  <c r="D43" i="120"/>
  <c r="D38" i="140" s="1"/>
  <c r="D37" i="120"/>
  <c r="G45" i="120"/>
  <c r="J39" i="96"/>
  <c r="C19" i="24" s="1"/>
  <c r="E19" i="24" s="1"/>
  <c r="C13" i="147"/>
  <c r="E13" i="147" s="1"/>
  <c r="E47" i="143"/>
  <c r="C47" i="143" s="1"/>
  <c r="C49" i="143" s="1"/>
  <c r="O19" i="56"/>
  <c r="F20" i="111"/>
  <c r="G21" i="108" s="1"/>
  <c r="G22" i="108" s="1"/>
  <c r="C14" i="107"/>
  <c r="N24" i="56"/>
  <c r="C16" i="107"/>
  <c r="G20" i="111"/>
  <c r="H21" i="108" s="1"/>
  <c r="H22" i="108" s="1"/>
  <c r="G67" i="141"/>
  <c r="I65" i="141"/>
  <c r="H24" i="56"/>
  <c r="C18" i="144"/>
  <c r="H19" i="111"/>
  <c r="I66" i="141" s="1"/>
  <c r="K24" i="56"/>
  <c r="J65" i="141"/>
  <c r="D65" i="141"/>
  <c r="L66" i="141"/>
  <c r="L67" i="141" s="1"/>
  <c r="C24" i="144"/>
  <c r="D45" i="119"/>
  <c r="F37" i="120"/>
  <c r="F32" i="140" s="1"/>
  <c r="F33" i="120"/>
  <c r="F28" i="140" s="1"/>
  <c r="F35" i="120"/>
  <c r="F30" i="140" s="1"/>
  <c r="F43" i="120"/>
  <c r="F38" i="140" s="1"/>
  <c r="F41" i="120"/>
  <c r="F36" i="140" s="1"/>
  <c r="F39" i="120"/>
  <c r="F34" i="140" s="1"/>
  <c r="C45" i="120"/>
  <c r="H37" i="120"/>
  <c r="H32" i="140" s="1"/>
  <c r="H39" i="120"/>
  <c r="H34" i="140" s="1"/>
  <c r="H33" i="120"/>
  <c r="H41" i="120"/>
  <c r="H36" i="140" s="1"/>
  <c r="H43" i="120"/>
  <c r="H38" i="140" s="1"/>
  <c r="E22" i="140"/>
  <c r="G45" i="119"/>
  <c r="H35" i="120"/>
  <c r="H30" i="140" s="1"/>
  <c r="E43" i="120"/>
  <c r="E33" i="120"/>
  <c r="E28" i="140" s="1"/>
  <c r="E37" i="120"/>
  <c r="E39" i="120"/>
  <c r="E35" i="120"/>
  <c r="E30" i="140" s="1"/>
  <c r="H10" i="140"/>
  <c r="H22" i="140" s="1"/>
  <c r="H45" i="119"/>
  <c r="C22" i="140"/>
  <c r="P20" i="108"/>
  <c r="E21" i="111"/>
  <c r="E25" i="56" s="1"/>
  <c r="E26" i="56" s="1"/>
  <c r="Q8" i="141"/>
  <c r="A9" i="141"/>
  <c r="A10" i="141" s="1"/>
  <c r="O67" i="141"/>
  <c r="F67" i="141"/>
  <c r="K67" i="141"/>
  <c r="I19" i="111"/>
  <c r="I24" i="56"/>
  <c r="C20" i="144"/>
  <c r="I21" i="108"/>
  <c r="I22" i="108" s="1"/>
  <c r="M66" i="141"/>
  <c r="M67" i="141" s="1"/>
  <c r="L25" i="111"/>
  <c r="L25" i="56"/>
  <c r="L26" i="56" s="1"/>
  <c r="N66" i="141"/>
  <c r="C33" i="143"/>
  <c r="O17" i="111"/>
  <c r="M21" i="111"/>
  <c r="K14" i="111"/>
  <c r="H39" i="96"/>
  <c r="C17" i="24" s="1"/>
  <c r="E17" i="24" s="1"/>
  <c r="O33" i="96"/>
  <c r="O39" i="96" s="1"/>
  <c r="D39" i="96"/>
  <c r="C13" i="24" s="1"/>
  <c r="E13" i="24" s="1"/>
  <c r="N14" i="111"/>
  <c r="I41" i="96"/>
  <c r="I10" i="111" s="1"/>
  <c r="I12" i="111" s="1"/>
  <c r="I13" i="111" s="1"/>
  <c r="I14" i="111" s="1"/>
  <c r="L14" i="111"/>
  <c r="E39" i="96"/>
  <c r="C14" i="24" s="1"/>
  <c r="E14" i="24" s="1"/>
  <c r="E41" i="96"/>
  <c r="E10" i="111" s="1"/>
  <c r="E12" i="111" s="1"/>
  <c r="H13" i="111"/>
  <c r="H14" i="111" s="1"/>
  <c r="C14" i="111"/>
  <c r="F13" i="111"/>
  <c r="F14" i="111" s="1"/>
  <c r="J13" i="111"/>
  <c r="J14" i="111" s="1"/>
  <c r="E26" i="51" l="1"/>
  <c r="J21" i="111"/>
  <c r="C14" i="47"/>
  <c r="C26" i="51"/>
  <c r="O43" i="97"/>
  <c r="I35" i="120"/>
  <c r="D21" i="22"/>
  <c r="E21" i="22"/>
  <c r="N21" i="111"/>
  <c r="N25" i="111" s="1"/>
  <c r="N27" i="111" s="1"/>
  <c r="N31" i="111" s="1"/>
  <c r="D21" i="111"/>
  <c r="D25" i="56" s="1"/>
  <c r="D26" i="56" s="1"/>
  <c r="E18" i="143"/>
  <c r="C24" i="143" s="1"/>
  <c r="E24" i="143" s="1"/>
  <c r="F40" i="140"/>
  <c r="I36" i="140"/>
  <c r="D22" i="114" s="1"/>
  <c r="I30" i="140"/>
  <c r="D16" i="114" s="1"/>
  <c r="C24" i="56"/>
  <c r="F21" i="111"/>
  <c r="F25" i="56" s="1"/>
  <c r="F26" i="56" s="1"/>
  <c r="C8" i="144"/>
  <c r="O20" i="111"/>
  <c r="P21" i="108" s="1"/>
  <c r="P22" i="108" s="1"/>
  <c r="K21" i="111"/>
  <c r="K25" i="111" s="1"/>
  <c r="K27" i="111" s="1"/>
  <c r="K31" i="111" s="1"/>
  <c r="D67" i="141"/>
  <c r="C21" i="111"/>
  <c r="C25" i="111" s="1"/>
  <c r="C27" i="111" s="1"/>
  <c r="D32" i="140"/>
  <c r="D40" i="140" s="1"/>
  <c r="D45" i="120"/>
  <c r="C15" i="147"/>
  <c r="C35" i="32" s="1"/>
  <c r="C17" i="22" s="1"/>
  <c r="E17" i="22" s="1"/>
  <c r="I67" i="141"/>
  <c r="D47" i="143"/>
  <c r="D49" i="143" s="1"/>
  <c r="E18" i="17" s="1"/>
  <c r="G24" i="56"/>
  <c r="C16" i="144"/>
  <c r="O16" i="56"/>
  <c r="C32" i="107"/>
  <c r="C34" i="107" s="1"/>
  <c r="H21" i="111"/>
  <c r="H25" i="111" s="1"/>
  <c r="H27" i="111" s="1"/>
  <c r="H31" i="111" s="1"/>
  <c r="E25" i="111"/>
  <c r="E45" i="120"/>
  <c r="E34" i="140"/>
  <c r="I34" i="140" s="1"/>
  <c r="D20" i="114" s="1"/>
  <c r="I39" i="120"/>
  <c r="E32" i="140"/>
  <c r="I37" i="120"/>
  <c r="H28" i="140"/>
  <c r="H40" i="140" s="1"/>
  <c r="H45" i="120"/>
  <c r="E38" i="140"/>
  <c r="I38" i="140" s="1"/>
  <c r="D24" i="114" s="1"/>
  <c r="I43" i="120"/>
  <c r="I41" i="120"/>
  <c r="F45" i="120"/>
  <c r="I33" i="120"/>
  <c r="O41" i="96"/>
  <c r="C26" i="143"/>
  <c r="E26" i="143" s="1"/>
  <c r="O19" i="111"/>
  <c r="Q9" i="141"/>
  <c r="J25" i="56"/>
  <c r="J26" i="56" s="1"/>
  <c r="J25" i="111"/>
  <c r="J27" i="111" s="1"/>
  <c r="J31" i="111" s="1"/>
  <c r="J66" i="141"/>
  <c r="J67" i="141" s="1"/>
  <c r="I21" i="111"/>
  <c r="H66" i="141"/>
  <c r="H67" i="141" s="1"/>
  <c r="G21" i="111"/>
  <c r="L27" i="111"/>
  <c r="L31" i="111" s="1"/>
  <c r="N67" i="141"/>
  <c r="C25" i="32"/>
  <c r="D18" i="17"/>
  <c r="C21" i="32"/>
  <c r="E33" i="143"/>
  <c r="D14" i="17"/>
  <c r="E14" i="17"/>
  <c r="D21" i="32"/>
  <c r="M25" i="56"/>
  <c r="M25" i="111"/>
  <c r="M27" i="111" s="1"/>
  <c r="M31" i="111" s="1"/>
  <c r="O10" i="111"/>
  <c r="C26" i="24"/>
  <c r="E26" i="24"/>
  <c r="C34" i="47" s="1"/>
  <c r="O12" i="111"/>
  <c r="E13" i="111"/>
  <c r="O13" i="111" s="1"/>
  <c r="R44" i="97" l="1"/>
  <c r="D25" i="111"/>
  <c r="D27" i="111" s="1"/>
  <c r="D31" i="111" s="1"/>
  <c r="N25" i="56"/>
  <c r="N26" i="56" s="1"/>
  <c r="O24" i="56"/>
  <c r="I28" i="140"/>
  <c r="D14" i="114" s="1"/>
  <c r="F25" i="111"/>
  <c r="F27" i="111" s="1"/>
  <c r="F31" i="111" s="1"/>
  <c r="C25" i="56"/>
  <c r="C26" i="56" s="1"/>
  <c r="K25" i="56"/>
  <c r="K26" i="56" s="1"/>
  <c r="O21" i="111"/>
  <c r="O25" i="111" s="1"/>
  <c r="C32" i="144"/>
  <c r="C34" i="144" s="1"/>
  <c r="C18" i="46" s="1"/>
  <c r="D12" i="17"/>
  <c r="F12" i="17" s="1"/>
  <c r="E15" i="147"/>
  <c r="E35" i="32"/>
  <c r="E49" i="143"/>
  <c r="D25" i="32"/>
  <c r="E25" i="32" s="1"/>
  <c r="C20" i="46"/>
  <c r="C20" i="47"/>
  <c r="H25" i="56"/>
  <c r="H26" i="56" s="1"/>
  <c r="C19" i="32"/>
  <c r="E19" i="32" s="1"/>
  <c r="I32" i="140"/>
  <c r="D18" i="114" s="1"/>
  <c r="E40" i="140"/>
  <c r="I45" i="120"/>
  <c r="F14" i="17"/>
  <c r="F18" i="17"/>
  <c r="P66" i="141"/>
  <c r="P67" i="141" s="1"/>
  <c r="I25" i="56"/>
  <c r="I26" i="56" s="1"/>
  <c r="I25" i="111"/>
  <c r="I27" i="111" s="1"/>
  <c r="I31" i="111" s="1"/>
  <c r="G25" i="56"/>
  <c r="G26" i="56" s="1"/>
  <c r="G25" i="111"/>
  <c r="G27" i="111" s="1"/>
  <c r="G31" i="111" s="1"/>
  <c r="E21" i="32"/>
  <c r="M26" i="56"/>
  <c r="R42" i="96"/>
  <c r="E14" i="111"/>
  <c r="C31" i="111"/>
  <c r="C32" i="111" s="1"/>
  <c r="C34" i="111" s="1"/>
  <c r="C38" i="111" s="1"/>
  <c r="D7" i="111" s="1"/>
  <c r="C18" i="47" l="1"/>
  <c r="C22" i="47" s="1"/>
  <c r="E37" i="143"/>
  <c r="D39" i="143" s="1"/>
  <c r="D23" i="32" s="1"/>
  <c r="D27" i="32" s="1"/>
  <c r="C22" i="46"/>
  <c r="D27" i="114"/>
  <c r="O25" i="56"/>
  <c r="O26" i="56" s="1"/>
  <c r="I40" i="140"/>
  <c r="A11" i="141"/>
  <c r="A12" i="141" s="1"/>
  <c r="Q10" i="141"/>
  <c r="E27" i="111"/>
  <c r="E31" i="111" s="1"/>
  <c r="O14" i="111"/>
  <c r="O27" i="111" s="1"/>
  <c r="D30" i="111"/>
  <c r="D32" i="111" s="1"/>
  <c r="D34" i="111" s="1"/>
  <c r="D38" i="111" s="1"/>
  <c r="E7" i="111" s="1"/>
  <c r="C39" i="143" l="1"/>
  <c r="C23" i="32" s="1"/>
  <c r="E23" i="32" s="1"/>
  <c r="E27" i="32" s="1"/>
  <c r="Q12" i="141"/>
  <c r="E16" i="17"/>
  <c r="E20" i="17" s="1"/>
  <c r="Q11" i="141"/>
  <c r="E30" i="111"/>
  <c r="E32" i="111" s="1"/>
  <c r="E34" i="111" s="1"/>
  <c r="D16" i="17" l="1"/>
  <c r="D20" i="17" s="1"/>
  <c r="E39" i="143"/>
  <c r="C27" i="32"/>
  <c r="E38" i="111"/>
  <c r="F7" i="111" s="1"/>
  <c r="F16" i="17" l="1"/>
  <c r="F20" i="17" s="1"/>
  <c r="E22" i="17" s="1"/>
  <c r="F30" i="111"/>
  <c r="F32" i="111" s="1"/>
  <c r="F34" i="111" s="1"/>
  <c r="F38" i="111" s="1"/>
  <c r="G7" i="111" s="1"/>
  <c r="D22" i="17" l="1"/>
  <c r="F22" i="17" s="1"/>
  <c r="G30" i="111"/>
  <c r="G32" i="111" s="1"/>
  <c r="G34" i="111" s="1"/>
  <c r="G38" i="111" s="1"/>
  <c r="H7" i="111" s="1"/>
  <c r="H30" i="111" l="1"/>
  <c r="H32" i="111" s="1"/>
  <c r="H34" i="111" s="1"/>
  <c r="H38" i="111" s="1"/>
  <c r="I7" i="111" s="1"/>
  <c r="I30" i="111" l="1"/>
  <c r="I32" i="111" s="1"/>
  <c r="I34" i="111" s="1"/>
  <c r="I38" i="111" s="1"/>
  <c r="J7" i="111" s="1"/>
  <c r="J30" i="111" l="1"/>
  <c r="J32" i="111" s="1"/>
  <c r="J34" i="111" s="1"/>
  <c r="J38" i="111" s="1"/>
  <c r="K7" i="111" s="1"/>
  <c r="K30" i="111" l="1"/>
  <c r="K32" i="111" s="1"/>
  <c r="K34" i="111" s="1"/>
  <c r="K38" i="111" s="1"/>
  <c r="L7" i="111" s="1"/>
  <c r="L30" i="111" l="1"/>
  <c r="L32" i="111" s="1"/>
  <c r="L34" i="111" s="1"/>
  <c r="L38" i="111" s="1"/>
  <c r="M7" i="111" s="1"/>
  <c r="M30" i="111" l="1"/>
  <c r="M32" i="111" s="1"/>
  <c r="M34" i="111" s="1"/>
  <c r="M38" i="111" s="1"/>
  <c r="N7" i="111" s="1"/>
  <c r="N30" i="111" l="1"/>
  <c r="N32" i="111" s="1"/>
  <c r="N34" i="111" s="1"/>
  <c r="O34" i="111" l="1"/>
  <c r="O38" i="111" s="1"/>
  <c r="C10" i="17" l="1"/>
  <c r="E24" i="17" s="1"/>
  <c r="D15" i="32" s="1"/>
  <c r="D29" i="32" s="1"/>
  <c r="D31" i="32" s="1"/>
  <c r="C10" i="47"/>
  <c r="C24" i="47" s="1"/>
  <c r="C10" i="46"/>
  <c r="C24" i="46" s="1"/>
  <c r="N38" i="111"/>
  <c r="C28" i="46" l="1"/>
  <c r="C28" i="47"/>
  <c r="C26" i="46"/>
  <c r="C26" i="47"/>
  <c r="D24" i="17"/>
  <c r="F24" i="17" s="1"/>
  <c r="D33" i="32"/>
  <c r="C15" i="32" l="1"/>
  <c r="E15" i="32" s="1"/>
  <c r="C32" i="47"/>
  <c r="C36" i="47" s="1"/>
  <c r="C28" i="116" s="1"/>
  <c r="C37" i="116" s="1"/>
  <c r="C30" i="46"/>
  <c r="C32" i="46" s="1"/>
  <c r="C30" i="47"/>
  <c r="E29" i="32"/>
  <c r="C29" i="32"/>
  <c r="C31" i="32" s="1"/>
  <c r="D15" i="22"/>
  <c r="D19" i="22" s="1"/>
  <c r="D23" i="22" s="1"/>
  <c r="D37" i="32"/>
  <c r="C28" i="117" l="1"/>
  <c r="H28" i="117" s="1"/>
  <c r="C43" i="116"/>
  <c r="C20" i="139" s="1"/>
  <c r="C39" i="116"/>
  <c r="C16" i="139" s="1"/>
  <c r="C35" i="116"/>
  <c r="C12" i="139" s="1"/>
  <c r="C33" i="116"/>
  <c r="C10" i="139" s="1"/>
  <c r="D28" i="116"/>
  <c r="D37" i="116" s="1"/>
  <c r="D14" i="139" s="1"/>
  <c r="C41" i="116"/>
  <c r="C18" i="139" s="1"/>
  <c r="G28" i="116"/>
  <c r="G37" i="116" s="1"/>
  <c r="G14" i="139" s="1"/>
  <c r="E28" i="116"/>
  <c r="E39" i="116" s="1"/>
  <c r="E16" i="139" s="1"/>
  <c r="F28" i="116"/>
  <c r="F43" i="116" s="1"/>
  <c r="F20" i="139" s="1"/>
  <c r="H28" i="116"/>
  <c r="H39" i="116" s="1"/>
  <c r="H16" i="139" s="1"/>
  <c r="C14" i="139"/>
  <c r="E31" i="32"/>
  <c r="E33" i="32" s="1"/>
  <c r="E37" i="32" s="1"/>
  <c r="F33" i="116" l="1"/>
  <c r="F10" i="139" s="1"/>
  <c r="F39" i="116"/>
  <c r="F16" i="139" s="1"/>
  <c r="F41" i="116"/>
  <c r="F18" i="139" s="1"/>
  <c r="F37" i="116"/>
  <c r="F14" i="139" s="1"/>
  <c r="H37" i="116"/>
  <c r="H14" i="139" s="1"/>
  <c r="F35" i="116"/>
  <c r="F12" i="139" s="1"/>
  <c r="H43" i="116"/>
  <c r="H20" i="139" s="1"/>
  <c r="H33" i="116"/>
  <c r="H10" i="139" s="1"/>
  <c r="H35" i="116"/>
  <c r="H12" i="139" s="1"/>
  <c r="H41" i="116"/>
  <c r="H18" i="139" s="1"/>
  <c r="F28" i="117"/>
  <c r="F39" i="117" s="1"/>
  <c r="F34" i="139" s="1"/>
  <c r="D28" i="117"/>
  <c r="D33" i="117" s="1"/>
  <c r="D35" i="116"/>
  <c r="D12" i="139" s="1"/>
  <c r="C45" i="116"/>
  <c r="E33" i="116"/>
  <c r="E10" i="139" s="1"/>
  <c r="E43" i="116"/>
  <c r="E20" i="139" s="1"/>
  <c r="G28" i="117"/>
  <c r="G33" i="117" s="1"/>
  <c r="C33" i="117"/>
  <c r="C28" i="139" s="1"/>
  <c r="D41" i="116"/>
  <c r="D18" i="139" s="1"/>
  <c r="E28" i="117"/>
  <c r="E41" i="117" s="1"/>
  <c r="E36" i="139" s="1"/>
  <c r="C39" i="117"/>
  <c r="C34" i="139" s="1"/>
  <c r="E37" i="116"/>
  <c r="E14" i="139" s="1"/>
  <c r="G35" i="116"/>
  <c r="G12" i="139" s="1"/>
  <c r="C35" i="117"/>
  <c r="C30" i="139" s="1"/>
  <c r="E41" i="116"/>
  <c r="E18" i="139" s="1"/>
  <c r="C43" i="117"/>
  <c r="C38" i="139" s="1"/>
  <c r="C41" i="117"/>
  <c r="C36" i="139" s="1"/>
  <c r="E35" i="116"/>
  <c r="E12" i="139" s="1"/>
  <c r="C37" i="117"/>
  <c r="C32" i="139" s="1"/>
  <c r="D33" i="116"/>
  <c r="G41" i="116"/>
  <c r="G18" i="139" s="1"/>
  <c r="G39" i="116"/>
  <c r="G16" i="139" s="1"/>
  <c r="D39" i="116"/>
  <c r="D16" i="139" s="1"/>
  <c r="G43" i="116"/>
  <c r="G20" i="139" s="1"/>
  <c r="D43" i="116"/>
  <c r="D20" i="139" s="1"/>
  <c r="G33" i="116"/>
  <c r="G10" i="139" s="1"/>
  <c r="C33" i="32"/>
  <c r="C37" i="32" s="1"/>
  <c r="H41" i="117"/>
  <c r="H36" i="139" s="1"/>
  <c r="H35" i="117"/>
  <c r="H30" i="139" s="1"/>
  <c r="H33" i="117"/>
  <c r="H39" i="117"/>
  <c r="H34" i="139" s="1"/>
  <c r="H43" i="117"/>
  <c r="H38" i="139" s="1"/>
  <c r="H37" i="117"/>
  <c r="H32" i="139" s="1"/>
  <c r="C22" i="139"/>
  <c r="F33" i="117" l="1"/>
  <c r="F28" i="139" s="1"/>
  <c r="F43" i="117"/>
  <c r="F38" i="139" s="1"/>
  <c r="G39" i="117"/>
  <c r="G34" i="139" s="1"/>
  <c r="G35" i="117"/>
  <c r="G30" i="139" s="1"/>
  <c r="G43" i="117"/>
  <c r="G38" i="139" s="1"/>
  <c r="G37" i="117"/>
  <c r="G32" i="139" s="1"/>
  <c r="F41" i="117"/>
  <c r="F36" i="139" s="1"/>
  <c r="D37" i="117"/>
  <c r="D32" i="139" s="1"/>
  <c r="D41" i="117"/>
  <c r="D36" i="139" s="1"/>
  <c r="G41" i="117"/>
  <c r="G36" i="139" s="1"/>
  <c r="D43" i="117"/>
  <c r="D38" i="139" s="1"/>
  <c r="F35" i="117"/>
  <c r="F30" i="139" s="1"/>
  <c r="D39" i="117"/>
  <c r="D34" i="139" s="1"/>
  <c r="H45" i="116"/>
  <c r="D35" i="117"/>
  <c r="D30" i="139" s="1"/>
  <c r="F45" i="116"/>
  <c r="F22" i="139"/>
  <c r="H22" i="139"/>
  <c r="F37" i="117"/>
  <c r="F32" i="139" s="1"/>
  <c r="D45" i="116"/>
  <c r="E33" i="117"/>
  <c r="C45" i="117"/>
  <c r="E45" i="116"/>
  <c r="C40" i="139"/>
  <c r="E22" i="139"/>
  <c r="E43" i="117"/>
  <c r="E38" i="139" s="1"/>
  <c r="D10" i="139"/>
  <c r="D22" i="139" s="1"/>
  <c r="E37" i="117"/>
  <c r="E32" i="139" s="1"/>
  <c r="E35" i="117"/>
  <c r="E30" i="139" s="1"/>
  <c r="E39" i="117"/>
  <c r="E34" i="139" s="1"/>
  <c r="G22" i="139"/>
  <c r="G45" i="116"/>
  <c r="C15" i="22"/>
  <c r="E15" i="22" s="1"/>
  <c r="E19" i="22" s="1"/>
  <c r="E23" i="22" s="1"/>
  <c r="H45" i="117"/>
  <c r="H28" i="139"/>
  <c r="H40" i="139" s="1"/>
  <c r="D28" i="139"/>
  <c r="G28" i="139"/>
  <c r="I33" i="117" l="1"/>
  <c r="E28" i="139"/>
  <c r="I28" i="139" s="1"/>
  <c r="I41" i="117"/>
  <c r="I38" i="139"/>
  <c r="C24" i="114" s="1"/>
  <c r="E24" i="114" s="1"/>
  <c r="I34" i="139"/>
  <c r="C20" i="114" s="1"/>
  <c r="E20" i="114" s="1"/>
  <c r="I36" i="139"/>
  <c r="C22" i="114" s="1"/>
  <c r="F22" i="114" s="1"/>
  <c r="G40" i="139"/>
  <c r="F40" i="139"/>
  <c r="F45" i="117"/>
  <c r="G45" i="117"/>
  <c r="I39" i="117"/>
  <c r="D45" i="117"/>
  <c r="D40" i="139"/>
  <c r="I30" i="139"/>
  <c r="C16" i="114" s="1"/>
  <c r="E16" i="114" s="1"/>
  <c r="I32" i="139"/>
  <c r="C18" i="114" s="1"/>
  <c r="E18" i="114" s="1"/>
  <c r="I43" i="117"/>
  <c r="I37" i="117"/>
  <c r="I35" i="117"/>
  <c r="E45" i="117"/>
  <c r="C19" i="22"/>
  <c r="C23" i="22" s="1"/>
  <c r="E40" i="139" l="1"/>
  <c r="E22" i="114"/>
  <c r="F24" i="114"/>
  <c r="F20" i="114"/>
  <c r="F16" i="114"/>
  <c r="I45" i="117"/>
  <c r="F18" i="114"/>
  <c r="I40" i="139"/>
  <c r="C14" i="114"/>
  <c r="C27" i="114" l="1"/>
  <c r="F27" i="114" s="1"/>
  <c r="E14" i="114"/>
  <c r="E27" i="114" s="1"/>
  <c r="F14" i="114"/>
</calcChain>
</file>

<file path=xl/sharedStrings.xml><?xml version="1.0" encoding="utf-8"?>
<sst xmlns="http://schemas.openxmlformats.org/spreadsheetml/2006/main" count="1191" uniqueCount="551">
  <si>
    <t>Statement BD</t>
  </si>
  <si>
    <t>San Diego Gas &amp; Electric Company</t>
  </si>
  <si>
    <t>Allocation Energy and Supporting Data</t>
  </si>
  <si>
    <t>(A)</t>
  </si>
  <si>
    <t>(B)</t>
  </si>
  <si>
    <t>(C) = (A) - (B)</t>
  </si>
  <si>
    <t>Sale for Resale</t>
  </si>
  <si>
    <t>Line</t>
  </si>
  <si>
    <t>@ Meter Level</t>
  </si>
  <si>
    <t xml:space="preserve">(City of </t>
  </si>
  <si>
    <t>No.</t>
  </si>
  <si>
    <t>Date</t>
  </si>
  <si>
    <t>Plus Sale for Resale</t>
  </si>
  <si>
    <r>
      <t xml:space="preserve">Escondido)  </t>
    </r>
    <r>
      <rPr>
        <b/>
        <vertAlign val="superscript"/>
        <sz val="12"/>
        <rFont val="Times New Roman"/>
        <family val="1"/>
      </rPr>
      <t>1</t>
    </r>
  </si>
  <si>
    <t>Net of Sale for Resale</t>
  </si>
  <si>
    <t>Reference</t>
  </si>
  <si>
    <t>Workpaper No. 1; Page 1.1; Lines 30; 29</t>
  </si>
  <si>
    <t>Total</t>
  </si>
  <si>
    <t>Sum Lines 1 thru 12</t>
  </si>
  <si>
    <t xml:space="preserve">(B) </t>
  </si>
  <si>
    <t>Workpaper No. 1; Page 1.2; Lines 30; 29</t>
  </si>
  <si>
    <t>Forecast sales are used to develop Statements BG and BH, Revenues at Proposed Rates and Revenues at Present Rates.</t>
  </si>
  <si>
    <t>SAN DIEGO GAS &amp; ELECTRIC COMPANY</t>
  </si>
  <si>
    <t>MWH SALES FORECAST @ Transmission Level</t>
  </si>
  <si>
    <t>(D) = (C) x  Line 19, Col. C</t>
  </si>
  <si>
    <t>Energy Sales</t>
  </si>
  <si>
    <t>Sales</t>
  </si>
  <si>
    <t>@ Transmission</t>
  </si>
  <si>
    <t>Months</t>
  </si>
  <si>
    <t>MWh Sales</t>
  </si>
  <si>
    <t>(City of Escondido)</t>
  </si>
  <si>
    <t>Level</t>
  </si>
  <si>
    <t>Cols. A to C, WP No. 1; Page 1.2; Lines 10, 9 &amp; 12</t>
  </si>
  <si>
    <t>Col. C; Line 14</t>
  </si>
  <si>
    <r>
      <t xml:space="preserve">Transmission Loss Factor  </t>
    </r>
    <r>
      <rPr>
        <b/>
        <vertAlign val="superscript"/>
        <sz val="12"/>
        <rFont val="Times New Roman"/>
        <family val="1"/>
      </rPr>
      <t>2</t>
    </r>
  </si>
  <si>
    <t>Column B / Column A</t>
  </si>
  <si>
    <t>Col. D; Line 14</t>
  </si>
  <si>
    <r>
      <t xml:space="preserve">Lake Hodges Pumped Storage Facilities </t>
    </r>
    <r>
      <rPr>
        <b/>
        <vertAlign val="superscript"/>
        <sz val="12"/>
        <rFont val="Times New Roman"/>
        <family val="1"/>
      </rPr>
      <t xml:space="preserve"> 3</t>
    </r>
  </si>
  <si>
    <t>Statement BD WP; Page 4 of 5</t>
  </si>
  <si>
    <r>
      <t xml:space="preserve">Pumped Storage True Up Adjustment </t>
    </r>
    <r>
      <rPr>
        <b/>
        <vertAlign val="superscript"/>
        <sz val="12"/>
        <rFont val="Times New Roman"/>
        <family val="1"/>
      </rPr>
      <t>4</t>
    </r>
  </si>
  <si>
    <t>Statement BD WP; Page 5 of 5</t>
  </si>
  <si>
    <t>Total Gross Load Forecast</t>
  </si>
  <si>
    <t>Sum Lines 22 thru 26</t>
  </si>
  <si>
    <t>This information is used for CAISO TAC purposes as shown in Statement BL -Wholesale. The sales forecast excludes Sale for Resale.</t>
  </si>
  <si>
    <t>Energy used for pumping at the Lake Hodges Pumped Storage Facilities is measured at 69kV and gets adjusted by a distribution loss factor to derive the Gross Load forecast.</t>
  </si>
  <si>
    <t>Represents the difference between actual and forecast load associated with the Lake Hodges Pumped Storage Facility for the base year.</t>
  </si>
  <si>
    <t>SAN DIEGO GAS AND ELECTRIC COMPANY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</si>
  <si>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</si>
  <si>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</si>
  <si>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</si>
  <si>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</si>
  <si>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</si>
  <si>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</si>
  <si>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</si>
  <si>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</si>
  <si>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</si>
  <si>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</si>
  <si>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</si>
  <si>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</si>
  <si>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Olivenhain-Lake Hodges Pumping Load</t>
  </si>
  <si>
    <t>Primary Level Distribution Loss Factor</t>
  </si>
  <si>
    <t>Total Lake Hodges Pumping Load</t>
  </si>
  <si>
    <t>Lake Hodges Pumping Load Adjustment Mechanism</t>
  </si>
  <si>
    <t>Line No.</t>
  </si>
  <si>
    <t>Description</t>
  </si>
  <si>
    <t>Amount</t>
  </si>
  <si>
    <t xml:space="preserve">Pumped Storage Facility - Actual Load </t>
  </si>
  <si>
    <t>SDG&amp;E Records</t>
  </si>
  <si>
    <t xml:space="preserve">Pumped Storage Facility - Forecast Load </t>
  </si>
  <si>
    <t>Difference</t>
  </si>
  <si>
    <t>Line 1 Minus Line 2</t>
  </si>
  <si>
    <r>
      <t xml:space="preserve">Pumped Storage - True Up Adjustment  </t>
    </r>
    <r>
      <rPr>
        <b/>
        <vertAlign val="superscript"/>
        <sz val="12"/>
        <rFont val="Times New Roman"/>
        <family val="1"/>
      </rPr>
      <t>1</t>
    </r>
  </si>
  <si>
    <t>Line 3 x Line 4</t>
  </si>
  <si>
    <t>The pumped storage True-Up Adjustment reconciles the difference between the prior year's forecast and actual load data.</t>
  </si>
  <si>
    <t>Statement BG</t>
  </si>
  <si>
    <t>Transmission Revenue Balancing Account Adjustment (TRBAA) Revenues Data to Reflect Changed Rates</t>
  </si>
  <si>
    <t>Comparison of Revenues</t>
  </si>
  <si>
    <t>(D) = (C) / (B)</t>
  </si>
  <si>
    <t>(Statement BG)</t>
  </si>
  <si>
    <t>(Statement BH)</t>
  </si>
  <si>
    <t>TRBAA Revenues</t>
  </si>
  <si>
    <t>(%)</t>
  </si>
  <si>
    <t>Customer Classes</t>
  </si>
  <si>
    <t>@ Changed Rates</t>
  </si>
  <si>
    <r>
      <t xml:space="preserve">@ Present Rates </t>
    </r>
    <r>
      <rPr>
        <b/>
        <vertAlign val="superscript"/>
        <sz val="12"/>
        <rFont val="Times New Roman"/>
        <family val="1"/>
      </rPr>
      <t>1</t>
    </r>
  </si>
  <si>
    <t>($) Change</t>
  </si>
  <si>
    <t>Change</t>
  </si>
  <si>
    <t>Residential Customers</t>
  </si>
  <si>
    <t>Statement BG; Page 2 of 4; Line 14</t>
  </si>
  <si>
    <t>Statement BH; Page 1 of 3; Line 14</t>
  </si>
  <si>
    <t>Small Commercial Customers</t>
  </si>
  <si>
    <t>Statement BG; Page 2 of 4; Line 16</t>
  </si>
  <si>
    <t>Statement BH; Page 1 of 3; Line 16</t>
  </si>
  <si>
    <t xml:space="preserve">Medium and Large Commercial/Industrial  </t>
  </si>
  <si>
    <t>Statement BG; Page 2 of 4; Line 18</t>
  </si>
  <si>
    <t>Statement BH; Page 1 of 3; Line 18</t>
  </si>
  <si>
    <t>Agriculture (PA and TOU-PA)</t>
  </si>
  <si>
    <t>Statement BG; Page 2 of 4; Line 20</t>
  </si>
  <si>
    <t>Statement BH; Page 1 of 3; Line 20</t>
  </si>
  <si>
    <t>Agriculture (PA-T-1)</t>
  </si>
  <si>
    <t>Statement BG; Page 2 of 4; Line 22</t>
  </si>
  <si>
    <t>Statement BH; Page 1 of 3; Line 22</t>
  </si>
  <si>
    <t>Street Lighting Customers</t>
  </si>
  <si>
    <t>Statement BG; Page 2 of 4; Line 24</t>
  </si>
  <si>
    <t>Statement BH; Page 1 of 3; Line 24</t>
  </si>
  <si>
    <t xml:space="preserve">     Grand Total</t>
  </si>
  <si>
    <t>Sum Lines 1 through 11</t>
  </si>
  <si>
    <t>(C)</t>
  </si>
  <si>
    <t>(D)</t>
  </si>
  <si>
    <t>(E)</t>
  </si>
  <si>
    <t>(F)</t>
  </si>
  <si>
    <t>(G)</t>
  </si>
  <si>
    <r>
      <t xml:space="preserve">Residential  </t>
    </r>
    <r>
      <rPr>
        <b/>
        <vertAlign val="superscript"/>
        <sz val="12"/>
        <rFont val="Times New Roman"/>
        <family val="1"/>
      </rPr>
      <t>1</t>
    </r>
  </si>
  <si>
    <r>
      <t xml:space="preserve">Small Commercial  </t>
    </r>
    <r>
      <rPr>
        <b/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</t>
    </r>
  </si>
  <si>
    <r>
      <t xml:space="preserve">Medium and Large Commercial/Industrial  </t>
    </r>
    <r>
      <rPr>
        <b/>
        <vertAlign val="superscript"/>
        <sz val="12"/>
        <rFont val="Times New Roman"/>
        <family val="1"/>
      </rPr>
      <t>3</t>
    </r>
  </si>
  <si>
    <r>
      <t xml:space="preserve">Agriculture (PA and TOU-PA)  </t>
    </r>
    <r>
      <rPr>
        <b/>
        <vertAlign val="superscript"/>
        <sz val="12"/>
        <rFont val="Times New Roman"/>
        <family val="1"/>
      </rPr>
      <t>4</t>
    </r>
  </si>
  <si>
    <r>
      <t xml:space="preserve">Agriculture (PA-T-1)  </t>
    </r>
    <r>
      <rPr>
        <b/>
        <vertAlign val="superscript"/>
        <sz val="12"/>
        <rFont val="Times New Roman"/>
        <family val="1"/>
      </rPr>
      <t>5</t>
    </r>
  </si>
  <si>
    <r>
      <t xml:space="preserve">Street Lighting  </t>
    </r>
    <r>
      <rPr>
        <b/>
        <vertAlign val="superscript"/>
        <sz val="12"/>
        <rFont val="Times New Roman"/>
        <family val="1"/>
      </rPr>
      <t>6</t>
    </r>
  </si>
  <si>
    <t>TOTAL</t>
  </si>
  <si>
    <t>1</t>
  </si>
  <si>
    <t>See Stmt BG pages 3 of 4 and 4 of 4, Line 23.</t>
  </si>
  <si>
    <t>See Stmt BG pages 3 of 4 and 4 of 4, Line 29.</t>
  </si>
  <si>
    <t>See Stmt BG pages 3 of 4 and 4 of 4, Line 25.</t>
  </si>
  <si>
    <t>See Stmt BG pages 3 of 4 and 4 of 4, Line 31.</t>
  </si>
  <si>
    <t>See Stmt BG pages 3 of 4 and 4 of 4, Line 27.</t>
  </si>
  <si>
    <t>See Stmt BG pages 3 of 4 and 4 of 4, Line 33.</t>
  </si>
  <si>
    <t>Energy (kWh)</t>
  </si>
  <si>
    <t>Workpaper No. 1; Page 1.2; Line 23</t>
  </si>
  <si>
    <t xml:space="preserve">Small Commercial </t>
  </si>
  <si>
    <t>Workpaper No. 1; Page 1.2; Line 24</t>
  </si>
  <si>
    <t>Workpaper No. 1; Page 1.2; Line 25</t>
  </si>
  <si>
    <t>Workpaper No. 1; Page 1.2; Line 26</t>
  </si>
  <si>
    <t>Workpaper No. 1; Page 1.2; Line 27</t>
  </si>
  <si>
    <t>Street Lighting</t>
  </si>
  <si>
    <t>Workpaper No. 1; Page 1.2; Line 28</t>
  </si>
  <si>
    <t>Sum Lines 1 thru 11</t>
  </si>
  <si>
    <t>$/(kWh)</t>
  </si>
  <si>
    <t>Revenues @ Changed Rates</t>
  </si>
  <si>
    <t>Line 1 x Line 18</t>
  </si>
  <si>
    <t>Line 3 x Line 18</t>
  </si>
  <si>
    <t>Line 5 x Line 18</t>
  </si>
  <si>
    <t>Line 7 x Line 18</t>
  </si>
  <si>
    <t>Line 9 x Line 18</t>
  </si>
  <si>
    <t>Line 11 x Line 18</t>
  </si>
  <si>
    <t>Sum Lines 23 through 33</t>
  </si>
  <si>
    <t>(H)</t>
  </si>
  <si>
    <t>(I)</t>
  </si>
  <si>
    <t>(J)</t>
  </si>
  <si>
    <t>(K)</t>
  </si>
  <si>
    <t>(L)</t>
  </si>
  <si>
    <t>(M)</t>
  </si>
  <si>
    <t>(N)</t>
  </si>
  <si>
    <t>(O)</t>
  </si>
  <si>
    <t xml:space="preserve">   TOTAL</t>
  </si>
  <si>
    <t>Statement BH</t>
  </si>
  <si>
    <t>See Stmt BH pages 2 of 3 and 3 of 3, Line 23.</t>
  </si>
  <si>
    <t>See Stmt BH pages 2 of 3 and 3 of 3, Line 29.</t>
  </si>
  <si>
    <t>See Stmt BH pages 2 of 3 and 3 of 3, Line 25.</t>
  </si>
  <si>
    <t>See Stmt BH pages 2 of 3 and 3 of 3, Line 31.</t>
  </si>
  <si>
    <t>See Stmt BH pages 2 of 3 and 3 of 3, Line 27.</t>
  </si>
  <si>
    <t>See Stmt BH pages 2 of 3 and 3 of 3, Line 33.</t>
  </si>
  <si>
    <t>TRBAA @ Present Rates</t>
  </si>
  <si>
    <t>Statement BK-1</t>
  </si>
  <si>
    <t>Components</t>
  </si>
  <si>
    <t xml:space="preserve">Retail - TRBAA </t>
  </si>
  <si>
    <t>Work paper No. 4; Page 4.4; Line 32</t>
  </si>
  <si>
    <t>Transmission Revenue Credits Forecast:</t>
  </si>
  <si>
    <t xml:space="preserve">   Wheeling Revenues </t>
  </si>
  <si>
    <t>Work paper No. 7; Page 7.1; Line 27</t>
  </si>
  <si>
    <t xml:space="preserve">   Settlements, Metering and Client Relations </t>
  </si>
  <si>
    <t>Work paper No. 8; Page 8.1; Line 27</t>
  </si>
  <si>
    <t xml:space="preserve">   Existing Transmission Contract (ETC) Cost Differentials</t>
  </si>
  <si>
    <t>Work paper No. 9; Page 9.1; Line 27</t>
  </si>
  <si>
    <t xml:space="preserve">   Other PTO Related Revenue (Credits)/Charges</t>
  </si>
  <si>
    <t>Work paper No. 11; Page 11.1; Line 27</t>
  </si>
  <si>
    <t>Total Transmission Revenue Credits Forecast</t>
  </si>
  <si>
    <t>Sum {Line 5 thru Line 11}</t>
  </si>
  <si>
    <t>Total TRBAA Before Franchise Fees and Uncollectibles</t>
  </si>
  <si>
    <t>Line 1 + Line 13</t>
  </si>
  <si>
    <t>Total Franchise Fees and Uncollectible</t>
  </si>
  <si>
    <t>Line 17 + Line 19</t>
  </si>
  <si>
    <t>Line 15 + Line 21</t>
  </si>
  <si>
    <t>Statement BK-2</t>
  </si>
  <si>
    <t>(C) = (A) + (B)</t>
  </si>
  <si>
    <t>HIGH VOLTAGE</t>
  </si>
  <si>
    <t>LOW VOLTAGE</t>
  </si>
  <si>
    <t>Transmission</t>
  </si>
  <si>
    <t>Transmission Revenue</t>
  </si>
  <si>
    <t xml:space="preserve">Revenue </t>
  </si>
  <si>
    <t>Requirements</t>
  </si>
  <si>
    <t>See Note 1</t>
  </si>
  <si>
    <t>Work paper No. 2 Page 2.1; Line 15</t>
  </si>
  <si>
    <t xml:space="preserve">   Wheeling Revenues</t>
  </si>
  <si>
    <t>Work paper No. 6; Page 6.1; Line 19</t>
  </si>
  <si>
    <t xml:space="preserve">   Settlements, Metering and Client Relations</t>
  </si>
  <si>
    <t>Work paper No. 6; Page 6.1; Line 26</t>
  </si>
  <si>
    <t xml:space="preserve">   ETC Cost Differentials</t>
  </si>
  <si>
    <t>Work paper No. 6; Page 6.1; Line 32</t>
  </si>
  <si>
    <t>Work paper No. 6; Page 6.1; Line 42</t>
  </si>
  <si>
    <t>Sum {Line 7 through Line 13}</t>
  </si>
  <si>
    <t xml:space="preserve">Line 3 + Line 15 </t>
  </si>
  <si>
    <r>
      <t>Transmission Standby Revenues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 xml:space="preserve"> 2</t>
    </r>
  </si>
  <si>
    <t>Work paper No. 3; Page 3.1; Line 7</t>
  </si>
  <si>
    <t>Line 1 + Line 21 + Line 23</t>
  </si>
  <si>
    <t>Statement BL</t>
  </si>
  <si>
    <t>Sum {Line 5 through Line 11}</t>
  </si>
  <si>
    <t>Statement BD; Pg. 1 of 5; Col. C; Ln. 15</t>
  </si>
  <si>
    <t>Line 23 / Line 25</t>
  </si>
  <si>
    <t>High Voltage &amp; Low Voltage Component</t>
  </si>
  <si>
    <t>Combined</t>
  </si>
  <si>
    <t>High Voltage</t>
  </si>
  <si>
    <t>Low Voltage</t>
  </si>
  <si>
    <t>TRR</t>
  </si>
  <si>
    <t>Notes &amp; Reference</t>
  </si>
  <si>
    <t>Statement BK-2; Page 1; Line 21</t>
  </si>
  <si>
    <r>
      <t xml:space="preserve">Transmission Standby Revenue 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3</t>
    </r>
  </si>
  <si>
    <t>See Note 3</t>
  </si>
  <si>
    <t>Sum ( Lines 1, 3, &amp; 5 )</t>
  </si>
  <si>
    <t>Gross Load - MWh</t>
  </si>
  <si>
    <t>Utility Specific Access Charges ($/MWh)</t>
  </si>
  <si>
    <t>Line 7 / Line 9</t>
  </si>
  <si>
    <t>NOTES:</t>
  </si>
  <si>
    <t>San Diego Gas &amp; Electric Co.</t>
  </si>
  <si>
    <t>System Delivery Determinants</t>
  </si>
  <si>
    <t>Customer Class Deliveries (MWh)</t>
  </si>
  <si>
    <t>Residential</t>
  </si>
  <si>
    <t>Small Commercial</t>
  </si>
  <si>
    <t>Med. &amp; Large Comm./Ind.</t>
  </si>
  <si>
    <t>Agriculture (PA)</t>
  </si>
  <si>
    <t>Lighting</t>
  </si>
  <si>
    <t>Total System</t>
  </si>
  <si>
    <t>Total System - EXCLUDING Sale for Resale</t>
  </si>
  <si>
    <t>INPUT FROM RECORDED SALES FILE:</t>
  </si>
  <si>
    <t>Medium &amp; Large Details - Deliveries in MWH:</t>
  </si>
  <si>
    <t>Med &amp; Large C/I (AD)</t>
  </si>
  <si>
    <t>Med &amp; Large C/I (AL+AY+DGR)</t>
  </si>
  <si>
    <t>Med &amp; Large C/I (A6)</t>
  </si>
  <si>
    <t>San Diego Gas &amp; Electric</t>
  </si>
  <si>
    <t>Customer Class Deliveries (kWh)</t>
  </si>
  <si>
    <t>Medium &amp; Large Details - Deliveries in kWh:</t>
  </si>
  <si>
    <t xml:space="preserve">Med. &amp; Large Comm./Ind. </t>
  </si>
  <si>
    <t>INPUT FROM FORECAST INFORMATION:</t>
  </si>
  <si>
    <t>Allocation Of Beginning TRBAA Balance Based on Forecast Balances</t>
  </si>
  <si>
    <t>Beginning</t>
  </si>
  <si>
    <t>TRBAA Balance</t>
  </si>
  <si>
    <t>TRBAA</t>
  </si>
  <si>
    <t>Forecast - Wheeling Revenues</t>
  </si>
  <si>
    <t>Forecast - Settlements, Metering and Client Relations</t>
  </si>
  <si>
    <t>Forecast - ETC Cost Differentials</t>
  </si>
  <si>
    <t>Forecast - Other PTO Related Revenue (Credits)/Charges</t>
  </si>
  <si>
    <t>Sum Lines 3 through 9</t>
  </si>
  <si>
    <t>Allocation Factors Based on Revenue Credit Forecast</t>
  </si>
  <si>
    <t>Ratios Per Line 11</t>
  </si>
  <si>
    <r>
      <t xml:space="preserve">Allocation of Beginning TRBAA Balance  </t>
    </r>
    <r>
      <rPr>
        <b/>
        <vertAlign val="superscript"/>
        <sz val="12"/>
        <rFont val="Times New Roman"/>
        <family val="1"/>
      </rPr>
      <t>1</t>
    </r>
  </si>
  <si>
    <t>Column (A) Line 1 x Line 13</t>
  </si>
  <si>
    <t>The beginning TRBAA balance on line 1, Column (A), is allocated between High Voltage and Low Voltage, using the ratios that were developed on line 13.</t>
  </si>
  <si>
    <t>Standby Revenues</t>
  </si>
  <si>
    <t>(1)</t>
  </si>
  <si>
    <t>(2)</t>
  </si>
  <si>
    <t>(3) = (1) + (2)</t>
  </si>
  <si>
    <t>Combined TRR</t>
  </si>
  <si>
    <t xml:space="preserve">Total Standby Revenues  </t>
  </si>
  <si>
    <t>See Note 2</t>
  </si>
  <si>
    <t>HV-LV Allocation Factors</t>
  </si>
  <si>
    <t>Ratios Based on Line 2</t>
  </si>
  <si>
    <t>Total HV-LV Standby Revenue Credits</t>
  </si>
  <si>
    <t xml:space="preserve">Col. 3; Line 1 x Line 5 Ratios </t>
  </si>
  <si>
    <t>October</t>
  </si>
  <si>
    <t>November</t>
  </si>
  <si>
    <t>December</t>
  </si>
  <si>
    <t>January</t>
  </si>
  <si>
    <t>February</t>
  </si>
  <si>
    <t>March</t>
  </si>
  <si>
    <t>April</t>
  </si>
  <si>
    <t>August</t>
  </si>
  <si>
    <t>September</t>
  </si>
  <si>
    <t>Beginning Balance (Overcollection)/Undercollection</t>
  </si>
  <si>
    <t>Previous Month's Balance</t>
  </si>
  <si>
    <t>TRBAA Refund</t>
  </si>
  <si>
    <t xml:space="preserve">   Kwh (Excluding Sales for Resale).</t>
  </si>
  <si>
    <t>Work Paper No. 1; Page 1.1; Line 32</t>
  </si>
  <si>
    <t xml:space="preserve">   TRBAA Rate</t>
  </si>
  <si>
    <t xml:space="preserve">        Total TRBAA Refund Including Franchise Fees &amp; Uncollectibles</t>
  </si>
  <si>
    <t>Line 4 x Line 5</t>
  </si>
  <si>
    <t xml:space="preserve">   Franchise Fees &amp; Uncollectible Expense Adjustment</t>
  </si>
  <si>
    <t>(Line 6 / (1+ Line 38)) * Line 38</t>
  </si>
  <si>
    <t xml:space="preserve">   TRBAA Refunds/Collections Excluding Uncollectibles</t>
  </si>
  <si>
    <t>Line 6 - Line 7</t>
  </si>
  <si>
    <t>PTO Related - ISO Charge Types:</t>
  </si>
  <si>
    <t xml:space="preserve">    CT 384/ CT 382 - HV Wheeling Revenues Due TO/Due ISO (Net)</t>
  </si>
  <si>
    <t>Work Paper No. 5; Page 5.1-5.2; Line 4</t>
  </si>
  <si>
    <t xml:space="preserve">    CT 4575 - Settlements, Metering, Client Relations </t>
  </si>
  <si>
    <t>Work Paper No. 5; Page 5.1-5.2; Line 7</t>
  </si>
  <si>
    <t xml:space="preserve">    ETC Cost Differentials</t>
  </si>
  <si>
    <t>Work Paper No. 5; Page 5.1-5.2; Line 10</t>
  </si>
  <si>
    <t xml:space="preserve">    Other PTO Related Revenue (Credits)/Charges</t>
  </si>
  <si>
    <t>Work Paper No. 5; Page 5.1-5.2; Line 13</t>
  </si>
  <si>
    <t xml:space="preserve">          Sub-Total Monthly PTO Related Activity</t>
  </si>
  <si>
    <t>Sum Lines 11 thru 14</t>
  </si>
  <si>
    <t>Other CAISO Adjustment</t>
  </si>
  <si>
    <t xml:space="preserve">          Sub-Total Adjustment</t>
  </si>
  <si>
    <t>Sum Line 17</t>
  </si>
  <si>
    <t xml:space="preserve">               Total </t>
  </si>
  <si>
    <t>Sum Lines 15; 18</t>
  </si>
  <si>
    <t>Net Monthly Activity (Net Refunds, Revenues, Expenses, &amp; Adjustments)</t>
  </si>
  <si>
    <t>Interest Expense Calculations:</t>
  </si>
  <si>
    <t xml:space="preserve">      Beginning Balance for Interest Calculation</t>
  </si>
  <si>
    <t xml:space="preserve">      Monthly Activity Included in Interest Calculation Basis</t>
  </si>
  <si>
    <t>Interest Calculation Basis</t>
  </si>
  <si>
    <t xml:space="preserve">      Basis for Interest Expense Calculation</t>
  </si>
  <si>
    <t>Line 24 + Line 25</t>
  </si>
  <si>
    <t xml:space="preserve">      Monthly Interest Rate</t>
  </si>
  <si>
    <t>FERC Monthly Rates</t>
  </si>
  <si>
    <t xml:space="preserve">         Interest Expense</t>
  </si>
  <si>
    <t>Line 26 x Line 27</t>
  </si>
  <si>
    <t>Other Adjustment (rounding)</t>
  </si>
  <si>
    <t>Ending Balance (Overcollection)/Undercollection</t>
  </si>
  <si>
    <t>Line 1 + Line 21 + Line 28 + Line 30</t>
  </si>
  <si>
    <t>Franchise Fees &amp; Uncollectible Adjustment:</t>
  </si>
  <si>
    <t>Franchise Fees Expense Rate</t>
  </si>
  <si>
    <t>Uncollectible Expense Adjustment Rate</t>
  </si>
  <si>
    <t xml:space="preserve">     Combined FF&amp;U Adjustment Rate</t>
  </si>
  <si>
    <t>Line 36 + Line 37</t>
  </si>
  <si>
    <t>Franchise Fee Rate</t>
  </si>
  <si>
    <t>Uncollectible Rate</t>
  </si>
  <si>
    <t xml:space="preserve">      Total</t>
  </si>
  <si>
    <t>Total Rate</t>
  </si>
  <si>
    <t>Verification of Interest Rates</t>
  </si>
  <si>
    <t>FERC INTEREST RATE</t>
  </si>
  <si>
    <t>Days in Year</t>
  </si>
  <si>
    <t>Days in Month</t>
  </si>
  <si>
    <t>Monthly Interest Rate - Calculated</t>
  </si>
  <si>
    <t>FERC Interest Rates - Website</t>
  </si>
  <si>
    <t>FOOTNOTES to Monthly TRBAA Balance:</t>
  </si>
  <si>
    <r>
      <t xml:space="preserve"> </t>
    </r>
    <r>
      <rPr>
        <b/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  The Franchise Fees and Uncollectible expense amount adjustment are removed from the amount collected from/(refunded) to customers to properly balance in the TRBAA mechanism only the approved revenue credits and CAISO charges.</t>
    </r>
  </si>
  <si>
    <r>
      <t xml:space="preserve"> </t>
    </r>
    <r>
      <rPr>
        <b/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  Existing Transmission Contract (ETC) Cost Differentials related to APS-IID pertains to SDG&amp;E as the Scheduling Coordinator for Arizona Public Service - Imperial Irrigation District ("APS-IID") (See Work Paper No. 5; Pages 5.1 - 5.2; Line 10).</t>
    </r>
  </si>
  <si>
    <r>
      <rPr>
        <b/>
        <vertAlign val="superscript"/>
        <sz val="12"/>
        <rFont val="Times New Roman"/>
        <family val="1"/>
      </rPr>
      <t>3</t>
    </r>
    <r>
      <rPr>
        <sz val="12"/>
        <rFont val="Times New Roman"/>
        <family val="1"/>
      </rPr>
      <t xml:space="preserve">    Other Participating Transmission Owner (PTO) Related (Credits)/Charges include CAISO charge codes 1592, 7989, 7999, 8526, 8989, and 8999. These charges are segregated out of the ETC Cost Differentials category and classified as Other PTO related (Credits)/Charges to enhance reporting transparency. Each account has a different allocation method specified by CAISO.</t>
    </r>
  </si>
  <si>
    <t>High Voltage Wheeling Revenues:</t>
  </si>
  <si>
    <t xml:space="preserve">      CT 384 - HV Wheeling Revenues Due TO</t>
  </si>
  <si>
    <t>ISO Charge Type 384</t>
  </si>
  <si>
    <t xml:space="preserve">      CT 382 - HV Wheeling Charge Due ISO </t>
  </si>
  <si>
    <t>ISO Charge Type 382</t>
  </si>
  <si>
    <t xml:space="preserve">            Net </t>
  </si>
  <si>
    <t>CT 4575 - Settlements, Metering, &amp; Client Relations (SDGE-PTO)</t>
  </si>
  <si>
    <t>ISO Charge Type 4575</t>
  </si>
  <si>
    <t>ETC Cost Differentials from CAISO</t>
  </si>
  <si>
    <t>Other PTO Related Revenue (Credits)/Charges</t>
  </si>
  <si>
    <t>Check:</t>
  </si>
  <si>
    <t>Total Per TRBAA Details (From Regulatory Reporting)</t>
  </si>
  <si>
    <t>Summary of TRBAA Forecast Allocation Between High Voltage and Low Voltage Facilities</t>
  </si>
  <si>
    <t>HV-LV Allocation Factors:</t>
  </si>
  <si>
    <t>A. Development of Allocation Factors:</t>
  </si>
  <si>
    <t xml:space="preserve">   Total Recorded &amp; Forecast Gross Plant Balances; Dollars in ($000)</t>
  </si>
  <si>
    <t>Line 5 + Line 7</t>
  </si>
  <si>
    <t>High Voltage - Low Voltage Ratios Based on Gross Plant; Per Line 9</t>
  </si>
  <si>
    <t>Allocation Ratios Based on Line 9</t>
  </si>
  <si>
    <t>B. Allocation of High Voltage Wheeling Revenues:</t>
  </si>
  <si>
    <t>Work paper No.7; Page 7.1; Line 27</t>
  </si>
  <si>
    <t xml:space="preserve">HV - Allocation Ratio is NOT Based on Plant as shown on Line 11 </t>
  </si>
  <si>
    <t>Wheeling Revenues are assigned 100% to High Voltage facilities</t>
  </si>
  <si>
    <t>Total HV-LV Wheeling Revenues Allocation</t>
  </si>
  <si>
    <t>Line 15 x Line 17</t>
  </si>
  <si>
    <t>C. Forecast of Settlements, Metering, &amp; Client Relations Expense:</t>
  </si>
  <si>
    <t>Work paper No. 8; Page 8.1, Line 27</t>
  </si>
  <si>
    <t>Adjusted for Known and Measurable Changes.</t>
  </si>
  <si>
    <t>Total Settlements, Metering, &amp; Client Relations Allocation</t>
  </si>
  <si>
    <t>Col. C; Line 23 x Line 11 Ratios</t>
  </si>
  <si>
    <t>D: Forecast of ETC Cost Differentials Expense:</t>
  </si>
  <si>
    <t>Work paper No. 9; Page 9.1, Line 27</t>
  </si>
  <si>
    <t>Total ETC Cost Differentials Allocation</t>
  </si>
  <si>
    <t>Col. C; Line 30 x Line 11 Ratios</t>
  </si>
  <si>
    <t>E: Forecast of Other PTO Related Revenue (Credits)/Charges:</t>
  </si>
  <si>
    <t>Less: CC 8526 HV/LV specific allocation per CAISO</t>
  </si>
  <si>
    <t>WP No. 12; Page 12.1, footnotes (b) and (c) explanation on the HV/LV allocation per CAISO</t>
  </si>
  <si>
    <t>Net Other PTO Related Revenue (Credits)/Charges HV/LV Allocation</t>
  </si>
  <si>
    <t>Total Other PTO Related Revenue (Credits)/Charges Allocation</t>
  </si>
  <si>
    <t>Line 38 + Line 40</t>
  </si>
  <si>
    <t>Wheeling Revenues Forecast</t>
  </si>
  <si>
    <t xml:space="preserve">High Voltage </t>
  </si>
  <si>
    <t>Wheeling Revenues</t>
  </si>
  <si>
    <t>No</t>
  </si>
  <si>
    <t>Actual Recorded Month</t>
  </si>
  <si>
    <t>(384)/(382)-Net</t>
  </si>
  <si>
    <t>(385)</t>
  </si>
  <si>
    <t>Work paper No. 5; Page 5.1 and 5.2; Line 4</t>
  </si>
  <si>
    <t>Total Recorded</t>
  </si>
  <si>
    <t>Sum Lines 1 to 23</t>
  </si>
  <si>
    <t>Wheeling Revenue Forecast</t>
  </si>
  <si>
    <t>See Line 25</t>
  </si>
  <si>
    <t>CAISO Charge Code 4575 - Settlements, Metering and Client Relations Charge Code 4575 Forecast</t>
  </si>
  <si>
    <t xml:space="preserve">Settlements, Metering, and Client Relations Charge Code - 4575 </t>
  </si>
  <si>
    <t>Work paper No. 5; Page 5.1 and 5.2; Line 7</t>
  </si>
  <si>
    <r>
      <t xml:space="preserve">Settlements, Metering and Client Relations Charge Code - 4575 Forecast  </t>
    </r>
    <r>
      <rPr>
        <b/>
        <vertAlign val="superscript"/>
        <sz val="12"/>
        <rFont val="Times New Roman"/>
        <family val="1"/>
      </rPr>
      <t>a</t>
    </r>
  </si>
  <si>
    <t>a</t>
  </si>
  <si>
    <t>CAISO Settlements, Metering and Client Relations forecast is based on the recorded rates under MRTU.</t>
  </si>
  <si>
    <t xml:space="preserve">The monthly amounts represent the amount charged to SDG&amp;E as a PTO. A similar amount is charged to SDG&amp;E as the Scheduling </t>
  </si>
  <si>
    <t>Coordinator for APS-IID where the amount is included as part of ETC Cost Differentials.</t>
  </si>
  <si>
    <t>Existing Transmission Contracts (ETC) Cost Differentials Forecast</t>
  </si>
  <si>
    <t xml:space="preserve">Existing Transmission Contracts (ETC) Cost Differentials  </t>
  </si>
  <si>
    <t>Work paper No. 5; Page 5.1 and 5.2; Line 10</t>
  </si>
  <si>
    <t>Charge Type</t>
  </si>
  <si>
    <t>ETC Cost Differentials Charge Types</t>
  </si>
  <si>
    <t>EP Penalty Allocation Payment</t>
  </si>
  <si>
    <t>Day Ahead Energy Congestion Loss Management</t>
  </si>
  <si>
    <t>Ancillary Service Upward Neutrality Allocation</t>
  </si>
  <si>
    <t>Spinning Reserve Obligation Settlement</t>
  </si>
  <si>
    <t>Non-Spinning Reserve Obligation Settlement</t>
  </si>
  <si>
    <t>Intertie Deviation Settlement Allocation</t>
  </si>
  <si>
    <t>Real Time System Imbalance Energy Offset</t>
  </si>
  <si>
    <t>Monthly CRRBA Clearing</t>
  </si>
  <si>
    <t>Real Time Market Congestion Credit Settlement</t>
  </si>
  <si>
    <t>CRR Accrued Interest Allocation</t>
  </si>
  <si>
    <t>IFM Marginal Losses Surplus Credit Allocation- Prelim</t>
  </si>
  <si>
    <t>Allocation of Transmission Loss Obligation Charge for Real Time Schedule Under Control Agreement</t>
  </si>
  <si>
    <t>Flexible Ramp Forecasted Movement Settlement</t>
  </si>
  <si>
    <t>Monthly Flexible Ramp Up Uncertainty Award Allocation</t>
  </si>
  <si>
    <t>Invoice Deviation Interest Distribution</t>
  </si>
  <si>
    <t>Generator Interconnection Process Forfeited Deposit Allocation</t>
  </si>
  <si>
    <t>TRBAA Expenses</t>
  </si>
  <si>
    <t>0550</t>
  </si>
  <si>
    <t>FERC Fees</t>
  </si>
  <si>
    <t>Bid Segment Fee</t>
  </si>
  <si>
    <t>GMC - Market Services Charge</t>
  </si>
  <si>
    <t>GMC - System Operations Charge</t>
  </si>
  <si>
    <t>GMC - Transmission Ownership Rights</t>
  </si>
  <si>
    <t>Settlements, Metering, Client Relations</t>
  </si>
  <si>
    <t>Spinning Reserve Neutrality Allocation</t>
  </si>
  <si>
    <t>Non-Spinning Reserve Neutrality Allocation</t>
  </si>
  <si>
    <t>Intertie Deviation Settlement</t>
  </si>
  <si>
    <t>FMM Instructed Imbalance Energy Settlement</t>
  </si>
  <si>
    <t>Real Time Instructed Imbalance Energy Settlement</t>
  </si>
  <si>
    <t>Real Time Imbalance Energy Offset</t>
  </si>
  <si>
    <t>Real Time Bid Cost Recovery Allocation</t>
  </si>
  <si>
    <t>Real Time Congestion Offset</t>
  </si>
  <si>
    <t>CRR Balancing Account</t>
  </si>
  <si>
    <t>Real Time Marginal Losses Offset</t>
  </si>
  <si>
    <t>Daily Flexible Ramp Up Uncertainty Award Allocation</t>
  </si>
  <si>
    <t>Daily Flexible Ramp Down Uncertainty Award Allocation</t>
  </si>
  <si>
    <t>Monthly Flexible Ramp Down Uncertainty Award Allocation</t>
  </si>
  <si>
    <t>Invoice Deviation Interest Allocation</t>
  </si>
  <si>
    <t>Grand Total</t>
  </si>
  <si>
    <t>Per TRBAA Schedule; Workpaper 4.1 to 4.4; Line 13</t>
  </si>
  <si>
    <t>Other PTO Related Revenue (Credits) / Charge Forecast</t>
  </si>
  <si>
    <t xml:space="preserve">Other PTO Related Revenue (Credits)/Charges </t>
  </si>
  <si>
    <t>Work paper No. 5; Page 5.1 and 5.2; Line 13</t>
  </si>
  <si>
    <t>Other PTO Related Revenue (Credits) / Charges Forecast</t>
  </si>
  <si>
    <r>
      <t xml:space="preserve">Other PTO Related Revenue (Credits)/Charge Types  </t>
    </r>
    <r>
      <rPr>
        <b/>
        <vertAlign val="superscript"/>
        <sz val="14"/>
        <rFont val="Times New Roman"/>
        <family val="1"/>
      </rPr>
      <t>a</t>
    </r>
  </si>
  <si>
    <t>b</t>
  </si>
  <si>
    <t>Neutrality Adjustment</t>
  </si>
  <si>
    <t>Daily Neutrality Adjustment</t>
  </si>
  <si>
    <t>Adjusted Total Other PTO Related Revenue (Credits)/Charges - Line 13 above</t>
  </si>
  <si>
    <t>Per TRBAA Schedule; Workpaper 4.1 to 4.4; Line 14</t>
  </si>
  <si>
    <t>Other Participating Transmission Owner (PTO) Related (Credits)/Charges include CAISO charge codes 1592, 7989, 7999, 8526, 8989, and 8999. The segregation of these charges and classifying them as Other PTO Related (Credits)/Charges enhances reporting transparency.</t>
  </si>
  <si>
    <t>San Diego Unified Port District</t>
  </si>
  <si>
    <t xml:space="preserve">Beg. Monthly Balances </t>
  </si>
  <si>
    <t>Minus Line 8 + Line 19</t>
  </si>
  <si>
    <t>Statement BD; Page 1 of 5; Line 28; Col. D</t>
  </si>
  <si>
    <t>Work Paper 12; Pages 12.1; Line 13</t>
  </si>
  <si>
    <t>WP No. 12; Page 12.1, Total Col, Line 13</t>
  </si>
  <si>
    <t xml:space="preserve">   Franchise Fees Expense @ 1.0207%</t>
  </si>
  <si>
    <t>Line 15 x 1.0207%</t>
  </si>
  <si>
    <t>Real Time Assistance Energy Surcharge Allocation</t>
  </si>
  <si>
    <t>Line 17 x 1.0207%</t>
  </si>
  <si>
    <t>0525</t>
  </si>
  <si>
    <t>FERC Fees Under/Over Recovery</t>
  </si>
  <si>
    <t>Work Paper 10; Pages 10.1 - 10.3; Line 44</t>
  </si>
  <si>
    <t>Adjusted Total ETC Cost Differential - Line 44 above</t>
  </si>
  <si>
    <t>Col. C, Line 40 x Line 11 Ratios</t>
  </si>
  <si>
    <t>Recorded Billing Determinants for the 12-Month Period: October 2025 - September 2026</t>
  </si>
  <si>
    <t>2027 - TRBAA Rate Filing</t>
  </si>
  <si>
    <t>Bid Cost Recovery Settlement</t>
  </si>
  <si>
    <t>Day Ahead Imbalance Reserve Transfer Revenue Settlement</t>
  </si>
  <si>
    <t>Day Ahead Energy Transfer Revenue Settlement</t>
  </si>
  <si>
    <t>Real time Energy Transfer Revenue Settlement</t>
  </si>
  <si>
    <t>RUC Reliability Capacity Transfer Revenue Settlement</t>
  </si>
  <si>
    <t>Supplemental Reactive Energy Allocation</t>
  </si>
  <si>
    <t>GMC System Operations Balancing Authority Area Service Charge</t>
  </si>
  <si>
    <t>GMC System Operation Real Time Dispatch Charge</t>
  </si>
  <si>
    <t>Excess Cost Neutrality Allocation</t>
  </si>
  <si>
    <t>IFM Bid Cost Recovery Tier 1 Allocation</t>
  </si>
  <si>
    <t>Day Ahead Imbalance Reserve Up Tier 1 Allocation</t>
  </si>
  <si>
    <t>Day Ahead Imbalance Reserve Down Tier 1 Allocation</t>
  </si>
  <si>
    <t>Day Ahead Energy and Marginal Losses Offset</t>
  </si>
  <si>
    <t>TO6 Cycle 3 - Recorded Gross Plant Balances; Dollars in ($000)</t>
  </si>
  <si>
    <t>TO6 Cycle 3 - Weighted Forecast Plant Additions; Dollars in ($000)</t>
  </si>
  <si>
    <t>Total Wheeling Revenues Forecast based on recorded HV-LV wheeling revenues ending 9/30/2026</t>
  </si>
  <si>
    <t>Total Settlements, Metering &amp; Client Relations Expense Forecast based on recorded CC4575 ending 9/30/2026</t>
  </si>
  <si>
    <t>Total ETC Cost Differentials Expense Forecast based on recorded other various CAISO charges ending 9/30/2026</t>
  </si>
  <si>
    <t>Total Other PTO Related Revenue (Credits)/Charges based on recorded specific various CAISO charges ending 9/30/2026</t>
  </si>
  <si>
    <t>HV-LV Plant Study; Line 32 of SDG&amp;E's TO6 Cycle 3 Annual  Informational Filing</t>
  </si>
  <si>
    <t xml:space="preserve"> Forecast Plant; Line 16 of SDG&amp;E's TO6 Cycle 3 Annual Informational Filing</t>
  </si>
  <si>
    <t>TRBAA Rates; ER25-218 (Oct - Dec 2025); ER26-336 (Jan - Sep 2026)</t>
  </si>
  <si>
    <t>Average TRBAA Rate Calculation for January 2026</t>
  </si>
  <si>
    <t xml:space="preserve">   Prior Year - TRBAA Rate 2025</t>
  </si>
  <si>
    <t xml:space="preserve">   Current Year - TRBAA Rate 2026</t>
  </si>
  <si>
    <t>Average TRBAA Rate Calculation for January 2026:</t>
  </si>
  <si>
    <t>FF&amp;U used in Balancing Acct detail (2025 Rates)</t>
  </si>
  <si>
    <t xml:space="preserve">FF&amp;U used in Balancing Acct detail (2026 Rates) </t>
  </si>
  <si>
    <t>TRBAA Balance @ 9/30/2026</t>
  </si>
  <si>
    <t>Forecast 2027 - Net Transmission Revenue Credits</t>
  </si>
  <si>
    <t>Forecast Billing Determinants for the 12-Month Period: January 2027- December 2027</t>
  </si>
  <si>
    <t>2027 - CAISO Customers Utility Specific Access Charge Rate Calculations</t>
  </si>
  <si>
    <r>
      <t xml:space="preserve">BTRR </t>
    </r>
    <r>
      <rPr>
        <vertAlign val="subscript"/>
        <sz val="12"/>
        <rFont val="Times New Roman"/>
        <family val="1"/>
      </rPr>
      <t>CAISO</t>
    </r>
    <r>
      <rPr>
        <sz val="12"/>
        <rFont val="Times New Roman"/>
        <family val="1"/>
      </rPr>
      <t xml:space="preserve">  </t>
    </r>
    <r>
      <rPr>
        <b/>
        <vertAlign val="superscript"/>
        <sz val="12"/>
        <rFont val="Times New Roman"/>
        <family val="1"/>
      </rPr>
      <t>1</t>
    </r>
  </si>
  <si>
    <r>
      <t xml:space="preserve">Total CAISO TRBAA 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2</t>
    </r>
  </si>
  <si>
    <t>CAISO Transmission Revenue Requirements</t>
  </si>
  <si>
    <r>
      <t xml:space="preserve">BTRR </t>
    </r>
    <r>
      <rPr>
        <vertAlign val="subscript"/>
        <sz val="12"/>
        <rFont val="Times New Roman"/>
        <family val="1"/>
      </rPr>
      <t>CAISO</t>
    </r>
    <r>
      <rPr>
        <sz val="12"/>
        <rFont val="Times New Roman"/>
        <family val="1"/>
      </rPr>
      <t xml:space="preserve"> information comes from Cost Statement BK-2 of SDG&amp;E's TO6 Cycle 3 Annual Informational Filing.</t>
    </r>
  </si>
  <si>
    <t>The CAISO TRBAA amount comes from the instant filing, in Statement BK-2; Page 1; Line 21</t>
  </si>
  <si>
    <t>Beginning TRBAA Balance @ 9/30/2026</t>
  </si>
  <si>
    <t xml:space="preserve">   Uncollectibles @ 0.5510%</t>
  </si>
  <si>
    <t>Line 15 x 0.5510%</t>
  </si>
  <si>
    <t>12 Months kWh Ending September 30, 2026</t>
  </si>
  <si>
    <t>Transmission Revenue Balancing Account Adjustment (TRBAA) Revenue Data To Reflect Present Rates per ER26-336</t>
  </si>
  <si>
    <t>Rate Effective Period - Twelve Months Ending December 31, 2027</t>
  </si>
  <si>
    <t>FERC Docket No. ER26-336-000</t>
  </si>
  <si>
    <t>Present Rates are defined as rates effective pursuant to ER26-336.</t>
  </si>
  <si>
    <t>For the 12-Month Base &amp; True Up Period Ending December 31, 2025</t>
  </si>
  <si>
    <t>Forecast Period January 2027 - December 2027</t>
  </si>
  <si>
    <t>2027 (MWh)</t>
  </si>
  <si>
    <r>
      <t xml:space="preserve">January 2027 - December 2027 </t>
    </r>
    <r>
      <rPr>
        <b/>
        <vertAlign val="superscript"/>
        <sz val="12"/>
        <rFont val="Times New Roman"/>
        <family val="1"/>
      </rPr>
      <t xml:space="preserve"> 1</t>
    </r>
  </si>
  <si>
    <t>Per Cost Statement BB; Page 1; Line 24 of SDG&amp;E's TO6-Cycle 3 Annual Informational Filing.</t>
  </si>
  <si>
    <t>Standby Revenue amount of $9,446,352, from Cost Statement BG; Page 1; Column A; Line 26, of SDG&amp;E's TO6 Cycle 3 Annual Informational Filing.</t>
  </si>
  <si>
    <t>Med Comm(ALTOU-M)</t>
  </si>
  <si>
    <t>Med Comm(DGR-M)</t>
  </si>
  <si>
    <t>Med Comm (EV-HP, OL-TOU, TOU-M)</t>
  </si>
  <si>
    <t>Large Comm./Ind. (excluding A6-TOU/Port)</t>
  </si>
  <si>
    <t>Large Comm./Ind. (A6-TOU)</t>
  </si>
  <si>
    <t>Agriculture (TOU-PA)</t>
  </si>
  <si>
    <t>In accordance with the CAISO Tariff Appendix DD, Section 7.6 and Appendix KK, Section 7.6, SDG&amp;E, as a PTO, received  $6,124,058.53 under CAISO Charge Code 8526 in September, 2026, and this was recorded in the TRBA.  Of this amount, $4,170,183.76 is associated with the High Voltage Transmission Revenue Requirement and $1,953,874.77 is associated with the Low Voltage Transmission Revenue Requirement.</t>
  </si>
  <si>
    <t>Non-CAISO Energy</t>
  </si>
  <si>
    <t>Sales @ Meter Level</t>
  </si>
  <si>
    <t>City of Escondido sales are excluded from the KWh total because they are classified as sales to CAISO wholesale customers not Non-CAISO retail.</t>
  </si>
  <si>
    <t xml:space="preserve">Non-CAISO Energy </t>
  </si>
  <si>
    <t>Non-CAISO Sales Forecast @ Meter Level</t>
  </si>
  <si>
    <t>Non-CAISO Sales Forecast @ Transmission Level</t>
  </si>
  <si>
    <t>City of Escondido sales are excluded from the KWh total because they are classified as sales to CAISO wholesale customers.</t>
  </si>
  <si>
    <t>The 1.0414 factor is used to convert the Non-CAISO retail sales forecast at meter level up to the transmission level.</t>
  </si>
  <si>
    <t>Statement BL (Non-CAISO); Page 1; Line 27</t>
  </si>
  <si>
    <t>Non-CAISO TRBAA Rate ($/kWh) @ Changed Rate</t>
  </si>
  <si>
    <t>Non-CAISO TRBAA Rate ($/kWh) @ Present Rate</t>
  </si>
  <si>
    <t>Total Non-CAISO TRBAA Forecast - Including Franchise Fees &amp; Uncollectible Expense</t>
  </si>
  <si>
    <t xml:space="preserve">Non-CAISO - TRBAA </t>
  </si>
  <si>
    <t>Total Non-CAISO TRBAA Forecast Including FF&amp;U</t>
  </si>
  <si>
    <t>CAISO Wholesale Customers - HVTRR &amp; LVTRR Calculation</t>
  </si>
  <si>
    <r>
      <t xml:space="preserve">CAISO Base Transmission Revenue Requirement  </t>
    </r>
    <r>
      <rPr>
        <b/>
        <vertAlign val="superscript"/>
        <sz val="12"/>
        <rFont val="Times New Roman"/>
        <family val="1"/>
      </rPr>
      <t>1</t>
    </r>
  </si>
  <si>
    <t>Total CAISO TRBAA Before Franchise Fees</t>
  </si>
  <si>
    <t>Total CAISO TRBAA Forecast Including Franchise Fees</t>
  </si>
  <si>
    <t>CAISO Transmission Revenue Requirement</t>
  </si>
  <si>
    <t>Non-CAISO TRBAA Rate Calculation</t>
  </si>
  <si>
    <t>Non-CAISO TRBAA Rate ($/kWh)</t>
  </si>
  <si>
    <r>
      <t xml:space="preserve">TO6-Cycle 3 Informational Filing - BTRR </t>
    </r>
    <r>
      <rPr>
        <vertAlign val="subscript"/>
        <sz val="12"/>
        <rFont val="Times New Roman"/>
        <family val="1"/>
      </rPr>
      <t xml:space="preserve">CAISO </t>
    </r>
  </si>
  <si>
    <r>
      <t xml:space="preserve">BTRR </t>
    </r>
    <r>
      <rPr>
        <vertAlign val="subscript"/>
        <sz val="12"/>
        <rFont val="Times New Roman"/>
        <family val="1"/>
      </rPr>
      <t>CAISO</t>
    </r>
    <r>
      <rPr>
        <sz val="12"/>
        <rFont val="Times New Roman"/>
        <family val="1"/>
      </rPr>
      <t xml:space="preserve"> information comes from SDG&amp;E's TO6 Cycle 3 Annual Informational Filing.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</si>
</sst>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  <numFmt numFmtId="167" formatCode="_(&quot;$&quot;* #,##0.0000_);_(&quot;$&quot;* \(#,##0.0000\);_(&quot;$&quot;* &quot;-&quot;??_);_(@_)"/>
    <numFmt numFmtId="168" formatCode="_(&quot;$&quot;* #,##0.00000_);_(&quot;$&quot;* \(#,##0.00000\);_(&quot;$&quot;* &quot;-&quot;??_);_(@_)"/>
    <numFmt numFmtId="169" formatCode="0.000%"/>
    <numFmt numFmtId="170" formatCode="0.0000%"/>
    <numFmt numFmtId="171" formatCode="[$-409]mmmm\-yy;@"/>
    <numFmt numFmtId="172" formatCode="&quot;$&quot;#,##0.00000"/>
    <numFmt numFmtId="173" formatCode="0.00000%"/>
    <numFmt numFmtId="174" formatCode="[$-409]mmm\-yy;@"/>
    <numFmt numFmtId="175" formatCode="_(* #,##0.00000_);_(* \(#,##0.00000\);_(* &quot;-&quot;??_);_(@_)"/>
    <numFmt numFmtId="176" formatCode="#,##0.0000000_);[Red]\(#,##0.0000000\)"/>
    <numFmt numFmtId="177" formatCode="mmmm\-yy"/>
    <numFmt numFmtId="178" formatCode="0.0000"/>
    <numFmt numFmtId="179" formatCode="_(* #,##0.00000_);_(* \(#,##0.00000\);_(* &quot;-&quot;_);_(@_)"/>
    <numFmt numFmtId="180" formatCode="0.0%"/>
    <numFmt numFmtId="181" formatCode="_(* #,##0.0000_);_(* \(#,##0.0000\);_(* &quot;-&quot;_);_(@_)"/>
    <numFmt numFmtId="182" formatCode="_(* #,##0.0_);_(* \(#,##0.0\);_(* &quot;-&quot;??_);_(@_)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sz val="8"/>
      <name val="Arial"/>
      <family val="2"/>
    </font>
    <font>
      <b/>
      <i/>
      <u/>
      <sz val="10"/>
      <name val="Times New Roman"/>
      <family val="1"/>
    </font>
    <font>
      <b/>
      <i/>
      <u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b/>
      <u/>
      <sz val="12"/>
      <name val="Times New Roman"/>
      <family val="1"/>
    </font>
    <font>
      <b/>
      <i/>
      <sz val="13"/>
      <name val="Times New Roman"/>
      <family val="1"/>
    </font>
    <font>
      <vertAlign val="superscript"/>
      <sz val="13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Arial"/>
      <family val="2"/>
    </font>
    <font>
      <b/>
      <u/>
      <sz val="13"/>
      <name val="Times New Roman"/>
      <family val="1"/>
    </font>
    <font>
      <vertAlign val="superscript"/>
      <sz val="14"/>
      <name val="Times New Roman"/>
      <family val="1"/>
    </font>
    <font>
      <b/>
      <u/>
      <sz val="11"/>
      <name val="Times New Roman"/>
      <family val="1"/>
    </font>
    <font>
      <b/>
      <vertAlign val="superscript"/>
      <sz val="14"/>
      <name val="Times New Roman"/>
      <family val="1"/>
    </font>
    <font>
      <sz val="14"/>
      <name val="Arial"/>
      <family val="2"/>
    </font>
    <font>
      <sz val="10"/>
      <name val="System"/>
      <family val="2"/>
    </font>
    <font>
      <u/>
      <sz val="10"/>
      <name val="Arial"/>
      <family val="2"/>
    </font>
    <font>
      <b/>
      <sz val="10"/>
      <name val="Arial"/>
      <family val="2"/>
    </font>
    <font>
      <i/>
      <u/>
      <sz val="12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 val="double"/>
      <sz val="12"/>
      <name val="Times New Roman"/>
      <family val="1"/>
    </font>
    <font>
      <sz val="12"/>
      <color rgb="FFFF0000"/>
      <name val="Times New Roman"/>
      <family val="1"/>
    </font>
    <font>
      <sz val="10"/>
      <color rgb="FF0000FF"/>
      <name val="Times New Roman"/>
      <family val="1"/>
    </font>
    <font>
      <vertAlign val="subscript"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6" fillId="0" borderId="0"/>
    <xf numFmtId="0" fontId="7" fillId="0" borderId="0"/>
    <xf numFmtId="9" fontId="7" fillId="0" borderId="0" applyFont="0" applyFill="0" applyBorder="0" applyAlignment="0" applyProtection="0"/>
    <xf numFmtId="0" fontId="32" fillId="0" borderId="0"/>
    <xf numFmtId="0" fontId="6" fillId="0" borderId="0"/>
    <xf numFmtId="0" fontId="7" fillId="0" borderId="0"/>
    <xf numFmtId="0" fontId="5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87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41" fontId="9" fillId="0" borderId="0" xfId="0" applyNumberFormat="1" applyFont="1"/>
    <xf numFmtId="0" fontId="10" fillId="0" borderId="0" xfId="0" applyFont="1" applyAlignment="1">
      <alignment horizontal="centerContinuous" vertical="justify"/>
    </xf>
    <xf numFmtId="0" fontId="8" fillId="0" borderId="0" xfId="0" applyFont="1" applyAlignment="1">
      <alignment horizontal="centerContinuous" vertical="justify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166" fontId="11" fillId="0" borderId="3" xfId="2" applyNumberFormat="1" applyFont="1" applyBorder="1"/>
    <xf numFmtId="44" fontId="11" fillId="0" borderId="2" xfId="2" applyFont="1" applyBorder="1"/>
    <xf numFmtId="166" fontId="11" fillId="0" borderId="2" xfId="0" applyNumberFormat="1" applyFont="1" applyBorder="1"/>
    <xf numFmtId="0" fontId="11" fillId="0" borderId="2" xfId="0" applyFont="1" applyBorder="1"/>
    <xf numFmtId="17" fontId="11" fillId="0" borderId="2" xfId="0" applyNumberFormat="1" applyFont="1" applyBorder="1" applyAlignment="1">
      <alignment horizontal="left"/>
    </xf>
    <xf numFmtId="166" fontId="11" fillId="0" borderId="2" xfId="2" applyNumberFormat="1" applyFont="1" applyBorder="1"/>
    <xf numFmtId="17" fontId="12" fillId="0" borderId="2" xfId="0" applyNumberFormat="1" applyFont="1" applyBorder="1" applyAlignment="1">
      <alignment horizontal="left"/>
    </xf>
    <xf numFmtId="166" fontId="11" fillId="0" borderId="1" xfId="2" applyNumberFormat="1" applyFont="1" applyBorder="1"/>
    <xf numFmtId="0" fontId="11" fillId="0" borderId="0" xfId="0" applyFont="1"/>
    <xf numFmtId="44" fontId="11" fillId="0" borderId="2" xfId="2" applyFont="1" applyBorder="1" applyAlignment="1">
      <alignment horizontal="center"/>
    </xf>
    <xf numFmtId="166" fontId="11" fillId="0" borderId="2" xfId="0" applyNumberFormat="1" applyFont="1" applyBorder="1" applyAlignment="1">
      <alignment horizontal="left"/>
    </xf>
    <xf numFmtId="10" fontId="11" fillId="0" borderId="2" xfId="5" applyNumberFormat="1" applyFont="1" applyBorder="1"/>
    <xf numFmtId="166" fontId="11" fillId="0" borderId="2" xfId="2" applyNumberFormat="1" applyFont="1" applyBorder="1" applyAlignment="1">
      <alignment horizontal="center"/>
    </xf>
    <xf numFmtId="0" fontId="11" fillId="0" borderId="5" xfId="0" applyFont="1" applyBorder="1"/>
    <xf numFmtId="166" fontId="11" fillId="0" borderId="0" xfId="2" applyNumberFormat="1" applyFont="1" applyBorder="1"/>
    <xf numFmtId="44" fontId="11" fillId="0" borderId="4" xfId="2" applyFont="1" applyBorder="1" applyAlignment="1">
      <alignment horizontal="center"/>
    </xf>
    <xf numFmtId="10" fontId="11" fillId="0" borderId="2" xfId="0" applyNumberFormat="1" applyFont="1" applyBorder="1"/>
    <xf numFmtId="165" fontId="11" fillId="0" borderId="2" xfId="1" applyNumberFormat="1" applyFont="1" applyBorder="1"/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5" fontId="11" fillId="0" borderId="2" xfId="1" applyNumberFormat="1" applyFont="1" applyBorder="1" applyAlignment="1">
      <alignment horizontal="center"/>
    </xf>
    <xf numFmtId="167" fontId="11" fillId="0" borderId="4" xfId="2" applyNumberFormat="1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5" fontId="11" fillId="0" borderId="3" xfId="1" applyNumberFormat="1" applyFont="1" applyBorder="1"/>
    <xf numFmtId="165" fontId="11" fillId="0" borderId="2" xfId="1" applyNumberFormat="1" applyFont="1" applyBorder="1" applyAlignment="1">
      <alignment horizontal="left"/>
    </xf>
    <xf numFmtId="165" fontId="11" fillId="0" borderId="3" xfId="1" applyNumberFormat="1" applyFont="1" applyBorder="1" applyAlignment="1">
      <alignment horizontal="left"/>
    </xf>
    <xf numFmtId="0" fontId="11" fillId="0" borderId="0" xfId="0" applyFont="1" applyAlignment="1">
      <alignment horizontal="centerContinuous" vertical="justify"/>
    </xf>
    <xf numFmtId="166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5" fontId="11" fillId="0" borderId="2" xfId="1" applyNumberFormat="1" applyFont="1" applyFill="1" applyBorder="1"/>
    <xf numFmtId="41" fontId="11" fillId="0" borderId="2" xfId="0" applyNumberFormat="1" applyFont="1" applyBorder="1"/>
    <xf numFmtId="41" fontId="11" fillId="0" borderId="3" xfId="0" applyNumberFormat="1" applyFont="1" applyBorder="1"/>
    <xf numFmtId="41" fontId="11" fillId="0" borderId="4" xfId="0" applyNumberFormat="1" applyFont="1" applyBorder="1"/>
    <xf numFmtId="41" fontId="11" fillId="0" borderId="0" xfId="0" applyNumberFormat="1" applyFont="1"/>
    <xf numFmtId="41" fontId="11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165" fontId="11" fillId="0" borderId="3" xfId="1" applyNumberFormat="1" applyFont="1" applyFill="1" applyBorder="1"/>
    <xf numFmtId="17" fontId="11" fillId="0" borderId="1" xfId="0" applyNumberFormat="1" applyFont="1" applyBorder="1" applyAlignment="1">
      <alignment horizontal="center"/>
    </xf>
    <xf numFmtId="165" fontId="11" fillId="0" borderId="1" xfId="1" applyNumberFormat="1" applyFont="1" applyBorder="1"/>
    <xf numFmtId="165" fontId="11" fillId="0" borderId="0" xfId="1" applyNumberFormat="1" applyFont="1" applyBorder="1"/>
    <xf numFmtId="0" fontId="9" fillId="0" borderId="12" xfId="0" applyFont="1" applyBorder="1"/>
    <xf numFmtId="0" fontId="11" fillId="0" borderId="9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165" fontId="11" fillId="0" borderId="13" xfId="1" applyNumberFormat="1" applyFont="1" applyBorder="1"/>
    <xf numFmtId="0" fontId="11" fillId="0" borderId="14" xfId="0" applyFont="1" applyBorder="1" applyAlignment="1">
      <alignment horizontal="center"/>
    </xf>
    <xf numFmtId="0" fontId="11" fillId="0" borderId="14" xfId="0" applyFont="1" applyBorder="1"/>
    <xf numFmtId="44" fontId="11" fillId="0" borderId="8" xfId="2" applyFont="1" applyBorder="1" applyAlignment="1">
      <alignment horizontal="center"/>
    </xf>
    <xf numFmtId="44" fontId="10" fillId="0" borderId="8" xfId="2" applyFont="1" applyBorder="1" applyAlignment="1">
      <alignment horizontal="center"/>
    </xf>
    <xf numFmtId="44" fontId="10" fillId="0" borderId="8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7" fontId="11" fillId="0" borderId="9" xfId="0" applyNumberFormat="1" applyFont="1" applyBorder="1" applyAlignment="1">
      <alignment horizontal="left"/>
    </xf>
    <xf numFmtId="0" fontId="11" fillId="0" borderId="9" xfId="0" applyFont="1" applyBorder="1"/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3" fillId="0" borderId="0" xfId="0" quotePrefix="1" applyFont="1" applyAlignment="1">
      <alignment horizontal="center"/>
    </xf>
    <xf numFmtId="44" fontId="18" fillId="0" borderId="8" xfId="2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166" fontId="10" fillId="0" borderId="0" xfId="2" applyNumberFormat="1" applyFont="1" applyBorder="1"/>
    <xf numFmtId="166" fontId="10" fillId="0" borderId="4" xfId="2" applyNumberFormat="1" applyFont="1" applyBorder="1"/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40" fontId="11" fillId="0" borderId="0" xfId="0" applyNumberFormat="1" applyFont="1"/>
    <xf numFmtId="38" fontId="11" fillId="0" borderId="2" xfId="0" applyNumberFormat="1" applyFont="1" applyBorder="1"/>
    <xf numFmtId="0" fontId="11" fillId="0" borderId="12" xfId="0" applyFont="1" applyBorder="1"/>
    <xf numFmtId="0" fontId="11" fillId="0" borderId="13" xfId="0" applyFont="1" applyBorder="1"/>
    <xf numFmtId="165" fontId="11" fillId="0" borderId="13" xfId="1" applyNumberFormat="1" applyFont="1" applyFill="1" applyBorder="1"/>
    <xf numFmtId="0" fontId="14" fillId="0" borderId="0" xfId="0" quotePrefix="1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44" fontId="18" fillId="0" borderId="8" xfId="0" applyNumberFormat="1" applyFont="1" applyBorder="1" applyAlignment="1">
      <alignment horizontal="center"/>
    </xf>
    <xf numFmtId="0" fontId="11" fillId="0" borderId="15" xfId="0" applyFont="1" applyBorder="1"/>
    <xf numFmtId="0" fontId="10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0" fillId="0" borderId="0" xfId="0" applyFont="1" applyAlignment="1">
      <alignment horizontal="center"/>
    </xf>
    <xf numFmtId="0" fontId="11" fillId="0" borderId="8" xfId="0" applyFont="1" applyBorder="1"/>
    <xf numFmtId="0" fontId="10" fillId="0" borderId="0" xfId="0" applyFont="1" applyAlignment="1">
      <alignment horizontal="left"/>
    </xf>
    <xf numFmtId="165" fontId="11" fillId="0" borderId="0" xfId="1" applyNumberFormat="1" applyFont="1" applyFill="1" applyBorder="1"/>
    <xf numFmtId="0" fontId="10" fillId="0" borderId="2" xfId="0" applyFont="1" applyBorder="1"/>
    <xf numFmtId="37" fontId="11" fillId="0" borderId="2" xfId="0" applyNumberFormat="1" applyFont="1" applyBorder="1"/>
    <xf numFmtId="37" fontId="11" fillId="0" borderId="3" xfId="0" applyNumberFormat="1" applyFont="1" applyBorder="1"/>
    <xf numFmtId="166" fontId="11" fillId="0" borderId="10" xfId="2" applyNumberFormat="1" applyFont="1" applyBorder="1"/>
    <xf numFmtId="0" fontId="20" fillId="0" borderId="2" xfId="0" applyFont="1" applyBorder="1"/>
    <xf numFmtId="0" fontId="20" fillId="0" borderId="13" xfId="0" applyFont="1" applyBorder="1"/>
    <xf numFmtId="166" fontId="11" fillId="0" borderId="13" xfId="2" applyNumberFormat="1" applyFont="1" applyBorder="1"/>
    <xf numFmtId="166" fontId="10" fillId="0" borderId="2" xfId="2" applyNumberFormat="1" applyFont="1" applyBorder="1"/>
    <xf numFmtId="168" fontId="11" fillId="0" borderId="3" xfId="2" applyNumberFormat="1" applyFont="1" applyFill="1" applyBorder="1"/>
    <xf numFmtId="166" fontId="11" fillId="0" borderId="3" xfId="2" applyNumberFormat="1" applyFont="1" applyFill="1" applyBorder="1"/>
    <xf numFmtId="166" fontId="25" fillId="0" borderId="0" xfId="0" applyNumberFormat="1" applyFont="1"/>
    <xf numFmtId="0" fontId="24" fillId="0" borderId="13" xfId="0" applyFont="1" applyBorder="1" applyAlignment="1">
      <alignment horizontal="center"/>
    </xf>
    <xf numFmtId="174" fontId="11" fillId="0" borderId="2" xfId="0" applyNumberFormat="1" applyFont="1" applyBorder="1" applyAlignment="1">
      <alignment horizontal="center"/>
    </xf>
    <xf numFmtId="0" fontId="11" fillId="0" borderId="0" xfId="3" applyFont="1"/>
    <xf numFmtId="17" fontId="11" fillId="0" borderId="2" xfId="3" applyNumberFormat="1" applyFont="1" applyBorder="1" applyAlignment="1">
      <alignment horizontal="center"/>
    </xf>
    <xf numFmtId="17" fontId="11" fillId="0" borderId="13" xfId="3" applyNumberFormat="1" applyFont="1" applyBorder="1" applyAlignment="1">
      <alignment horizontal="center"/>
    </xf>
    <xf numFmtId="169" fontId="11" fillId="0" borderId="0" xfId="5" applyNumberFormat="1" applyFont="1" applyBorder="1"/>
    <xf numFmtId="0" fontId="9" fillId="0" borderId="0" xfId="3" applyFont="1" applyAlignment="1">
      <alignment horizontal="left"/>
    </xf>
    <xf numFmtId="0" fontId="9" fillId="0" borderId="0" xfId="3" applyFont="1"/>
    <xf numFmtId="0" fontId="11" fillId="0" borderId="0" xfId="3" quotePrefix="1" applyFont="1" applyAlignment="1">
      <alignment horizontal="center"/>
    </xf>
    <xf numFmtId="164" fontId="11" fillId="0" borderId="2" xfId="0" applyNumberFormat="1" applyFont="1" applyBorder="1"/>
    <xf numFmtId="170" fontId="11" fillId="0" borderId="2" xfId="5" applyNumberFormat="1" applyFont="1" applyBorder="1"/>
    <xf numFmtId="165" fontId="11" fillId="0" borderId="19" xfId="1" applyNumberFormat="1" applyFont="1" applyBorder="1"/>
    <xf numFmtId="165" fontId="11" fillId="0" borderId="19" xfId="1" applyNumberFormat="1" applyFont="1" applyFill="1" applyBorder="1"/>
    <xf numFmtId="165" fontId="11" fillId="0" borderId="22" xfId="1" applyNumberFormat="1" applyFont="1" applyBorder="1"/>
    <xf numFmtId="165" fontId="11" fillId="0" borderId="22" xfId="1" applyNumberFormat="1" applyFont="1" applyFill="1" applyBorder="1"/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24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28" xfId="0" applyFont="1" applyBorder="1"/>
    <xf numFmtId="0" fontId="11" fillId="0" borderId="29" xfId="0" applyFont="1" applyBorder="1"/>
    <xf numFmtId="165" fontId="10" fillId="0" borderId="20" xfId="1" applyNumberFormat="1" applyFont="1" applyFill="1" applyBorder="1"/>
    <xf numFmtId="165" fontId="10" fillId="0" borderId="23" xfId="1" applyNumberFormat="1" applyFont="1" applyFill="1" applyBorder="1"/>
    <xf numFmtId="0" fontId="10" fillId="0" borderId="0" xfId="3" applyFont="1" applyAlignment="1">
      <alignment horizontal="centerContinuous" vertical="justify"/>
    </xf>
    <xf numFmtId="0" fontId="8" fillId="0" borderId="0" xfId="3" applyFont="1" applyAlignment="1">
      <alignment horizontal="centerContinuous" vertical="justify"/>
    </xf>
    <xf numFmtId="0" fontId="11" fillId="0" borderId="0" xfId="3" applyFont="1" applyAlignment="1">
      <alignment horizontal="left"/>
    </xf>
    <xf numFmtId="0" fontId="10" fillId="0" borderId="4" xfId="3" applyFont="1" applyBorder="1" applyAlignment="1">
      <alignment horizontal="center"/>
    </xf>
    <xf numFmtId="0" fontId="11" fillId="0" borderId="0" xfId="4" applyFont="1"/>
    <xf numFmtId="166" fontId="11" fillId="0" borderId="14" xfId="2" applyNumberFormat="1" applyFont="1" applyBorder="1"/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3" xfId="0" applyFont="1" applyBorder="1"/>
    <xf numFmtId="166" fontId="11" fillId="0" borderId="1" xfId="2" applyNumberFormat="1" applyFont="1" applyFill="1" applyBorder="1"/>
    <xf numFmtId="0" fontId="11" fillId="0" borderId="38" xfId="0" applyFont="1" applyBorder="1" applyAlignment="1">
      <alignment horizontal="center"/>
    </xf>
    <xf numFmtId="165" fontId="11" fillId="0" borderId="0" xfId="1" applyNumberFormat="1" applyFont="1"/>
    <xf numFmtId="166" fontId="11" fillId="0" borderId="2" xfId="2" applyNumberFormat="1" applyFont="1" applyFill="1" applyBorder="1"/>
    <xf numFmtId="0" fontId="9" fillId="0" borderId="6" xfId="0" applyFont="1" applyBorder="1"/>
    <xf numFmtId="166" fontId="11" fillId="0" borderId="0" xfId="0" applyNumberFormat="1" applyFont="1"/>
    <xf numFmtId="0" fontId="28" fillId="0" borderId="8" xfId="0" applyFont="1" applyBorder="1" applyAlignment="1">
      <alignment horizontal="center"/>
    </xf>
    <xf numFmtId="0" fontId="13" fillId="0" borderId="0" xfId="0" applyFont="1"/>
    <xf numFmtId="0" fontId="11" fillId="0" borderId="37" xfId="0" applyFont="1" applyBorder="1"/>
    <xf numFmtId="0" fontId="11" fillId="0" borderId="41" xfId="0" applyFont="1" applyBorder="1"/>
    <xf numFmtId="165" fontId="11" fillId="0" borderId="28" xfId="1" applyNumberFormat="1" applyFont="1" applyFill="1" applyBorder="1"/>
    <xf numFmtId="0" fontId="11" fillId="0" borderId="28" xfId="0" applyFont="1" applyBorder="1" applyAlignment="1">
      <alignment horizontal="left"/>
    </xf>
    <xf numFmtId="0" fontId="11" fillId="0" borderId="39" xfId="0" applyFont="1" applyBorder="1" applyAlignment="1">
      <alignment horizontal="center"/>
    </xf>
    <xf numFmtId="165" fontId="10" fillId="0" borderId="0" xfId="1" applyNumberFormat="1" applyFont="1"/>
    <xf numFmtId="173" fontId="11" fillId="0" borderId="3" xfId="5" applyNumberFormat="1" applyFont="1" applyFill="1" applyBorder="1"/>
    <xf numFmtId="0" fontId="10" fillId="0" borderId="13" xfId="0" applyFont="1" applyBorder="1" applyAlignment="1">
      <alignment horizontal="center"/>
    </xf>
    <xf numFmtId="166" fontId="10" fillId="0" borderId="3" xfId="2" applyNumberFormat="1" applyFont="1" applyBorder="1"/>
    <xf numFmtId="165" fontId="10" fillId="0" borderId="4" xfId="1" applyNumberFormat="1" applyFont="1" applyBorder="1"/>
    <xf numFmtId="0" fontId="21" fillId="0" borderId="0" xfId="0" applyFont="1" applyAlignment="1">
      <alignment horizontal="left"/>
    </xf>
    <xf numFmtId="44" fontId="18" fillId="0" borderId="2" xfId="2" applyFont="1" applyBorder="1" applyAlignment="1">
      <alignment horizontal="center"/>
    </xf>
    <xf numFmtId="0" fontId="10" fillId="0" borderId="2" xfId="0" quotePrefix="1" applyFont="1" applyBorder="1" applyAlignment="1">
      <alignment horizontal="center"/>
    </xf>
    <xf numFmtId="0" fontId="9" fillId="0" borderId="2" xfId="0" applyFont="1" applyBorder="1"/>
    <xf numFmtId="0" fontId="8" fillId="0" borderId="13" xfId="0" applyFont="1" applyBorder="1" applyAlignment="1">
      <alignment horizontal="center"/>
    </xf>
    <xf numFmtId="166" fontId="18" fillId="0" borderId="2" xfId="2" applyNumberFormat="1" applyFont="1" applyBorder="1"/>
    <xf numFmtId="165" fontId="18" fillId="0" borderId="2" xfId="1" applyNumberFormat="1" applyFont="1" applyBorder="1"/>
    <xf numFmtId="165" fontId="10" fillId="0" borderId="2" xfId="1" applyNumberFormat="1" applyFont="1" applyFill="1" applyBorder="1"/>
    <xf numFmtId="0" fontId="30" fillId="0" borderId="0" xfId="3" quotePrefix="1" applyFont="1" applyAlignment="1">
      <alignment horizontal="center"/>
    </xf>
    <xf numFmtId="0" fontId="10" fillId="0" borderId="48" xfId="0" quotePrefix="1" applyFont="1" applyBorder="1" applyAlignment="1">
      <alignment horizontal="center"/>
    </xf>
    <xf numFmtId="0" fontId="11" fillId="0" borderId="42" xfId="0" applyFont="1" applyBorder="1"/>
    <xf numFmtId="0" fontId="23" fillId="0" borderId="4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1" fillId="0" borderId="38" xfId="0" applyFont="1" applyBorder="1"/>
    <xf numFmtId="0" fontId="10" fillId="0" borderId="37" xfId="0" applyFont="1" applyBorder="1"/>
    <xf numFmtId="172" fontId="11" fillId="0" borderId="36" xfId="0" applyNumberFormat="1" applyFont="1" applyBorder="1"/>
    <xf numFmtId="168" fontId="11" fillId="0" borderId="34" xfId="2" applyNumberFormat="1" applyFont="1" applyBorder="1"/>
    <xf numFmtId="168" fontId="11" fillId="0" borderId="35" xfId="2" applyNumberFormat="1" applyFont="1" applyBorder="1"/>
    <xf numFmtId="164" fontId="11" fillId="0" borderId="40" xfId="0" applyNumberFormat="1" applyFont="1" applyBorder="1"/>
    <xf numFmtId="0" fontId="10" fillId="0" borderId="34" xfId="0" applyFont="1" applyBorder="1"/>
    <xf numFmtId="0" fontId="11" fillId="0" borderId="7" xfId="0" applyFont="1" applyBorder="1" applyAlignment="1">
      <alignment horizontal="center"/>
    </xf>
    <xf numFmtId="3" fontId="11" fillId="0" borderId="0" xfId="0" applyNumberFormat="1" applyFont="1"/>
    <xf numFmtId="3" fontId="11" fillId="0" borderId="3" xfId="0" applyNumberFormat="1" applyFont="1" applyBorder="1"/>
    <xf numFmtId="165" fontId="9" fillId="0" borderId="0" xfId="1" applyNumberFormat="1" applyFont="1"/>
    <xf numFmtId="0" fontId="31" fillId="0" borderId="0" xfId="0" applyFont="1"/>
    <xf numFmtId="0" fontId="10" fillId="0" borderId="29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11" fillId="0" borderId="43" xfId="0" applyFont="1" applyBorder="1"/>
    <xf numFmtId="0" fontId="21" fillId="0" borderId="28" xfId="0" applyFont="1" applyBorder="1" applyAlignment="1">
      <alignment horizontal="left"/>
    </xf>
    <xf numFmtId="17" fontId="21" fillId="0" borderId="22" xfId="0" applyNumberFormat="1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" xfId="0" quotePrefix="1" applyFont="1" applyBorder="1" applyAlignment="1">
      <alignment horizontal="center"/>
    </xf>
    <xf numFmtId="174" fontId="11" fillId="0" borderId="5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166" fontId="10" fillId="0" borderId="3" xfId="2" applyNumberFormat="1" applyFont="1" applyFill="1" applyBorder="1"/>
    <xf numFmtId="166" fontId="10" fillId="0" borderId="4" xfId="2" applyNumberFormat="1" applyFont="1" applyFill="1" applyBorder="1"/>
    <xf numFmtId="0" fontId="11" fillId="0" borderId="0" xfId="0" applyFont="1" applyAlignment="1">
      <alignment vertical="center"/>
    </xf>
    <xf numFmtId="44" fontId="18" fillId="0" borderId="8" xfId="2" applyFont="1" applyBorder="1" applyAlignment="1">
      <alignment horizontal="center" wrapText="1"/>
    </xf>
    <xf numFmtId="44" fontId="19" fillId="0" borderId="8" xfId="2" applyFont="1" applyBorder="1"/>
    <xf numFmtId="44" fontId="19" fillId="0" borderId="2" xfId="2" applyFont="1" applyBorder="1"/>
    <xf numFmtId="165" fontId="11" fillId="0" borderId="0" xfId="1" applyNumberFormat="1" applyFont="1" applyFill="1"/>
    <xf numFmtId="3" fontId="11" fillId="0" borderId="1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0" fontId="11" fillId="0" borderId="19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3" fontId="11" fillId="0" borderId="53" xfId="0" applyNumberFormat="1" applyFont="1" applyBorder="1" applyAlignment="1">
      <alignment horizontal="right"/>
    </xf>
    <xf numFmtId="3" fontId="11" fillId="0" borderId="54" xfId="0" applyNumberFormat="1" applyFont="1" applyBorder="1" applyAlignment="1">
      <alignment horizontal="right"/>
    </xf>
    <xf numFmtId="3" fontId="11" fillId="0" borderId="55" xfId="0" applyNumberFormat="1" applyFont="1" applyBorder="1" applyAlignment="1">
      <alignment horizontal="right"/>
    </xf>
    <xf numFmtId="0" fontId="10" fillId="0" borderId="19" xfId="0" applyFont="1" applyBorder="1" applyAlignment="1">
      <alignment horizontal="left"/>
    </xf>
    <xf numFmtId="3" fontId="11" fillId="0" borderId="56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7" xfId="0" applyNumberFormat="1" applyFont="1" applyBorder="1" applyAlignment="1">
      <alignment horizontal="right"/>
    </xf>
    <xf numFmtId="0" fontId="11" fillId="0" borderId="20" xfId="0" applyFont="1" applyBorder="1"/>
    <xf numFmtId="3" fontId="11" fillId="0" borderId="12" xfId="0" applyNumberFormat="1" applyFont="1" applyBorder="1"/>
    <xf numFmtId="3" fontId="11" fillId="0" borderId="23" xfId="0" applyNumberFormat="1" applyFont="1" applyBorder="1"/>
    <xf numFmtId="0" fontId="27" fillId="0" borderId="28" xfId="0" applyFont="1" applyBorder="1"/>
    <xf numFmtId="17" fontId="21" fillId="0" borderId="19" xfId="0" applyNumberFormat="1" applyFont="1" applyBorder="1" applyAlignment="1">
      <alignment horizontal="center"/>
    </xf>
    <xf numFmtId="17" fontId="21" fillId="0" borderId="0" xfId="0" applyNumberFormat="1" applyFont="1" applyAlignment="1">
      <alignment horizontal="center"/>
    </xf>
    <xf numFmtId="0" fontId="21" fillId="0" borderId="28" xfId="0" applyFont="1" applyBorder="1"/>
    <xf numFmtId="0" fontId="11" fillId="0" borderId="19" xfId="0" applyFont="1" applyBorder="1"/>
    <xf numFmtId="3" fontId="11" fillId="0" borderId="7" xfId="0" applyNumberFormat="1" applyFont="1" applyBorder="1"/>
    <xf numFmtId="3" fontId="11" fillId="0" borderId="53" xfId="0" applyNumberFormat="1" applyFont="1" applyBorder="1"/>
    <xf numFmtId="3" fontId="11" fillId="0" borderId="54" xfId="0" applyNumberFormat="1" applyFont="1" applyBorder="1"/>
    <xf numFmtId="3" fontId="11" fillId="0" borderId="55" xfId="0" applyNumberFormat="1" applyFont="1" applyBorder="1"/>
    <xf numFmtId="0" fontId="11" fillId="0" borderId="21" xfId="0" applyFont="1" applyBorder="1"/>
    <xf numFmtId="3" fontId="11" fillId="0" borderId="59" xfId="0" applyNumberFormat="1" applyFont="1" applyBorder="1"/>
    <xf numFmtId="3" fontId="11" fillId="0" borderId="60" xfId="0" applyNumberFormat="1" applyFont="1" applyBorder="1"/>
    <xf numFmtId="166" fontId="10" fillId="0" borderId="4" xfId="0" applyNumberFormat="1" applyFont="1" applyBorder="1"/>
    <xf numFmtId="166" fontId="10" fillId="0" borderId="2" xfId="2" applyNumberFormat="1" applyFont="1" applyFill="1" applyBorder="1"/>
    <xf numFmtId="10" fontId="10" fillId="0" borderId="4" xfId="5" applyNumberFormat="1" applyFont="1" applyFill="1" applyBorder="1"/>
    <xf numFmtId="0" fontId="16" fillId="0" borderId="12" xfId="0" applyFont="1" applyBorder="1" applyAlignment="1">
      <alignment horizontal="left"/>
    </xf>
    <xf numFmtId="10" fontId="10" fillId="0" borderId="13" xfId="5" applyNumberFormat="1" applyFont="1" applyFill="1" applyBorder="1" applyAlignment="1">
      <alignment horizontal="right"/>
    </xf>
    <xf numFmtId="166" fontId="11" fillId="0" borderId="4" xfId="2" applyNumberFormat="1" applyFont="1" applyFill="1" applyBorder="1"/>
    <xf numFmtId="166" fontId="11" fillId="0" borderId="13" xfId="2" applyNumberFormat="1" applyFont="1" applyFill="1" applyBorder="1"/>
    <xf numFmtId="166" fontId="11" fillId="0" borderId="13" xfId="0" applyNumberFormat="1" applyFont="1" applyBorder="1"/>
    <xf numFmtId="0" fontId="11" fillId="0" borderId="8" xfId="0" applyFont="1" applyBorder="1" applyAlignment="1">
      <alignment horizontal="left"/>
    </xf>
    <xf numFmtId="17" fontId="12" fillId="0" borderId="8" xfId="0" applyNumberFormat="1" applyFont="1" applyBorder="1" applyAlignment="1">
      <alignment horizontal="left"/>
    </xf>
    <xf numFmtId="165" fontId="11" fillId="0" borderId="8" xfId="1" applyNumberFormat="1" applyFont="1" applyBorder="1" applyAlignment="1">
      <alignment horizontal="left"/>
    </xf>
    <xf numFmtId="165" fontId="11" fillId="0" borderId="8" xfId="1" applyNumberFormat="1" applyFont="1" applyBorder="1"/>
    <xf numFmtId="166" fontId="11" fillId="0" borderId="8" xfId="2" applyNumberFormat="1" applyFont="1" applyBorder="1"/>
    <xf numFmtId="41" fontId="18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/>
    <xf numFmtId="166" fontId="11" fillId="0" borderId="42" xfId="2" applyNumberFormat="1" applyFont="1" applyBorder="1"/>
    <xf numFmtId="166" fontId="11" fillId="0" borderId="42" xfId="2" applyNumberFormat="1" applyFont="1" applyFill="1" applyBorder="1"/>
    <xf numFmtId="166" fontId="11" fillId="0" borderId="61" xfId="2" applyNumberFormat="1" applyFont="1" applyFill="1" applyBorder="1"/>
    <xf numFmtId="0" fontId="11" fillId="0" borderId="39" xfId="0" applyFont="1" applyBorder="1"/>
    <xf numFmtId="165" fontId="11" fillId="0" borderId="9" xfId="1" applyNumberFormat="1" applyFont="1" applyBorder="1"/>
    <xf numFmtId="166" fontId="11" fillId="0" borderId="45" xfId="2" applyNumberFormat="1" applyFont="1" applyBorder="1"/>
    <xf numFmtId="0" fontId="11" fillId="0" borderId="61" xfId="0" applyFont="1" applyBorder="1"/>
    <xf numFmtId="0" fontId="11" fillId="0" borderId="62" xfId="0" applyFont="1" applyBorder="1" applyAlignment="1">
      <alignment horizontal="center"/>
    </xf>
    <xf numFmtId="38" fontId="11" fillId="0" borderId="8" xfId="0" applyNumberFormat="1" applyFont="1" applyBorder="1"/>
    <xf numFmtId="165" fontId="11" fillId="0" borderId="6" xfId="1" applyNumberFormat="1" applyFont="1" applyBorder="1"/>
    <xf numFmtId="166" fontId="11" fillId="0" borderId="63" xfId="2" applyNumberFormat="1" applyFont="1" applyBorder="1"/>
    <xf numFmtId="166" fontId="11" fillId="0" borderId="6" xfId="2" applyNumberFormat="1" applyFont="1" applyBorder="1"/>
    <xf numFmtId="37" fontId="11" fillId="0" borderId="8" xfId="0" applyNumberFormat="1" applyFont="1" applyBorder="1"/>
    <xf numFmtId="166" fontId="11" fillId="0" borderId="8" xfId="2" applyNumberFormat="1" applyFont="1" applyFill="1" applyBorder="1"/>
    <xf numFmtId="37" fontId="11" fillId="0" borderId="6" xfId="0" applyNumberFormat="1" applyFont="1" applyBorder="1"/>
    <xf numFmtId="173" fontId="11" fillId="0" borderId="6" xfId="5" applyNumberFormat="1" applyFont="1" applyFill="1" applyBorder="1"/>
    <xf numFmtId="166" fontId="11" fillId="0" borderId="6" xfId="2" applyNumberFormat="1" applyFont="1" applyFill="1" applyBorder="1"/>
    <xf numFmtId="166" fontId="11" fillId="0" borderId="52" xfId="2" applyNumberFormat="1" applyFont="1" applyBorder="1"/>
    <xf numFmtId="0" fontId="11" fillId="0" borderId="65" xfId="0" applyFont="1" applyBorder="1"/>
    <xf numFmtId="0" fontId="11" fillId="0" borderId="66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11" fillId="0" borderId="69" xfId="0" applyFont="1" applyBorder="1" applyAlignment="1">
      <alignment horizontal="center"/>
    </xf>
    <xf numFmtId="166" fontId="11" fillId="0" borderId="66" xfId="2" applyNumberFormat="1" applyFont="1" applyBorder="1"/>
    <xf numFmtId="166" fontId="11" fillId="0" borderId="67" xfId="2" applyNumberFormat="1" applyFont="1" applyFill="1" applyBorder="1"/>
    <xf numFmtId="38" fontId="11" fillId="0" borderId="66" xfId="0" applyNumberFormat="1" applyFont="1" applyBorder="1"/>
    <xf numFmtId="165" fontId="11" fillId="0" borderId="66" xfId="1" applyNumberFormat="1" applyFont="1" applyBorder="1"/>
    <xf numFmtId="165" fontId="11" fillId="0" borderId="67" xfId="1" applyNumberFormat="1" applyFont="1" applyBorder="1"/>
    <xf numFmtId="168" fontId="11" fillId="0" borderId="68" xfId="2" applyNumberFormat="1" applyFont="1" applyFill="1" applyBorder="1"/>
    <xf numFmtId="168" fontId="11" fillId="0" borderId="69" xfId="2" applyNumberFormat="1" applyFont="1" applyFill="1" applyBorder="1"/>
    <xf numFmtId="166" fontId="11" fillId="0" borderId="70" xfId="2" applyNumberFormat="1" applyFont="1" applyBorder="1"/>
    <xf numFmtId="165" fontId="11" fillId="0" borderId="68" xfId="1" applyNumberFormat="1" applyFont="1" applyBorder="1"/>
    <xf numFmtId="166" fontId="11" fillId="0" borderId="72" xfId="2" applyNumberFormat="1" applyFont="1" applyBorder="1"/>
    <xf numFmtId="166" fontId="11" fillId="0" borderId="73" xfId="2" applyNumberFormat="1" applyFont="1" applyBorder="1"/>
    <xf numFmtId="165" fontId="11" fillId="0" borderId="69" xfId="1" applyNumberFormat="1" applyFont="1" applyBorder="1"/>
    <xf numFmtId="166" fontId="11" fillId="0" borderId="67" xfId="2" applyNumberFormat="1" applyFont="1" applyBorder="1"/>
    <xf numFmtId="166" fontId="11" fillId="0" borderId="68" xfId="2" applyNumberFormat="1" applyFont="1" applyBorder="1"/>
    <xf numFmtId="37" fontId="11" fillId="0" borderId="66" xfId="0" applyNumberFormat="1" applyFont="1" applyBorder="1"/>
    <xf numFmtId="166" fontId="11" fillId="0" borderId="66" xfId="2" applyNumberFormat="1" applyFont="1" applyFill="1" applyBorder="1"/>
    <xf numFmtId="37" fontId="11" fillId="0" borderId="68" xfId="0" applyNumberFormat="1" applyFont="1" applyBorder="1"/>
    <xf numFmtId="37" fontId="11" fillId="0" borderId="69" xfId="0" applyNumberFormat="1" applyFont="1" applyBorder="1"/>
    <xf numFmtId="173" fontId="11" fillId="0" borderId="68" xfId="5" applyNumberFormat="1" applyFont="1" applyFill="1" applyBorder="1"/>
    <xf numFmtId="173" fontId="11" fillId="0" borderId="69" xfId="5" applyNumberFormat="1" applyFont="1" applyFill="1" applyBorder="1"/>
    <xf numFmtId="164" fontId="11" fillId="0" borderId="19" xfId="0" applyNumberFormat="1" applyFont="1" applyBorder="1"/>
    <xf numFmtId="0" fontId="10" fillId="0" borderId="64" xfId="0" applyFont="1" applyBorder="1"/>
    <xf numFmtId="38" fontId="11" fillId="0" borderId="67" xfId="0" applyNumberFormat="1" applyFont="1" applyBorder="1"/>
    <xf numFmtId="166" fontId="11" fillId="0" borderId="71" xfId="2" applyNumberFormat="1" applyFont="1" applyBorder="1"/>
    <xf numFmtId="165" fontId="11" fillId="0" borderId="66" xfId="1" applyNumberFormat="1" applyFont="1" applyFill="1" applyBorder="1"/>
    <xf numFmtId="166" fontId="11" fillId="0" borderId="69" xfId="2" applyNumberFormat="1" applyFont="1" applyBorder="1"/>
    <xf numFmtId="37" fontId="11" fillId="0" borderId="67" xfId="0" applyNumberFormat="1" applyFont="1" applyBorder="1"/>
    <xf numFmtId="166" fontId="11" fillId="0" borderId="77" xfId="2" applyNumberFormat="1" applyFont="1" applyBorder="1"/>
    <xf numFmtId="166" fontId="11" fillId="0" borderId="78" xfId="2" applyNumberFormat="1" applyFont="1" applyBorder="1"/>
    <xf numFmtId="166" fontId="11" fillId="0" borderId="21" xfId="2" applyNumberFormat="1" applyFont="1" applyBorder="1"/>
    <xf numFmtId="170" fontId="11" fillId="0" borderId="66" xfId="5" applyNumberFormat="1" applyFont="1" applyBorder="1"/>
    <xf numFmtId="170" fontId="11" fillId="0" borderId="67" xfId="5" applyNumberFormat="1" applyFont="1" applyBorder="1"/>
    <xf numFmtId="165" fontId="9" fillId="0" borderId="0" xfId="0" applyNumberFormat="1" applyFont="1"/>
    <xf numFmtId="0" fontId="11" fillId="0" borderId="64" xfId="0" applyFont="1" applyBorder="1" applyAlignment="1">
      <alignment horizontal="center"/>
    </xf>
    <xf numFmtId="0" fontId="9" fillId="0" borderId="43" xfId="0" applyFont="1" applyBorder="1"/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18" fillId="0" borderId="0" xfId="0" applyFont="1" applyAlignment="1">
      <alignment horizontal="left"/>
    </xf>
    <xf numFmtId="40" fontId="11" fillId="0" borderId="2" xfId="0" applyNumberFormat="1" applyFont="1" applyBorder="1"/>
    <xf numFmtId="165" fontId="10" fillId="0" borderId="13" xfId="1" applyNumberFormat="1" applyFont="1" applyFill="1" applyBorder="1"/>
    <xf numFmtId="40" fontId="10" fillId="0" borderId="0" xfId="0" applyNumberFormat="1" applyFont="1"/>
    <xf numFmtId="165" fontId="10" fillId="0" borderId="0" xfId="1" applyNumberFormat="1" applyFont="1" applyFill="1"/>
    <xf numFmtId="168" fontId="11" fillId="0" borderId="6" xfId="2" applyNumberFormat="1" applyFont="1" applyFill="1" applyBorder="1"/>
    <xf numFmtId="0" fontId="11" fillId="0" borderId="68" xfId="0" applyFont="1" applyBorder="1" applyAlignment="1">
      <alignment horizontal="center"/>
    </xf>
    <xf numFmtId="0" fontId="10" fillId="0" borderId="12" xfId="0" applyFont="1" applyBorder="1"/>
    <xf numFmtId="40" fontId="11" fillId="0" borderId="42" xfId="0" applyNumberFormat="1" applyFont="1" applyBorder="1"/>
    <xf numFmtId="40" fontId="11" fillId="0" borderId="21" xfId="0" applyNumberFormat="1" applyFont="1" applyBorder="1"/>
    <xf numFmtId="40" fontId="11" fillId="0" borderId="24" xfId="0" applyNumberFormat="1" applyFont="1" applyBorder="1"/>
    <xf numFmtId="0" fontId="10" fillId="0" borderId="28" xfId="0" applyFont="1" applyBorder="1" applyAlignment="1">
      <alignment horizontal="center" wrapText="1"/>
    </xf>
    <xf numFmtId="0" fontId="10" fillId="0" borderId="79" xfId="0" applyFont="1" applyBorder="1" applyAlignment="1">
      <alignment horizontal="center" wrapText="1"/>
    </xf>
    <xf numFmtId="0" fontId="11" fillId="0" borderId="0" xfId="0" quotePrefix="1" applyFont="1" applyAlignment="1">
      <alignment vertical="center"/>
    </xf>
    <xf numFmtId="0" fontId="11" fillId="0" borderId="0" xfId="4" quotePrefix="1" applyFont="1"/>
    <xf numFmtId="40" fontId="11" fillId="0" borderId="12" xfId="0" applyNumberFormat="1" applyFont="1" applyBorder="1"/>
    <xf numFmtId="40" fontId="11" fillId="0" borderId="13" xfId="0" applyNumberFormat="1" applyFont="1" applyBorder="1"/>
    <xf numFmtId="165" fontId="11" fillId="0" borderId="4" xfId="1" applyNumberFormat="1" applyFont="1" applyBorder="1"/>
    <xf numFmtId="165" fontId="10" fillId="0" borderId="56" xfId="1" applyNumberFormat="1" applyFont="1" applyBorder="1"/>
    <xf numFmtId="165" fontId="10" fillId="0" borderId="57" xfId="1" applyNumberFormat="1" applyFont="1" applyBorder="1"/>
    <xf numFmtId="165" fontId="11" fillId="0" borderId="57" xfId="1" applyNumberFormat="1" applyFont="1" applyBorder="1"/>
    <xf numFmtId="40" fontId="10" fillId="0" borderId="20" xfId="0" applyNumberFormat="1" applyFont="1" applyBorder="1"/>
    <xf numFmtId="0" fontId="11" fillId="0" borderId="64" xfId="0" applyFont="1" applyBorder="1"/>
    <xf numFmtId="166" fontId="11" fillId="0" borderId="69" xfId="2" applyNumberFormat="1" applyFont="1" applyFill="1" applyBorder="1"/>
    <xf numFmtId="0" fontId="11" fillId="0" borderId="31" xfId="0" applyFont="1" applyBorder="1"/>
    <xf numFmtId="166" fontId="11" fillId="0" borderId="0" xfId="2" applyNumberFormat="1" applyFont="1" applyFill="1" applyBorder="1"/>
    <xf numFmtId="166" fontId="11" fillId="0" borderId="22" xfId="2" applyNumberFormat="1" applyFont="1" applyFill="1" applyBorder="1"/>
    <xf numFmtId="165" fontId="11" fillId="0" borderId="58" xfId="1" applyNumberFormat="1" applyFont="1" applyBorder="1"/>
    <xf numFmtId="165" fontId="11" fillId="0" borderId="76" xfId="1" applyNumberFormat="1" applyFont="1" applyBorder="1"/>
    <xf numFmtId="165" fontId="11" fillId="0" borderId="7" xfId="1" applyNumberFormat="1" applyFont="1" applyBorder="1"/>
    <xf numFmtId="0" fontId="11" fillId="0" borderId="66" xfId="0" applyFont="1" applyBorder="1"/>
    <xf numFmtId="0" fontId="10" fillId="0" borderId="0" xfId="3" applyFont="1" applyAlignment="1">
      <alignment horizontal="left"/>
    </xf>
    <xf numFmtId="0" fontId="11" fillId="0" borderId="66" xfId="3" applyFont="1" applyBorder="1" applyAlignment="1">
      <alignment horizontal="center"/>
    </xf>
    <xf numFmtId="0" fontId="11" fillId="0" borderId="67" xfId="3" applyFont="1" applyBorder="1" applyAlignment="1">
      <alignment horizontal="center"/>
    </xf>
    <xf numFmtId="0" fontId="11" fillId="0" borderId="77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11" fillId="0" borderId="12" xfId="3" applyFont="1" applyBorder="1"/>
    <xf numFmtId="0" fontId="11" fillId="0" borderId="78" xfId="3" applyFont="1" applyBorder="1" applyAlignment="1">
      <alignment horizontal="center"/>
    </xf>
    <xf numFmtId="166" fontId="11" fillId="0" borderId="43" xfId="2" applyNumberFormat="1" applyFont="1" applyFill="1" applyBorder="1"/>
    <xf numFmtId="170" fontId="11" fillId="0" borderId="8" xfId="5" applyNumberFormat="1" applyFont="1" applyBorder="1"/>
    <xf numFmtId="166" fontId="11" fillId="0" borderId="61" xfId="2" applyNumberFormat="1" applyFont="1" applyBorder="1"/>
    <xf numFmtId="0" fontId="11" fillId="0" borderId="81" xfId="0" applyFont="1" applyBorder="1"/>
    <xf numFmtId="176" fontId="11" fillId="0" borderId="67" xfId="0" applyNumberFormat="1" applyFont="1" applyBorder="1"/>
    <xf numFmtId="170" fontId="11" fillId="0" borderId="0" xfId="5" applyNumberFormat="1" applyFont="1" applyBorder="1"/>
    <xf numFmtId="166" fontId="11" fillId="0" borderId="64" xfId="2" applyNumberFormat="1" applyFont="1" applyBorder="1"/>
    <xf numFmtId="166" fontId="11" fillId="0" borderId="65" xfId="2" applyNumberFormat="1" applyFont="1" applyFill="1" applyBorder="1"/>
    <xf numFmtId="0" fontId="11" fillId="0" borderId="67" xfId="0" applyFont="1" applyBorder="1"/>
    <xf numFmtId="0" fontId="11" fillId="0" borderId="22" xfId="0" applyFont="1" applyBorder="1" applyAlignment="1">
      <alignment horizontal="center"/>
    </xf>
    <xf numFmtId="166" fontId="11" fillId="0" borderId="19" xfId="2" applyNumberFormat="1" applyFont="1" applyFill="1" applyBorder="1"/>
    <xf numFmtId="0" fontId="11" fillId="0" borderId="70" xfId="0" applyFont="1" applyBorder="1"/>
    <xf numFmtId="0" fontId="11" fillId="0" borderId="71" xfId="0" applyFont="1" applyBorder="1"/>
    <xf numFmtId="0" fontId="10" fillId="0" borderId="28" xfId="0" applyFont="1" applyBorder="1"/>
    <xf numFmtId="0" fontId="22" fillId="0" borderId="29" xfId="0" applyFont="1" applyBorder="1"/>
    <xf numFmtId="0" fontId="11" fillId="0" borderId="66" xfId="0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166" fontId="10" fillId="0" borderId="2" xfId="2" applyNumberFormat="1" applyFont="1" applyFill="1" applyBorder="1" applyAlignment="1">
      <alignment vertical="top"/>
    </xf>
    <xf numFmtId="166" fontId="10" fillId="0" borderId="3" xfId="2" applyNumberFormat="1" applyFont="1" applyFill="1" applyBorder="1" applyAlignment="1">
      <alignment vertical="top"/>
    </xf>
    <xf numFmtId="0" fontId="11" fillId="0" borderId="67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43" fontId="11" fillId="0" borderId="23" xfId="1" applyFont="1" applyFill="1" applyBorder="1"/>
    <xf numFmtId="0" fontId="10" fillId="0" borderId="12" xfId="3" applyFont="1" applyBorder="1" applyAlignment="1">
      <alignment horizontal="center"/>
    </xf>
    <xf numFmtId="166" fontId="10" fillId="0" borderId="58" xfId="2" applyNumberFormat="1" applyFont="1" applyBorder="1"/>
    <xf numFmtId="166" fontId="10" fillId="0" borderId="76" xfId="2" applyNumberFormat="1" applyFont="1" applyBorder="1"/>
    <xf numFmtId="174" fontId="10" fillId="0" borderId="27" xfId="0" applyNumberFormat="1" applyFont="1" applyBorder="1" applyAlignment="1">
      <alignment horizontal="center"/>
    </xf>
    <xf numFmtId="174" fontId="10" fillId="0" borderId="47" xfId="0" applyNumberFormat="1" applyFont="1" applyBorder="1" applyAlignment="1">
      <alignment horizontal="center"/>
    </xf>
    <xf numFmtId="174" fontId="10" fillId="0" borderId="25" xfId="0" applyNumberFormat="1" applyFont="1" applyBorder="1" applyAlignment="1">
      <alignment horizontal="center"/>
    </xf>
    <xf numFmtId="174" fontId="10" fillId="0" borderId="26" xfId="0" applyNumberFormat="1" applyFont="1" applyBorder="1" applyAlignment="1">
      <alignment horizontal="center"/>
    </xf>
    <xf numFmtId="174" fontId="10" fillId="0" borderId="2" xfId="0" applyNumberFormat="1" applyFont="1" applyBorder="1" applyAlignment="1">
      <alignment horizontal="center"/>
    </xf>
    <xf numFmtId="174" fontId="10" fillId="0" borderId="19" xfId="0" applyNumberFormat="1" applyFont="1" applyBorder="1" applyAlignment="1">
      <alignment horizontal="center"/>
    </xf>
    <xf numFmtId="0" fontId="11" fillId="0" borderId="0" xfId="0" applyFont="1" applyAlignment="1">
      <alignment vertical="top"/>
    </xf>
    <xf numFmtId="165" fontId="7" fillId="0" borderId="0" xfId="0" applyNumberFormat="1" applyFont="1"/>
    <xf numFmtId="40" fontId="7" fillId="0" borderId="0" xfId="0" applyNumberFormat="1" applyFont="1"/>
    <xf numFmtId="0" fontId="11" fillId="0" borderId="28" xfId="0" applyFont="1" applyBorder="1" applyAlignment="1">
      <alignment vertical="top"/>
    </xf>
    <xf numFmtId="166" fontId="10" fillId="0" borderId="19" xfId="2" applyNumberFormat="1" applyFont="1" applyFill="1" applyBorder="1" applyAlignment="1">
      <alignment vertical="top"/>
    </xf>
    <xf numFmtId="166" fontId="10" fillId="0" borderId="22" xfId="2" applyNumberFormat="1" applyFont="1" applyFill="1" applyBorder="1" applyAlignment="1">
      <alignment vertical="top"/>
    </xf>
    <xf numFmtId="166" fontId="11" fillId="0" borderId="2" xfId="2" applyNumberFormat="1" applyFont="1" applyFill="1" applyBorder="1" applyAlignment="1">
      <alignment vertical="top"/>
    </xf>
    <xf numFmtId="44" fontId="18" fillId="0" borderId="8" xfId="2" applyFont="1" applyBorder="1" applyAlignment="1">
      <alignment horizontal="center" vertical="top" wrapText="1"/>
    </xf>
    <xf numFmtId="165" fontId="10" fillId="0" borderId="66" xfId="1" applyNumberFormat="1" applyFont="1" applyFill="1" applyBorder="1"/>
    <xf numFmtId="171" fontId="10" fillId="0" borderId="79" xfId="0" applyNumberFormat="1" applyFont="1" applyBorder="1" applyAlignment="1">
      <alignment horizontal="center"/>
    </xf>
    <xf numFmtId="0" fontId="30" fillId="0" borderId="0" xfId="0" applyFont="1" applyAlignment="1">
      <alignment horizontal="center" vertical="top"/>
    </xf>
    <xf numFmtId="42" fontId="11" fillId="0" borderId="0" xfId="0" applyNumberFormat="1" applyFont="1" applyAlignment="1">
      <alignment horizontal="centerContinuous" vertical="justify"/>
    </xf>
    <xf numFmtId="10" fontId="11" fillId="0" borderId="0" xfId="5" applyNumberFormat="1" applyFont="1" applyBorder="1" applyAlignment="1">
      <alignment horizontal="centerContinuous" vertical="justify"/>
    </xf>
    <xf numFmtId="168" fontId="11" fillId="0" borderId="2" xfId="2" applyNumberFormat="1" applyFont="1" applyBorder="1"/>
    <xf numFmtId="0" fontId="21" fillId="0" borderId="2" xfId="0" applyFont="1" applyBorder="1" applyAlignment="1">
      <alignment horizontal="left"/>
    </xf>
    <xf numFmtId="42" fontId="11" fillId="0" borderId="4" xfId="0" applyNumberFormat="1" applyFont="1" applyBorder="1"/>
    <xf numFmtId="10" fontId="11" fillId="0" borderId="4" xfId="5" applyNumberFormat="1" applyFont="1" applyBorder="1"/>
    <xf numFmtId="42" fontId="11" fillId="0" borderId="2" xfId="0" applyNumberFormat="1" applyFont="1" applyBorder="1"/>
    <xf numFmtId="42" fontId="11" fillId="0" borderId="2" xfId="0" applyNumberFormat="1" applyFont="1" applyBorder="1" applyAlignment="1">
      <alignment horizontal="center"/>
    </xf>
    <xf numFmtId="0" fontId="21" fillId="0" borderId="0" xfId="0" applyFont="1"/>
    <xf numFmtId="168" fontId="11" fillId="0" borderId="0" xfId="2" applyNumberFormat="1" applyFont="1"/>
    <xf numFmtId="166" fontId="11" fillId="0" borderId="2" xfId="2" applyNumberFormat="1" applyFont="1" applyFill="1" applyBorder="1" applyAlignment="1">
      <alignment horizontal="left"/>
    </xf>
    <xf numFmtId="165" fontId="21" fillId="0" borderId="2" xfId="1" applyNumberFormat="1" applyFont="1" applyFill="1" applyBorder="1" applyAlignment="1">
      <alignment horizontal="left"/>
    </xf>
    <xf numFmtId="166" fontId="11" fillId="0" borderId="4" xfId="2" applyNumberFormat="1" applyFont="1" applyFill="1" applyBorder="1" applyAlignment="1">
      <alignment horizontal="left"/>
    </xf>
    <xf numFmtId="0" fontId="12" fillId="0" borderId="0" xfId="0" applyFont="1"/>
    <xf numFmtId="166" fontId="12" fillId="0" borderId="0" xfId="0" applyNumberFormat="1" applyFont="1"/>
    <xf numFmtId="0" fontId="33" fillId="0" borderId="0" xfId="0" applyFont="1"/>
    <xf numFmtId="165" fontId="11" fillId="0" borderId="2" xfId="1" applyNumberFormat="1" applyFont="1" applyFill="1" applyBorder="1" applyAlignment="1">
      <alignment horizontal="left"/>
    </xf>
    <xf numFmtId="165" fontId="18" fillId="0" borderId="2" xfId="1" applyNumberFormat="1" applyFont="1" applyFill="1" applyBorder="1" applyAlignment="1">
      <alignment horizontal="center"/>
    </xf>
    <xf numFmtId="165" fontId="29" fillId="0" borderId="2" xfId="1" applyNumberFormat="1" applyFont="1" applyFill="1" applyBorder="1" applyAlignment="1">
      <alignment horizontal="center"/>
    </xf>
    <xf numFmtId="165" fontId="18" fillId="0" borderId="2" xfId="1" applyNumberFormat="1" applyFont="1" applyBorder="1" applyAlignment="1">
      <alignment horizontal="center"/>
    </xf>
    <xf numFmtId="168" fontId="11" fillId="0" borderId="2" xfId="2" applyNumberFormat="1" applyFont="1" applyBorder="1" applyAlignment="1">
      <alignment horizontal="center"/>
    </xf>
    <xf numFmtId="0" fontId="11" fillId="0" borderId="13" xfId="0" applyFont="1" applyBorder="1" applyAlignment="1">
      <alignment horizontal="centerContinuous" vertical="justify"/>
    </xf>
    <xf numFmtId="165" fontId="11" fillId="0" borderId="2" xfId="1" applyNumberFormat="1" applyFont="1" applyFill="1" applyBorder="1" applyAlignment="1">
      <alignment horizontal="center"/>
    </xf>
    <xf numFmtId="166" fontId="11" fillId="0" borderId="2" xfId="2" applyNumberFormat="1" applyFont="1" applyFill="1" applyBorder="1" applyAlignment="1">
      <alignment horizontal="center"/>
    </xf>
    <xf numFmtId="0" fontId="11" fillId="0" borderId="78" xfId="0" applyFont="1" applyBorder="1"/>
    <xf numFmtId="165" fontId="21" fillId="0" borderId="2" xfId="1" applyNumberFormat="1" applyFont="1" applyFill="1" applyBorder="1" applyAlignment="1">
      <alignment horizontal="center"/>
    </xf>
    <xf numFmtId="0" fontId="12" fillId="0" borderId="42" xfId="0" applyFont="1" applyBorder="1"/>
    <xf numFmtId="168" fontId="18" fillId="0" borderId="2" xfId="2" applyNumberFormat="1" applyFont="1" applyBorder="1" applyAlignment="1">
      <alignment horizontal="center"/>
    </xf>
    <xf numFmtId="168" fontId="18" fillId="0" borderId="13" xfId="2" applyNumberFormat="1" applyFont="1" applyBorder="1" applyAlignment="1">
      <alignment horizontal="center"/>
    </xf>
    <xf numFmtId="0" fontId="11" fillId="0" borderId="45" xfId="0" applyFont="1" applyBorder="1" applyAlignment="1">
      <alignment horizontal="centerContinuous" vertical="justify"/>
    </xf>
    <xf numFmtId="166" fontId="10" fillId="0" borderId="13" xfId="2" applyNumberFormat="1" applyFont="1" applyFill="1" applyBorder="1"/>
    <xf numFmtId="0" fontId="14" fillId="0" borderId="0" xfId="0" applyFont="1" applyAlignment="1">
      <alignment horizontal="center"/>
    </xf>
    <xf numFmtId="166" fontId="11" fillId="0" borderId="18" xfId="2" applyNumberFormat="1" applyFont="1" applyBorder="1"/>
    <xf numFmtId="0" fontId="10" fillId="0" borderId="0" xfId="3" quotePrefix="1" applyFont="1" applyAlignment="1">
      <alignment horizontal="center"/>
    </xf>
    <xf numFmtId="0" fontId="21" fillId="0" borderId="39" xfId="0" applyFont="1" applyBorder="1" applyAlignment="1">
      <alignment horizontal="center"/>
    </xf>
    <xf numFmtId="0" fontId="34" fillId="0" borderId="0" xfId="0" applyFont="1" applyAlignment="1">
      <alignment horizontal="centerContinuous" vertical="justify"/>
    </xf>
    <xf numFmtId="3" fontId="10" fillId="0" borderId="0" xfId="0" applyNumberFormat="1" applyFont="1" applyAlignment="1">
      <alignment horizontal="centerContinuous" vertical="justify"/>
    </xf>
    <xf numFmtId="0" fontId="11" fillId="0" borderId="1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70" fontId="11" fillId="0" borderId="2" xfId="5" applyNumberFormat="1" applyFont="1" applyFill="1" applyBorder="1"/>
    <xf numFmtId="170" fontId="11" fillId="0" borderId="8" xfId="5" applyNumberFormat="1" applyFont="1" applyFill="1" applyBorder="1"/>
    <xf numFmtId="170" fontId="11" fillId="0" borderId="3" xfId="5" applyNumberFormat="1" applyFont="1" applyFill="1" applyBorder="1"/>
    <xf numFmtId="170" fontId="11" fillId="0" borderId="6" xfId="5" applyNumberFormat="1" applyFont="1" applyFill="1" applyBorder="1"/>
    <xf numFmtId="170" fontId="11" fillId="0" borderId="7" xfId="5" applyNumberFormat="1" applyFont="1" applyBorder="1"/>
    <xf numFmtId="170" fontId="11" fillId="0" borderId="68" xfId="5" applyNumberFormat="1" applyFont="1" applyBorder="1"/>
    <xf numFmtId="170" fontId="11" fillId="0" borderId="6" xfId="5" applyNumberFormat="1" applyFont="1" applyBorder="1"/>
    <xf numFmtId="170" fontId="11" fillId="0" borderId="69" xfId="5" applyNumberFormat="1" applyFont="1" applyBorder="1"/>
    <xf numFmtId="170" fontId="11" fillId="0" borderId="3" xfId="5" applyNumberFormat="1" applyFont="1" applyBorder="1"/>
    <xf numFmtId="0" fontId="11" fillId="0" borderId="9" xfId="4" applyFont="1" applyBorder="1" applyAlignment="1">
      <alignment horizontal="center" wrapText="1"/>
    </xf>
    <xf numFmtId="0" fontId="11" fillId="0" borderId="9" xfId="3" applyFont="1" applyBorder="1" applyAlignment="1">
      <alignment horizontal="center" wrapText="1"/>
    </xf>
    <xf numFmtId="10" fontId="11" fillId="0" borderId="67" xfId="5" applyNumberFormat="1" applyFont="1" applyBorder="1"/>
    <xf numFmtId="10" fontId="11" fillId="0" borderId="66" xfId="5" applyNumberFormat="1" applyFont="1" applyBorder="1"/>
    <xf numFmtId="10" fontId="11" fillId="0" borderId="0" xfId="5" applyNumberFormat="1" applyFont="1" applyBorder="1"/>
    <xf numFmtId="10" fontId="11" fillId="0" borderId="66" xfId="5" applyNumberFormat="1" applyFont="1" applyFill="1" applyBorder="1"/>
    <xf numFmtId="10" fontId="11" fillId="0" borderId="2" xfId="5" applyNumberFormat="1" applyFont="1" applyFill="1" applyBorder="1"/>
    <xf numFmtId="10" fontId="11" fillId="0" borderId="67" xfId="5" applyNumberFormat="1" applyFont="1" applyFill="1" applyBorder="1"/>
    <xf numFmtId="3" fontId="11" fillId="0" borderId="17" xfId="0" applyNumberFormat="1" applyFont="1" applyBorder="1"/>
    <xf numFmtId="166" fontId="11" fillId="0" borderId="6" xfId="0" applyNumberFormat="1" applyFont="1" applyBorder="1" applyAlignment="1">
      <alignment horizontal="left"/>
    </xf>
    <xf numFmtId="165" fontId="11" fillId="0" borderId="6" xfId="1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166" fontId="11" fillId="0" borderId="8" xfId="0" applyNumberFormat="1" applyFont="1" applyBorder="1"/>
    <xf numFmtId="44" fontId="11" fillId="0" borderId="8" xfId="0" applyNumberFormat="1" applyFont="1" applyBorder="1"/>
    <xf numFmtId="44" fontId="11" fillId="0" borderId="8" xfId="2" applyFont="1" applyBorder="1"/>
    <xf numFmtId="165" fontId="11" fillId="0" borderId="6" xfId="1" applyNumberFormat="1" applyFont="1" applyFill="1" applyBorder="1"/>
    <xf numFmtId="166" fontId="11" fillId="0" borderId="8" xfId="2" applyNumberFormat="1" applyFont="1" applyFill="1" applyBorder="1" applyAlignment="1">
      <alignment vertical="top"/>
    </xf>
    <xf numFmtId="167" fontId="11" fillId="0" borderId="18" xfId="2" applyNumberFormat="1" applyFont="1" applyBorder="1"/>
    <xf numFmtId="0" fontId="11" fillId="0" borderId="2" xfId="0" applyFont="1" applyBorder="1" applyAlignment="1">
      <alignment horizontal="right"/>
    </xf>
    <xf numFmtId="40" fontId="11" fillId="0" borderId="20" xfId="0" applyNumberFormat="1" applyFont="1" applyBorder="1"/>
    <xf numFmtId="40" fontId="11" fillId="0" borderId="23" xfId="0" applyNumberFormat="1" applyFont="1" applyBorder="1"/>
    <xf numFmtId="40" fontId="11" fillId="0" borderId="29" xfId="0" applyNumberFormat="1" applyFont="1" applyBorder="1"/>
    <xf numFmtId="0" fontId="15" fillId="0" borderId="0" xfId="0" applyFont="1"/>
    <xf numFmtId="0" fontId="11" fillId="0" borderId="19" xfId="3" applyFont="1" applyBorder="1" applyAlignment="1">
      <alignment horizontal="center" wrapText="1"/>
    </xf>
    <xf numFmtId="0" fontId="11" fillId="0" borderId="67" xfId="3" applyFont="1" applyBorder="1" applyAlignment="1">
      <alignment horizontal="center" wrapText="1"/>
    </xf>
    <xf numFmtId="0" fontId="10" fillId="0" borderId="42" xfId="0" applyFont="1" applyBorder="1" applyAlignment="1">
      <alignment horizontal="center"/>
    </xf>
    <xf numFmtId="0" fontId="9" fillId="0" borderId="9" xfId="0" applyFont="1" applyBorder="1"/>
    <xf numFmtId="0" fontId="8" fillId="0" borderId="43" xfId="0" applyFont="1" applyBorder="1" applyAlignment="1">
      <alignment horizontal="center"/>
    </xf>
    <xf numFmtId="0" fontId="9" fillId="0" borderId="49" xfId="0" applyFont="1" applyBorder="1"/>
    <xf numFmtId="0" fontId="11" fillId="0" borderId="24" xfId="0" applyFont="1" applyBorder="1" applyAlignment="1">
      <alignment horizontal="center"/>
    </xf>
    <xf numFmtId="177" fontId="11" fillId="0" borderId="0" xfId="0" applyNumberFormat="1" applyFont="1" applyAlignment="1">
      <alignment horizontal="left"/>
    </xf>
    <xf numFmtId="0" fontId="10" fillId="0" borderId="26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/>
    </xf>
    <xf numFmtId="171" fontId="10" fillId="0" borderId="28" xfId="0" applyNumberFormat="1" applyFont="1" applyBorder="1" applyAlignment="1">
      <alignment horizontal="center"/>
    </xf>
    <xf numFmtId="166" fontId="11" fillId="0" borderId="28" xfId="2" applyNumberFormat="1" applyFont="1" applyFill="1" applyBorder="1"/>
    <xf numFmtId="0" fontId="11" fillId="0" borderId="0" xfId="0" applyFont="1" applyAlignment="1">
      <alignment horizontal="centerContinuous" vertical="top"/>
    </xf>
    <xf numFmtId="166" fontId="11" fillId="4" borderId="10" xfId="2" applyNumberFormat="1" applyFont="1" applyFill="1" applyBorder="1"/>
    <xf numFmtId="0" fontId="12" fillId="0" borderId="0" xfId="0" applyFont="1" applyAlignment="1">
      <alignment horizontal="center"/>
    </xf>
    <xf numFmtId="44" fontId="11" fillId="0" borderId="0" xfId="0" applyNumberFormat="1" applyFont="1"/>
    <xf numFmtId="0" fontId="11" fillId="4" borderId="0" xfId="0" applyFont="1" applyFill="1"/>
    <xf numFmtId="0" fontId="10" fillId="0" borderId="13" xfId="0" applyFont="1" applyBorder="1"/>
    <xf numFmtId="165" fontId="11" fillId="0" borderId="0" xfId="0" applyNumberFormat="1" applyFont="1"/>
    <xf numFmtId="166" fontId="10" fillId="4" borderId="10" xfId="0" applyNumberFormat="1" applyFont="1" applyFill="1" applyBorder="1"/>
    <xf numFmtId="165" fontId="11" fillId="0" borderId="4" xfId="1" applyNumberFormat="1" applyFont="1" applyFill="1" applyBorder="1" applyAlignment="1">
      <alignment horizontal="left"/>
    </xf>
    <xf numFmtId="165" fontId="11" fillId="0" borderId="1" xfId="1" applyNumberFormat="1" applyFont="1" applyFill="1" applyBorder="1"/>
    <xf numFmtId="44" fontId="11" fillId="0" borderId="2" xfId="0" applyNumberFormat="1" applyFont="1" applyBorder="1"/>
    <xf numFmtId="17" fontId="11" fillId="0" borderId="2" xfId="0" applyNumberFormat="1" applyFont="1" applyBorder="1" applyAlignment="1">
      <alignment horizontal="center"/>
    </xf>
    <xf numFmtId="17" fontId="11" fillId="0" borderId="2" xfId="0" applyNumberFormat="1" applyFont="1" applyBorder="1"/>
    <xf numFmtId="168" fontId="11" fillId="0" borderId="18" xfId="2" applyNumberFormat="1" applyFont="1" applyFill="1" applyBorder="1"/>
    <xf numFmtId="0" fontId="11" fillId="0" borderId="2" xfId="0" applyFont="1" applyBorder="1" applyAlignment="1">
      <alignment horizontal="left" vertical="top"/>
    </xf>
    <xf numFmtId="165" fontId="11" fillId="0" borderId="7" xfId="1" applyNumberFormat="1" applyFont="1" applyFill="1" applyBorder="1"/>
    <xf numFmtId="165" fontId="11" fillId="0" borderId="92" xfId="1" applyNumberFormat="1" applyFont="1" applyFill="1" applyBorder="1"/>
    <xf numFmtId="165" fontId="11" fillId="0" borderId="91" xfId="1" applyNumberFormat="1" applyFont="1" applyFill="1" applyBorder="1"/>
    <xf numFmtId="165" fontId="11" fillId="0" borderId="15" xfId="1" applyNumberFormat="1" applyFont="1" applyFill="1" applyBorder="1"/>
    <xf numFmtId="166" fontId="10" fillId="0" borderId="17" xfId="2" applyNumberFormat="1" applyFont="1" applyFill="1" applyBorder="1"/>
    <xf numFmtId="165" fontId="11" fillId="0" borderId="31" xfId="1" applyNumberFormat="1" applyFont="1" applyFill="1" applyBorder="1"/>
    <xf numFmtId="166" fontId="10" fillId="0" borderId="30" xfId="2" applyNumberFormat="1" applyFont="1" applyFill="1" applyBorder="1"/>
    <xf numFmtId="166" fontId="10" fillId="0" borderId="56" xfId="2" applyNumberFormat="1" applyFont="1" applyFill="1" applyBorder="1"/>
    <xf numFmtId="166" fontId="10" fillId="0" borderId="57" xfId="2" applyNumberFormat="1" applyFont="1" applyFill="1" applyBorder="1"/>
    <xf numFmtId="0" fontId="22" fillId="0" borderId="39" xfId="0" applyFont="1" applyBorder="1"/>
    <xf numFmtId="37" fontId="11" fillId="0" borderId="2" xfId="0" applyNumberFormat="1" applyFont="1" applyBorder="1" applyAlignment="1">
      <alignment horizontal="right"/>
    </xf>
    <xf numFmtId="17" fontId="11" fillId="0" borderId="1" xfId="0" applyNumberFormat="1" applyFont="1" applyBorder="1" applyAlignment="1">
      <alignment horizontal="right"/>
    </xf>
    <xf numFmtId="37" fontId="11" fillId="0" borderId="3" xfId="0" applyNumberFormat="1" applyFont="1" applyBorder="1" applyAlignment="1">
      <alignment horizontal="right"/>
    </xf>
    <xf numFmtId="37" fontId="11" fillId="0" borderId="0" xfId="0" applyNumberFormat="1" applyFont="1" applyAlignment="1">
      <alignment horizontal="right"/>
    </xf>
    <xf numFmtId="0" fontId="11" fillId="0" borderId="5" xfId="0" applyFont="1" applyBorder="1" applyAlignment="1">
      <alignment horizontal="center"/>
    </xf>
    <xf numFmtId="37" fontId="11" fillId="0" borderId="7" xfId="0" applyNumberFormat="1" applyFont="1" applyBorder="1" applyAlignment="1">
      <alignment horizontal="right"/>
    </xf>
    <xf numFmtId="41" fontId="11" fillId="0" borderId="3" xfId="0" applyNumberFormat="1" applyFont="1" applyBorder="1" applyAlignment="1">
      <alignment horizontal="center"/>
    </xf>
    <xf numFmtId="37" fontId="11" fillId="0" borderId="4" xfId="0" applyNumberFormat="1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37" fontId="11" fillId="0" borderId="1" xfId="0" applyNumberFormat="1" applyFont="1" applyBorder="1" applyAlignment="1">
      <alignment horizontal="right"/>
    </xf>
    <xf numFmtId="41" fontId="11" fillId="0" borderId="8" xfId="0" applyNumberFormat="1" applyFont="1" applyBorder="1"/>
    <xf numFmtId="41" fontId="11" fillId="0" borderId="6" xfId="0" applyNumberFormat="1" applyFont="1" applyBorder="1"/>
    <xf numFmtId="41" fontId="11" fillId="0" borderId="11" xfId="0" applyNumberFormat="1" applyFont="1" applyBorder="1"/>
    <xf numFmtId="41" fontId="11" fillId="0" borderId="16" xfId="0" applyNumberFormat="1" applyFont="1" applyBorder="1"/>
    <xf numFmtId="41" fontId="11" fillId="0" borderId="8" xfId="0" applyNumberFormat="1" applyFont="1" applyBorder="1" applyAlignment="1">
      <alignment horizontal="center"/>
    </xf>
    <xf numFmtId="179" fontId="11" fillId="0" borderId="11" xfId="0" applyNumberFormat="1" applyFont="1" applyBorder="1"/>
    <xf numFmtId="166" fontId="11" fillId="0" borderId="18" xfId="2" applyNumberFormat="1" applyFont="1" applyFill="1" applyBorder="1"/>
    <xf numFmtId="0" fontId="35" fillId="0" borderId="0" xfId="0" applyFont="1" applyAlignment="1">
      <alignment horizontal="left"/>
    </xf>
    <xf numFmtId="0" fontId="11" fillId="0" borderId="8" xfId="0" applyFont="1" applyBorder="1" applyAlignment="1">
      <alignment horizontal="center" wrapText="1"/>
    </xf>
    <xf numFmtId="0" fontId="13" fillId="0" borderId="0" xfId="0" applyFont="1" applyAlignment="1">
      <alignment horizontal="right"/>
    </xf>
    <xf numFmtId="166" fontId="11" fillId="0" borderId="54" xfId="2" applyNumberFormat="1" applyFont="1" applyFill="1" applyBorder="1"/>
    <xf numFmtId="166" fontId="11" fillId="0" borderId="4" xfId="2" applyNumberFormat="1" applyFont="1" applyFill="1" applyBorder="1" applyAlignment="1">
      <alignment horizontal="center"/>
    </xf>
    <xf numFmtId="166" fontId="11" fillId="0" borderId="3" xfId="2" applyNumberFormat="1" applyFont="1" applyFill="1" applyBorder="1" applyAlignment="1">
      <alignment horizontal="center"/>
    </xf>
    <xf numFmtId="166" fontId="10" fillId="0" borderId="74" xfId="2" applyNumberFormat="1" applyFont="1" applyBorder="1"/>
    <xf numFmtId="0" fontId="11" fillId="0" borderId="0" xfId="0" applyFont="1" applyAlignment="1">
      <alignment vertical="justify"/>
    </xf>
    <xf numFmtId="0" fontId="11" fillId="0" borderId="0" xfId="0" applyFont="1" applyAlignment="1">
      <alignment horizontal="center" vertical="justify"/>
    </xf>
    <xf numFmtId="3" fontId="11" fillId="0" borderId="0" xfId="0" applyNumberFormat="1" applyFont="1" applyAlignment="1">
      <alignment horizontal="center" vertical="justify"/>
    </xf>
    <xf numFmtId="166" fontId="11" fillId="0" borderId="3" xfId="2" applyNumberFormat="1" applyFont="1" applyFill="1" applyBorder="1" applyAlignment="1">
      <alignment horizontal="left"/>
    </xf>
    <xf numFmtId="0" fontId="14" fillId="0" borderId="0" xfId="0" quotePrefix="1" applyFont="1" applyAlignment="1">
      <alignment horizontal="right"/>
    </xf>
    <xf numFmtId="166" fontId="11" fillId="0" borderId="17" xfId="2" applyNumberFormat="1" applyFont="1" applyFill="1" applyBorder="1"/>
    <xf numFmtId="10" fontId="11" fillId="0" borderId="8" xfId="5" applyNumberFormat="1" applyFont="1" applyBorder="1"/>
    <xf numFmtId="166" fontId="11" fillId="0" borderId="63" xfId="2" applyNumberFormat="1" applyFont="1" applyFill="1" applyBorder="1"/>
    <xf numFmtId="166" fontId="11" fillId="0" borderId="73" xfId="2" applyNumberFormat="1" applyFont="1" applyFill="1" applyBorder="1"/>
    <xf numFmtId="40" fontId="11" fillId="0" borderId="22" xfId="0" applyNumberFormat="1" applyFont="1" applyBorder="1"/>
    <xf numFmtId="40" fontId="11" fillId="0" borderId="19" xfId="0" applyNumberFormat="1" applyFont="1" applyBorder="1"/>
    <xf numFmtId="166" fontId="10" fillId="0" borderId="18" xfId="2" applyNumberFormat="1" applyFont="1" applyBorder="1"/>
    <xf numFmtId="165" fontId="11" fillId="0" borderId="8" xfId="1" applyNumberFormat="1" applyFont="1" applyFill="1" applyBorder="1"/>
    <xf numFmtId="0" fontId="7" fillId="0" borderId="0" xfId="0" applyFont="1" applyAlignment="1">
      <alignment vertical="center"/>
    </xf>
    <xf numFmtId="10" fontId="11" fillId="0" borderId="34" xfId="5" applyNumberFormat="1" applyFont="1" applyBorder="1"/>
    <xf numFmtId="10" fontId="11" fillId="0" borderId="51" xfId="0" applyNumberFormat="1" applyFont="1" applyBorder="1"/>
    <xf numFmtId="10" fontId="11" fillId="0" borderId="44" xfId="0" applyNumberFormat="1" applyFont="1" applyBorder="1"/>
    <xf numFmtId="10" fontId="11" fillId="0" borderId="84" xfId="0" applyNumberFormat="1" applyFont="1" applyBorder="1"/>
    <xf numFmtId="10" fontId="11" fillId="0" borderId="82" xfId="0" applyNumberFormat="1" applyFont="1" applyBorder="1"/>
    <xf numFmtId="10" fontId="11" fillId="0" borderId="85" xfId="0" applyNumberFormat="1" applyFont="1" applyBorder="1"/>
    <xf numFmtId="174" fontId="10" fillId="0" borderId="0" xfId="0" applyNumberFormat="1" applyFont="1" applyAlignment="1">
      <alignment horizontal="center"/>
    </xf>
    <xf numFmtId="174" fontId="10" fillId="0" borderId="79" xfId="0" applyNumberFormat="1" applyFont="1" applyBorder="1" applyAlignment="1">
      <alignment horizontal="center"/>
    </xf>
    <xf numFmtId="181" fontId="11" fillId="0" borderId="4" xfId="0" applyNumberFormat="1" applyFont="1" applyBorder="1"/>
    <xf numFmtId="17" fontId="11" fillId="0" borderId="9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2" xfId="0" applyFont="1" applyBorder="1"/>
    <xf numFmtId="0" fontId="10" fillId="0" borderId="42" xfId="0" quotePrefix="1" applyFont="1" applyBorder="1" applyAlignment="1">
      <alignment horizontal="center"/>
    </xf>
    <xf numFmtId="0" fontId="10" fillId="0" borderId="65" xfId="0" applyFont="1" applyBorder="1"/>
    <xf numFmtId="0" fontId="10" fillId="0" borderId="66" xfId="0" applyFont="1" applyBorder="1"/>
    <xf numFmtId="0" fontId="10" fillId="0" borderId="67" xfId="0" applyFont="1" applyBorder="1"/>
    <xf numFmtId="0" fontId="10" fillId="0" borderId="66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11" fillId="0" borderId="32" xfId="0" applyFont="1" applyBorder="1"/>
    <xf numFmtId="0" fontId="11" fillId="0" borderId="86" xfId="0" applyFont="1" applyBorder="1"/>
    <xf numFmtId="0" fontId="10" fillId="0" borderId="61" xfId="0" quotePrefix="1" applyFont="1" applyBorder="1" applyAlignment="1">
      <alignment horizontal="center"/>
    </xf>
    <xf numFmtId="0" fontId="11" fillId="0" borderId="52" xfId="0" applyFont="1" applyBorder="1"/>
    <xf numFmtId="0" fontId="10" fillId="0" borderId="64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10" fillId="0" borderId="48" xfId="0" applyFont="1" applyBorder="1" applyAlignment="1">
      <alignment horizontal="center" vertical="justify"/>
    </xf>
    <xf numFmtId="0" fontId="11" fillId="0" borderId="45" xfId="0" applyFont="1" applyBorder="1"/>
    <xf numFmtId="166" fontId="11" fillId="0" borderId="94" xfId="2" applyNumberFormat="1" applyFont="1" applyBorder="1"/>
    <xf numFmtId="166" fontId="11" fillId="0" borderId="83" xfId="2" applyNumberFormat="1" applyFont="1" applyBorder="1"/>
    <xf numFmtId="0" fontId="11" fillId="0" borderId="82" xfId="0" applyFont="1" applyBorder="1"/>
    <xf numFmtId="0" fontId="10" fillId="0" borderId="87" xfId="0" quotePrefix="1" applyFont="1" applyBorder="1" applyAlignment="1">
      <alignment horizontal="centerContinuous" vertical="justify"/>
    </xf>
    <xf numFmtId="0" fontId="10" fillId="0" borderId="48" xfId="0" quotePrefix="1" applyFont="1" applyBorder="1" applyAlignment="1">
      <alignment horizontal="centerContinuous" vertical="justify"/>
    </xf>
    <xf numFmtId="17" fontId="10" fillId="0" borderId="9" xfId="0" applyNumberFormat="1" applyFont="1" applyBorder="1" applyAlignment="1">
      <alignment horizontal="centerContinuous" vertical="justify"/>
    </xf>
    <xf numFmtId="17" fontId="10" fillId="0" borderId="2" xfId="0" applyNumberFormat="1" applyFont="1" applyBorder="1" applyAlignment="1">
      <alignment horizontal="center" vertical="justify"/>
    </xf>
    <xf numFmtId="0" fontId="10" fillId="0" borderId="77" xfId="0" applyFont="1" applyBorder="1" applyAlignment="1">
      <alignment horizontal="center"/>
    </xf>
    <xf numFmtId="0" fontId="10" fillId="0" borderId="78" xfId="0" applyFont="1" applyBorder="1" applyAlignment="1">
      <alignment horizontal="center"/>
    </xf>
    <xf numFmtId="0" fontId="10" fillId="0" borderId="13" xfId="0" quotePrefix="1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" xfId="0" quotePrefix="1" applyFont="1" applyBorder="1" applyAlignment="1">
      <alignment horizontal="centerContinuous" vertical="justify"/>
    </xf>
    <xf numFmtId="17" fontId="10" fillId="0" borderId="2" xfId="0" applyNumberFormat="1" applyFont="1" applyBorder="1" applyAlignment="1">
      <alignment horizontal="centerContinuous" vertical="justify"/>
    </xf>
    <xf numFmtId="0" fontId="10" fillId="0" borderId="5" xfId="0" quotePrefix="1" applyFont="1" applyBorder="1" applyAlignment="1">
      <alignment horizontal="centerContinuous" vertical="justify"/>
    </xf>
    <xf numFmtId="0" fontId="11" fillId="0" borderId="77" xfId="0" applyFont="1" applyBorder="1"/>
    <xf numFmtId="0" fontId="11" fillId="0" borderId="5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0" borderId="12" xfId="0" applyFont="1" applyBorder="1" applyAlignment="1">
      <alignment horizontal="centerContinuous" vertical="justify"/>
    </xf>
    <xf numFmtId="0" fontId="8" fillId="0" borderId="12" xfId="0" applyFont="1" applyBorder="1" applyAlignment="1">
      <alignment horizontal="centerContinuous" vertical="justify"/>
    </xf>
    <xf numFmtId="0" fontId="10" fillId="0" borderId="52" xfId="0" applyFont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Continuous" vertical="justify"/>
    </xf>
    <xf numFmtId="0" fontId="10" fillId="2" borderId="2" xfId="0" applyFont="1" applyFill="1" applyBorder="1" applyAlignment="1">
      <alignment horizontal="centerContinuous" vertical="justify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0" borderId="42" xfId="0" applyFont="1" applyBorder="1" applyAlignment="1">
      <alignment horizontal="left"/>
    </xf>
    <xf numFmtId="0" fontId="19" fillId="0" borderId="88" xfId="0" quotePrefix="1" applyFont="1" applyBorder="1" applyAlignment="1">
      <alignment horizontal="center"/>
    </xf>
    <xf numFmtId="0" fontId="19" fillId="0" borderId="48" xfId="0" quotePrefix="1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61" xfId="0" applyFont="1" applyFill="1" applyBorder="1" applyAlignment="1">
      <alignment horizontal="center"/>
    </xf>
    <xf numFmtId="0" fontId="10" fillId="0" borderId="68" xfId="0" applyFont="1" applyBorder="1"/>
    <xf numFmtId="0" fontId="10" fillId="0" borderId="69" xfId="0" applyFont="1" applyBorder="1"/>
    <xf numFmtId="0" fontId="10" fillId="0" borderId="39" xfId="0" applyFont="1" applyBorder="1" applyAlignment="1">
      <alignment horizontal="center"/>
    </xf>
    <xf numFmtId="0" fontId="10" fillId="2" borderId="48" xfId="0" quotePrefix="1" applyFont="1" applyFill="1" applyBorder="1" applyAlignment="1">
      <alignment horizontal="center"/>
    </xf>
    <xf numFmtId="0" fontId="10" fillId="2" borderId="88" xfId="0" quotePrefix="1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10" fillId="0" borderId="39" xfId="0" applyFont="1" applyBorder="1"/>
    <xf numFmtId="0" fontId="10" fillId="0" borderId="43" xfId="0" applyFont="1" applyBorder="1"/>
    <xf numFmtId="0" fontId="10" fillId="0" borderId="61" xfId="0" applyFont="1" applyBorder="1"/>
    <xf numFmtId="0" fontId="10" fillId="0" borderId="12" xfId="0" applyFont="1" applyBorder="1" applyAlignment="1">
      <alignment horizontal="center"/>
    </xf>
    <xf numFmtId="165" fontId="11" fillId="0" borderId="3" xfId="19" applyNumberFormat="1" applyFont="1" applyFill="1" applyBorder="1" applyAlignment="1">
      <alignment horizontal="left"/>
    </xf>
    <xf numFmtId="165" fontId="11" fillId="0" borderId="58" xfId="19" applyNumberFormat="1" applyFont="1" applyFill="1" applyBorder="1" applyAlignment="1">
      <alignment horizontal="left"/>
    </xf>
    <xf numFmtId="165" fontId="11" fillId="0" borderId="76" xfId="19" applyNumberFormat="1" applyFont="1" applyFill="1" applyBorder="1" applyAlignment="1">
      <alignment horizontal="left"/>
    </xf>
    <xf numFmtId="166" fontId="11" fillId="0" borderId="34" xfId="2" applyNumberFormat="1" applyFont="1" applyBorder="1"/>
    <xf numFmtId="170" fontId="11" fillId="0" borderId="95" xfId="5" applyNumberFormat="1" applyFont="1" applyFill="1" applyBorder="1"/>
    <xf numFmtId="170" fontId="11" fillId="0" borderId="44" xfId="5" applyNumberFormat="1" applyFont="1" applyFill="1" applyBorder="1"/>
    <xf numFmtId="170" fontId="11" fillId="0" borderId="82" xfId="5" applyNumberFormat="1" applyFont="1" applyFill="1" applyBorder="1"/>
    <xf numFmtId="170" fontId="11" fillId="0" borderId="83" xfId="5" applyNumberFormat="1" applyFont="1" applyFill="1" applyBorder="1"/>
    <xf numFmtId="170" fontId="11" fillId="0" borderId="84" xfId="5" applyNumberFormat="1" applyFont="1" applyFill="1" applyBorder="1"/>
    <xf numFmtId="170" fontId="11" fillId="0" borderId="85" xfId="5" applyNumberFormat="1" applyFont="1" applyFill="1" applyBorder="1"/>
    <xf numFmtId="0" fontId="10" fillId="0" borderId="43" xfId="0" applyFont="1" applyBorder="1" applyAlignment="1">
      <alignment horizontal="left"/>
    </xf>
    <xf numFmtId="0" fontId="11" fillId="0" borderId="70" xfId="0" applyFont="1" applyBorder="1" applyAlignment="1">
      <alignment horizontal="center" vertical="top"/>
    </xf>
    <xf numFmtId="0" fontId="11" fillId="0" borderId="71" xfId="0" applyFont="1" applyBorder="1" applyAlignment="1">
      <alignment horizontal="center" vertical="top"/>
    </xf>
    <xf numFmtId="0" fontId="11" fillId="0" borderId="77" xfId="0" applyFont="1" applyBorder="1" applyAlignment="1">
      <alignment horizontal="center" vertical="top"/>
    </xf>
    <xf numFmtId="0" fontId="11" fillId="0" borderId="78" xfId="0" applyFont="1" applyBorder="1" applyAlignment="1">
      <alignment horizontal="center" vertical="top"/>
    </xf>
    <xf numFmtId="0" fontId="10" fillId="0" borderId="64" xfId="0" applyFont="1" applyBorder="1" applyAlignment="1">
      <alignment horizontal="centerContinuous" vertical="top"/>
    </xf>
    <xf numFmtId="0" fontId="10" fillId="0" borderId="65" xfId="0" applyFont="1" applyBorder="1" applyAlignment="1">
      <alignment horizontal="center" vertical="top"/>
    </xf>
    <xf numFmtId="166" fontId="10" fillId="0" borderId="68" xfId="2" applyNumberFormat="1" applyFont="1" applyBorder="1" applyAlignment="1">
      <alignment horizontal="center" vertical="top"/>
    </xf>
    <xf numFmtId="166" fontId="10" fillId="0" borderId="69" xfId="2" applyNumberFormat="1" applyFont="1" applyBorder="1" applyAlignment="1">
      <alignment horizontal="center" vertical="top"/>
    </xf>
    <xf numFmtId="0" fontId="37" fillId="0" borderId="5" xfId="0" applyFont="1" applyBorder="1"/>
    <xf numFmtId="0" fontId="11" fillId="4" borderId="66" xfId="0" applyFont="1" applyFill="1" applyBorder="1" applyAlignment="1">
      <alignment horizontal="center"/>
    </xf>
    <xf numFmtId="0" fontId="9" fillId="0" borderId="0" xfId="0" applyFont="1" applyAlignment="1">
      <alignment horizontal="centerContinuous" vertical="justify"/>
    </xf>
    <xf numFmtId="0" fontId="8" fillId="0" borderId="43" xfId="0" applyFont="1" applyBorder="1"/>
    <xf numFmtId="0" fontId="8" fillId="0" borderId="61" xfId="0" applyFont="1" applyBorder="1"/>
    <xf numFmtId="0" fontId="8" fillId="0" borderId="12" xfId="0" applyFont="1" applyBorder="1"/>
    <xf numFmtId="0" fontId="8" fillId="0" borderId="52" xfId="0" applyFont="1" applyBorder="1"/>
    <xf numFmtId="0" fontId="10" fillId="0" borderId="3" xfId="0" quotePrefix="1" applyFont="1" applyBorder="1" applyAlignment="1">
      <alignment horizontal="center"/>
    </xf>
    <xf numFmtId="0" fontId="21" fillId="0" borderId="42" xfId="0" applyFont="1" applyBorder="1" applyAlignment="1">
      <alignment horizontal="left"/>
    </xf>
    <xf numFmtId="0" fontId="9" fillId="0" borderId="42" xfId="0" applyFont="1" applyBorder="1"/>
    <xf numFmtId="0" fontId="9" fillId="0" borderId="43" xfId="0" applyFont="1" applyBorder="1" applyAlignment="1">
      <alignment horizontal="center"/>
    </xf>
    <xf numFmtId="0" fontId="9" fillId="0" borderId="8" xfId="0" applyFont="1" applyBorder="1"/>
    <xf numFmtId="166" fontId="9" fillId="0" borderId="2" xfId="0" applyNumberFormat="1" applyFont="1" applyBorder="1"/>
    <xf numFmtId="0" fontId="9" fillId="0" borderId="13" xfId="0" applyFont="1" applyBorder="1" applyAlignment="1">
      <alignment horizontal="left"/>
    </xf>
    <xf numFmtId="0" fontId="24" fillId="0" borderId="52" xfId="0" applyFont="1" applyBorder="1"/>
    <xf numFmtId="0" fontId="9" fillId="0" borderId="52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66" fontId="10" fillId="0" borderId="8" xfId="2" applyNumberFormat="1" applyFont="1" applyBorder="1"/>
    <xf numFmtId="0" fontId="11" fillId="0" borderId="20" xfId="0" applyFont="1" applyBorder="1" applyAlignment="1">
      <alignment horizontal="center"/>
    </xf>
    <xf numFmtId="0" fontId="24" fillId="0" borderId="4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/>
    <xf numFmtId="0" fontId="14" fillId="0" borderId="19" xfId="0" quotePrefix="1" applyFont="1" applyBorder="1" applyAlignment="1">
      <alignment horizontal="center"/>
    </xf>
    <xf numFmtId="0" fontId="13" fillId="0" borderId="19" xfId="0" quotePrefix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2" borderId="13" xfId="0" quotePrefix="1" applyFont="1" applyFill="1" applyBorder="1" applyAlignment="1">
      <alignment horizontal="center"/>
    </xf>
    <xf numFmtId="17" fontId="11" fillId="0" borderId="13" xfId="0" applyNumberFormat="1" applyFont="1" applyBorder="1" applyAlignment="1">
      <alignment horizontal="center"/>
    </xf>
    <xf numFmtId="44" fontId="11" fillId="0" borderId="13" xfId="2" applyFont="1" applyBorder="1" applyAlignment="1">
      <alignment horizontal="center"/>
    </xf>
    <xf numFmtId="169" fontId="11" fillId="0" borderId="46" xfId="5" applyNumberFormat="1" applyFont="1" applyBorder="1"/>
    <xf numFmtId="169" fontId="11" fillId="0" borderId="13" xfId="5" applyNumberFormat="1" applyFont="1" applyBorder="1"/>
    <xf numFmtId="0" fontId="10" fillId="0" borderId="0" xfId="0" quotePrefix="1" applyFont="1" applyAlignment="1">
      <alignment horizontal="center"/>
    </xf>
    <xf numFmtId="166" fontId="11" fillId="0" borderId="0" xfId="2" applyNumberFormat="1" applyFont="1" applyBorder="1" applyAlignment="1">
      <alignment horizontal="center"/>
    </xf>
    <xf numFmtId="10" fontId="10" fillId="0" borderId="0" xfId="5" applyNumberFormat="1" applyFont="1" applyBorder="1"/>
    <xf numFmtId="166" fontId="11" fillId="0" borderId="0" xfId="0" applyNumberFormat="1" applyFont="1" applyAlignment="1">
      <alignment horizontal="center"/>
    </xf>
    <xf numFmtId="166" fontId="10" fillId="0" borderId="0" xfId="5" applyNumberFormat="1" applyFont="1" applyBorder="1"/>
    <xf numFmtId="166" fontId="10" fillId="0" borderId="0" xfId="0" applyNumberFormat="1" applyFont="1"/>
    <xf numFmtId="165" fontId="10" fillId="0" borderId="18" xfId="1" applyNumberFormat="1" applyFont="1" applyBorder="1"/>
    <xf numFmtId="166" fontId="10" fillId="0" borderId="80" xfId="2" applyNumberFormat="1" applyFont="1" applyBorder="1"/>
    <xf numFmtId="169" fontId="11" fillId="0" borderId="86" xfId="5" applyNumberFormat="1" applyFont="1" applyBorder="1"/>
    <xf numFmtId="0" fontId="9" fillId="0" borderId="0" xfId="0" applyFont="1" applyAlignment="1">
      <alignment horizontal="center" vertical="justify"/>
    </xf>
    <xf numFmtId="0" fontId="8" fillId="0" borderId="0" xfId="0" applyFont="1" applyAlignment="1">
      <alignment vertical="justify"/>
    </xf>
    <xf numFmtId="0" fontId="11" fillId="0" borderId="12" xfId="3" applyFont="1" applyBorder="1" applyAlignment="1">
      <alignment horizontal="left"/>
    </xf>
    <xf numFmtId="0" fontId="11" fillId="0" borderId="12" xfId="3" applyFont="1" applyBorder="1" applyAlignment="1">
      <alignment horizontal="center"/>
    </xf>
    <xf numFmtId="0" fontId="10" fillId="2" borderId="77" xfId="3" applyFont="1" applyFill="1" applyBorder="1" applyAlignment="1">
      <alignment horizontal="center" wrapText="1"/>
    </xf>
    <xf numFmtId="0" fontId="10" fillId="0" borderId="13" xfId="3" applyFont="1" applyBorder="1" applyAlignment="1">
      <alignment horizontal="center" vertical="top" wrapText="1"/>
    </xf>
    <xf numFmtId="0" fontId="10" fillId="2" borderId="78" xfId="3" applyFont="1" applyFill="1" applyBorder="1" applyAlignment="1">
      <alignment horizontal="center" wrapText="1"/>
    </xf>
    <xf numFmtId="0" fontId="11" fillId="0" borderId="66" xfId="3" applyFont="1" applyBorder="1" applyAlignment="1">
      <alignment horizontal="center" vertical="top" wrapText="1"/>
    </xf>
    <xf numFmtId="0" fontId="11" fillId="0" borderId="2" xfId="3" applyFont="1" applyBorder="1" applyAlignment="1">
      <alignment horizontal="center" vertical="top" wrapText="1"/>
    </xf>
    <xf numFmtId="0" fontId="11" fillId="0" borderId="67" xfId="3" applyFont="1" applyBorder="1" applyAlignment="1">
      <alignment horizontal="center" vertical="top" wrapText="1"/>
    </xf>
    <xf numFmtId="0" fontId="11" fillId="0" borderId="66" xfId="3" applyFont="1" applyBorder="1" applyAlignment="1">
      <alignment horizontal="center" vertical="center"/>
    </xf>
    <xf numFmtId="0" fontId="19" fillId="0" borderId="2" xfId="0" applyFont="1" applyBorder="1" applyAlignment="1">
      <alignment horizontal="left" wrapText="1"/>
    </xf>
    <xf numFmtId="0" fontId="11" fillId="0" borderId="67" xfId="3" applyFont="1" applyBorder="1" applyAlignment="1">
      <alignment horizontal="center" vertical="center"/>
    </xf>
    <xf numFmtId="166" fontId="19" fillId="0" borderId="4" xfId="2" applyNumberFormat="1" applyFont="1" applyFill="1" applyBorder="1"/>
    <xf numFmtId="0" fontId="10" fillId="0" borderId="13" xfId="4" applyFont="1" applyBorder="1" applyAlignment="1">
      <alignment horizontal="center" wrapText="1"/>
    </xf>
    <xf numFmtId="0" fontId="11" fillId="0" borderId="19" xfId="4" applyFont="1" applyBorder="1" applyAlignment="1">
      <alignment horizontal="center" wrapText="1"/>
    </xf>
    <xf numFmtId="0" fontId="11" fillId="0" borderId="67" xfId="4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4" fillId="0" borderId="0" xfId="3" quotePrefix="1" applyFont="1" applyAlignment="1">
      <alignment horizontal="center"/>
    </xf>
    <xf numFmtId="0" fontId="10" fillId="0" borderId="13" xfId="3" applyFont="1" applyBorder="1" applyAlignment="1">
      <alignment horizontal="center" wrapText="1"/>
    </xf>
    <xf numFmtId="0" fontId="10" fillId="0" borderId="2" xfId="3" applyFont="1" applyBorder="1" applyAlignment="1">
      <alignment horizontal="center"/>
    </xf>
    <xf numFmtId="44" fontId="11" fillId="0" borderId="0" xfId="2" applyFont="1" applyBorder="1" applyAlignment="1">
      <alignment horizontal="center"/>
    </xf>
    <xf numFmtId="0" fontId="11" fillId="0" borderId="86" xfId="3" applyFont="1" applyBorder="1"/>
    <xf numFmtId="166" fontId="10" fillId="0" borderId="8" xfId="2" applyNumberFormat="1" applyFont="1" applyFill="1" applyBorder="1"/>
    <xf numFmtId="165" fontId="10" fillId="0" borderId="9" xfId="1" applyNumberFormat="1" applyFont="1" applyFill="1" applyBorder="1"/>
    <xf numFmtId="0" fontId="10" fillId="0" borderId="42" xfId="0" applyFont="1" applyBorder="1" applyAlignment="1">
      <alignment horizontal="center" vertical="justify"/>
    </xf>
    <xf numFmtId="0" fontId="10" fillId="0" borderId="44" xfId="0" applyFont="1" applyBorder="1"/>
    <xf numFmtId="166" fontId="11" fillId="0" borderId="44" xfId="2" applyNumberFormat="1" applyFont="1" applyBorder="1"/>
    <xf numFmtId="17" fontId="10" fillId="0" borderId="13" xfId="0" applyNumberFormat="1" applyFont="1" applyBorder="1" applyAlignment="1">
      <alignment horizontal="centerContinuous" vertical="justify"/>
    </xf>
    <xf numFmtId="166" fontId="11" fillId="0" borderId="70" xfId="2" applyNumberFormat="1" applyFont="1" applyFill="1" applyBorder="1"/>
    <xf numFmtId="165" fontId="11" fillId="0" borderId="69" xfId="19" applyNumberFormat="1" applyFont="1" applyFill="1" applyBorder="1" applyAlignment="1">
      <alignment horizontal="left"/>
    </xf>
    <xf numFmtId="166" fontId="11" fillId="0" borderId="68" xfId="2" applyNumberFormat="1" applyFont="1" applyFill="1" applyBorder="1"/>
    <xf numFmtId="166" fontId="11" fillId="0" borderId="72" xfId="2" applyNumberFormat="1" applyFont="1" applyFill="1" applyBorder="1"/>
    <xf numFmtId="165" fontId="11" fillId="0" borderId="68" xfId="1" applyNumberFormat="1" applyFont="1" applyFill="1" applyBorder="1"/>
    <xf numFmtId="166" fontId="11" fillId="0" borderId="20" xfId="2" applyNumberFormat="1" applyFont="1" applyBorder="1"/>
    <xf numFmtId="166" fontId="11" fillId="0" borderId="21" xfId="2" applyNumberFormat="1" applyFont="1" applyFill="1" applyBorder="1"/>
    <xf numFmtId="166" fontId="11" fillId="0" borderId="24" xfId="2" applyNumberFormat="1" applyFont="1" applyFill="1" applyBorder="1"/>
    <xf numFmtId="170" fontId="11" fillId="0" borderId="19" xfId="5" applyNumberFormat="1" applyFont="1" applyBorder="1"/>
    <xf numFmtId="170" fontId="11" fillId="0" borderId="22" xfId="5" applyNumberFormat="1" applyFont="1" applyBorder="1"/>
    <xf numFmtId="170" fontId="11" fillId="0" borderId="58" xfId="5" applyNumberFormat="1" applyFont="1" applyBorder="1"/>
    <xf numFmtId="170" fontId="11" fillId="0" borderId="76" xfId="5" applyNumberFormat="1" applyFont="1" applyBorder="1"/>
    <xf numFmtId="0" fontId="10" fillId="0" borderId="24" xfId="0" applyFont="1" applyBorder="1"/>
    <xf numFmtId="0" fontId="10" fillId="0" borderId="22" xfId="0" applyFont="1" applyBorder="1" applyAlignment="1">
      <alignment horizontal="center"/>
    </xf>
    <xf numFmtId="166" fontId="11" fillId="0" borderId="22" xfId="2" applyNumberFormat="1" applyFont="1" applyBorder="1"/>
    <xf numFmtId="38" fontId="11" fillId="0" borderId="22" xfId="0" applyNumberFormat="1" applyFont="1" applyBorder="1"/>
    <xf numFmtId="166" fontId="11" fillId="0" borderId="91" xfId="2" applyNumberFormat="1" applyFont="1" applyBorder="1"/>
    <xf numFmtId="166" fontId="11" fillId="0" borderId="60" xfId="2" applyNumberFormat="1" applyFont="1" applyBorder="1"/>
    <xf numFmtId="166" fontId="11" fillId="0" borderId="76" xfId="2" applyNumberFormat="1" applyFont="1" applyBorder="1"/>
    <xf numFmtId="37" fontId="11" fillId="0" borderId="22" xfId="0" applyNumberFormat="1" applyFont="1" applyBorder="1"/>
    <xf numFmtId="37" fontId="11" fillId="0" borderId="76" xfId="0" applyNumberFormat="1" applyFont="1" applyBorder="1"/>
    <xf numFmtId="173" fontId="11" fillId="0" borderId="76" xfId="5" applyNumberFormat="1" applyFont="1" applyFill="1" applyBorder="1"/>
    <xf numFmtId="166" fontId="11" fillId="0" borderId="60" xfId="2" applyNumberFormat="1" applyFont="1" applyFill="1" applyBorder="1"/>
    <xf numFmtId="166" fontId="10" fillId="0" borderId="57" xfId="2" applyNumberFormat="1" applyFont="1" applyBorder="1"/>
    <xf numFmtId="166" fontId="11" fillId="0" borderId="23" xfId="2" applyNumberFormat="1" applyFont="1" applyBorder="1"/>
    <xf numFmtId="170" fontId="11" fillId="0" borderId="22" xfId="5" applyNumberFormat="1" applyFont="1" applyFill="1" applyBorder="1"/>
    <xf numFmtId="170" fontId="11" fillId="0" borderId="96" xfId="5" applyNumberFormat="1" applyFont="1" applyFill="1" applyBorder="1"/>
    <xf numFmtId="166" fontId="10" fillId="0" borderId="18" xfId="2" applyNumberFormat="1" applyFont="1" applyFill="1" applyBorder="1"/>
    <xf numFmtId="174" fontId="10" fillId="0" borderId="22" xfId="0" applyNumberFormat="1" applyFont="1" applyBorder="1" applyAlignment="1">
      <alignment horizontal="center"/>
    </xf>
    <xf numFmtId="165" fontId="11" fillId="0" borderId="29" xfId="1" applyNumberFormat="1" applyFont="1" applyFill="1" applyBorder="1"/>
    <xf numFmtId="40" fontId="11" fillId="0" borderId="28" xfId="0" applyNumberFormat="1" applyFont="1" applyBorder="1"/>
    <xf numFmtId="166" fontId="10" fillId="0" borderId="28" xfId="2" applyNumberFormat="1" applyFont="1" applyFill="1" applyBorder="1"/>
    <xf numFmtId="166" fontId="10" fillId="0" borderId="62" xfId="2" applyNumberFormat="1" applyFont="1" applyBorder="1"/>
    <xf numFmtId="165" fontId="10" fillId="0" borderId="30" xfId="1" applyNumberFormat="1" applyFont="1" applyBorder="1"/>
    <xf numFmtId="165" fontId="10" fillId="0" borderId="29" xfId="1" applyNumberFormat="1" applyFont="1" applyBorder="1"/>
    <xf numFmtId="0" fontId="10" fillId="0" borderId="64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8" xfId="0" applyFont="1" applyBorder="1"/>
    <xf numFmtId="0" fontId="11" fillId="0" borderId="97" xfId="0" applyFont="1" applyBorder="1"/>
    <xf numFmtId="0" fontId="18" fillId="0" borderId="2" xfId="0" applyFont="1" applyBorder="1" applyAlignment="1">
      <alignment horizontal="left" wrapText="1"/>
    </xf>
    <xf numFmtId="0" fontId="11" fillId="0" borderId="28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166" fontId="11" fillId="0" borderId="19" xfId="2" applyNumberFormat="1" applyFont="1" applyFill="1" applyBorder="1" applyAlignment="1">
      <alignment horizontal="right"/>
    </xf>
    <xf numFmtId="166" fontId="11" fillId="0" borderId="2" xfId="2" applyNumberFormat="1" applyFont="1" applyFill="1" applyBorder="1" applyAlignment="1">
      <alignment horizontal="right"/>
    </xf>
    <xf numFmtId="166" fontId="11" fillId="0" borderId="22" xfId="2" applyNumberFormat="1" applyFont="1" applyFill="1" applyBorder="1" applyAlignment="1">
      <alignment horizontal="right"/>
    </xf>
    <xf numFmtId="166" fontId="11" fillId="0" borderId="0" xfId="2" applyNumberFormat="1" applyFont="1" applyFill="1" applyBorder="1" applyAlignment="1">
      <alignment horizontal="right"/>
    </xf>
    <xf numFmtId="166" fontId="11" fillId="0" borderId="28" xfId="2" applyNumberFormat="1" applyFont="1" applyFill="1" applyBorder="1" applyAlignment="1">
      <alignment horizontal="right"/>
    </xf>
    <xf numFmtId="10" fontId="11" fillId="0" borderId="3" xfId="5" applyNumberFormat="1" applyFont="1" applyBorder="1"/>
    <xf numFmtId="44" fontId="11" fillId="0" borderId="2" xfId="2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11" fillId="0" borderId="0" xfId="0" applyFont="1" applyAlignment="1">
      <alignment horizontal="left" wrapText="1"/>
    </xf>
    <xf numFmtId="166" fontId="10" fillId="0" borderId="2" xfId="2" applyNumberFormat="1" applyFont="1" applyFill="1" applyBorder="1" applyAlignment="1">
      <alignment horizontal="center"/>
    </xf>
    <xf numFmtId="166" fontId="10" fillId="0" borderId="2" xfId="0" applyNumberFormat="1" applyFont="1" applyBorder="1" applyAlignment="1">
      <alignment horizontal="center"/>
    </xf>
    <xf numFmtId="10" fontId="10" fillId="0" borderId="3" xfId="5" applyNumberFormat="1" applyFont="1" applyFill="1" applyBorder="1"/>
    <xf numFmtId="10" fontId="10" fillId="0" borderId="1" xfId="5" applyNumberFormat="1" applyFont="1" applyFill="1" applyBorder="1"/>
    <xf numFmtId="166" fontId="10" fillId="0" borderId="4" xfId="0" applyNumberFormat="1" applyFont="1" applyBorder="1" applyAlignment="1">
      <alignment horizontal="center"/>
    </xf>
    <xf numFmtId="166" fontId="10" fillId="0" borderId="4" xfId="5" applyNumberFormat="1" applyFont="1" applyFill="1" applyBorder="1"/>
    <xf numFmtId="0" fontId="9" fillId="0" borderId="12" xfId="0" applyFont="1" applyBorder="1" applyAlignment="1">
      <alignment horizontal="left"/>
    </xf>
    <xf numFmtId="0" fontId="9" fillId="0" borderId="13" xfId="0" applyFont="1" applyBorder="1"/>
    <xf numFmtId="0" fontId="9" fillId="0" borderId="12" xfId="0" applyFont="1" applyBorder="1" applyAlignment="1">
      <alignment horizontal="center"/>
    </xf>
    <xf numFmtId="0" fontId="10" fillId="0" borderId="0" xfId="20" applyFont="1" applyAlignment="1">
      <alignment horizontal="left" vertical="top" wrapText="1"/>
    </xf>
    <xf numFmtId="165" fontId="11" fillId="0" borderId="0" xfId="21" applyNumberFormat="1" applyFont="1" applyBorder="1" applyAlignment="1">
      <alignment vertical="top"/>
    </xf>
    <xf numFmtId="165" fontId="11" fillId="0" borderId="0" xfId="21" applyNumberFormat="1" applyFont="1" applyBorder="1" applyAlignment="1">
      <alignment horizontal="center" vertical="top"/>
    </xf>
    <xf numFmtId="165" fontId="11" fillId="0" borderId="7" xfId="21" applyNumberFormat="1" applyFont="1" applyBorder="1" applyAlignment="1">
      <alignment vertical="top"/>
    </xf>
    <xf numFmtId="0" fontId="12" fillId="0" borderId="19" xfId="0" applyFont="1" applyBorder="1" applyAlignment="1">
      <alignment horizontal="left"/>
    </xf>
    <xf numFmtId="165" fontId="11" fillId="0" borderId="8" xfId="1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38" fillId="0" borderId="0" xfId="0" applyFont="1" applyAlignment="1">
      <alignment wrapText="1"/>
    </xf>
    <xf numFmtId="0" fontId="39" fillId="0" borderId="0" xfId="0" applyFont="1"/>
    <xf numFmtId="0" fontId="38" fillId="0" borderId="0" xfId="0" applyFont="1"/>
    <xf numFmtId="0" fontId="10" fillId="0" borderId="2" xfId="0" applyFont="1" applyBorder="1" applyAlignment="1">
      <alignment horizontal="right"/>
    </xf>
    <xf numFmtId="41" fontId="10" fillId="0" borderId="8" xfId="0" applyNumberFormat="1" applyFont="1" applyBorder="1"/>
    <xf numFmtId="41" fontId="11" fillId="0" borderId="18" xfId="0" applyNumberFormat="1" applyFont="1" applyBorder="1"/>
    <xf numFmtId="0" fontId="18" fillId="0" borderId="0" xfId="14" applyFont="1"/>
    <xf numFmtId="0" fontId="10" fillId="0" borderId="12" xfId="14" applyFont="1" applyBorder="1" applyAlignment="1">
      <alignment horizontal="center"/>
    </xf>
    <xf numFmtId="0" fontId="19" fillId="0" borderId="89" xfId="14" applyFont="1" applyBorder="1" applyAlignment="1">
      <alignment horizontal="center"/>
    </xf>
    <xf numFmtId="0" fontId="19" fillId="0" borderId="47" xfId="14" applyFont="1" applyBorder="1" applyAlignment="1">
      <alignment horizontal="center"/>
    </xf>
    <xf numFmtId="0" fontId="19" fillId="0" borderId="90" xfId="14" applyFont="1" applyBorder="1" applyAlignment="1">
      <alignment horizontal="center"/>
    </xf>
    <xf numFmtId="0" fontId="19" fillId="0" borderId="79" xfId="14" applyFont="1" applyBorder="1" applyAlignment="1">
      <alignment horizontal="center"/>
    </xf>
    <xf numFmtId="0" fontId="19" fillId="0" borderId="0" xfId="14" applyFont="1"/>
    <xf numFmtId="0" fontId="19" fillId="0" borderId="0" xfId="14" applyFont="1" applyAlignment="1">
      <alignment horizontal="center" vertical="top" wrapText="1"/>
    </xf>
    <xf numFmtId="165" fontId="9" fillId="0" borderId="0" xfId="15" applyNumberFormat="1" applyFont="1" applyBorder="1" applyAlignment="1">
      <alignment vertical="top"/>
    </xf>
    <xf numFmtId="165" fontId="19" fillId="0" borderId="0" xfId="15" applyNumberFormat="1" applyFont="1" applyBorder="1" applyAlignment="1">
      <alignment vertical="top"/>
    </xf>
    <xf numFmtId="178" fontId="18" fillId="0" borderId="7" xfId="14" applyNumberFormat="1" applyFont="1" applyBorder="1"/>
    <xf numFmtId="178" fontId="18" fillId="0" borderId="0" xfId="14" applyNumberFormat="1" applyFont="1"/>
    <xf numFmtId="165" fontId="19" fillId="0" borderId="17" xfId="1" applyNumberFormat="1" applyFont="1" applyFill="1" applyBorder="1"/>
    <xf numFmtId="0" fontId="19" fillId="0" borderId="0" xfId="14" applyFont="1" applyAlignment="1">
      <alignment horizontal="center"/>
    </xf>
    <xf numFmtId="174" fontId="10" fillId="0" borderId="28" xfId="0" applyNumberFormat="1" applyFont="1" applyBorder="1" applyAlignment="1">
      <alignment horizontal="right"/>
    </xf>
    <xf numFmtId="0" fontId="7" fillId="0" borderId="0" xfId="0" applyFont="1" applyAlignment="1">
      <alignment vertical="top"/>
    </xf>
    <xf numFmtId="0" fontId="10" fillId="0" borderId="2" xfId="3" applyFont="1" applyBorder="1" applyAlignment="1">
      <alignment horizontal="right"/>
    </xf>
    <xf numFmtId="0" fontId="10" fillId="0" borderId="0" xfId="3" applyFont="1"/>
    <xf numFmtId="169" fontId="10" fillId="0" borderId="32" xfId="5" applyNumberFormat="1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0" fillId="0" borderId="42" xfId="3" applyFont="1" applyBorder="1" applyAlignment="1">
      <alignment horizontal="right"/>
    </xf>
    <xf numFmtId="0" fontId="10" fillId="0" borderId="8" xfId="3" applyFont="1" applyBorder="1" applyAlignment="1">
      <alignment horizontal="right"/>
    </xf>
    <xf numFmtId="166" fontId="10" fillId="0" borderId="2" xfId="2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8" fillId="0" borderId="13" xfId="0" applyFont="1" applyBorder="1"/>
    <xf numFmtId="166" fontId="10" fillId="0" borderId="61" xfId="2" applyNumberFormat="1" applyFont="1" applyBorder="1" applyAlignment="1">
      <alignment horizontal="right"/>
    </xf>
    <xf numFmtId="166" fontId="10" fillId="0" borderId="0" xfId="2" applyNumberFormat="1" applyFont="1" applyBorder="1" applyAlignment="1">
      <alignment horizontal="right"/>
    </xf>
    <xf numFmtId="166" fontId="25" fillId="0" borderId="0" xfId="0" applyNumberFormat="1" applyFont="1" applyAlignment="1">
      <alignment horizontal="right"/>
    </xf>
    <xf numFmtId="0" fontId="8" fillId="0" borderId="0" xfId="0" applyFont="1"/>
    <xf numFmtId="0" fontId="10" fillId="0" borderId="28" xfId="0" applyFont="1" applyBorder="1" applyAlignment="1">
      <alignment horizontal="right"/>
    </xf>
    <xf numFmtId="170" fontId="11" fillId="0" borderId="19" xfId="5" applyNumberFormat="1" applyFont="1" applyFill="1" applyBorder="1"/>
    <xf numFmtId="170" fontId="11" fillId="0" borderId="58" xfId="5" applyNumberFormat="1" applyFont="1" applyFill="1" applyBorder="1"/>
    <xf numFmtId="175" fontId="11" fillId="0" borderId="35" xfId="1" applyNumberFormat="1" applyFont="1" applyBorder="1"/>
    <xf numFmtId="10" fontId="11" fillId="0" borderId="8" xfId="5" applyNumberFormat="1" applyFont="1" applyFill="1" applyBorder="1"/>
    <xf numFmtId="0" fontId="11" fillId="0" borderId="34" xfId="0" applyFont="1" applyBorder="1"/>
    <xf numFmtId="0" fontId="7" fillId="0" borderId="9" xfId="0" applyFont="1" applyBorder="1"/>
    <xf numFmtId="10" fontId="11" fillId="0" borderId="35" xfId="5" applyNumberFormat="1" applyFont="1" applyBorder="1"/>
    <xf numFmtId="10" fontId="11" fillId="0" borderId="68" xfId="5" applyNumberFormat="1" applyFont="1" applyFill="1" applyBorder="1"/>
    <xf numFmtId="10" fontId="11" fillId="0" borderId="6" xfId="5" applyNumberFormat="1" applyFont="1" applyBorder="1"/>
    <xf numFmtId="10" fontId="11" fillId="0" borderId="69" xfId="5" applyNumberFormat="1" applyFont="1" applyBorder="1"/>
    <xf numFmtId="10" fontId="11" fillId="0" borderId="68" xfId="5" applyNumberFormat="1" applyFont="1" applyBorder="1"/>
    <xf numFmtId="0" fontId="7" fillId="0" borderId="28" xfId="0" applyFont="1" applyBorder="1"/>
    <xf numFmtId="0" fontId="7" fillId="0" borderId="45" xfId="0" applyFont="1" applyBorder="1"/>
    <xf numFmtId="0" fontId="7" fillId="0" borderId="29" xfId="0" applyFont="1" applyBorder="1"/>
    <xf numFmtId="0" fontId="11" fillId="0" borderId="0" xfId="0" applyFont="1" applyAlignment="1">
      <alignment horizontal="right"/>
    </xf>
    <xf numFmtId="17" fontId="10" fillId="0" borderId="2" xfId="0" applyNumberFormat="1" applyFont="1" applyBorder="1" applyAlignment="1">
      <alignment horizontal="right"/>
    </xf>
    <xf numFmtId="17" fontId="10" fillId="0" borderId="9" xfId="0" applyNumberFormat="1" applyFont="1" applyBorder="1" applyAlignment="1">
      <alignment horizontal="right"/>
    </xf>
    <xf numFmtId="0" fontId="10" fillId="0" borderId="21" xfId="0" applyFont="1" applyBorder="1"/>
    <xf numFmtId="3" fontId="10" fillId="0" borderId="19" xfId="0" applyNumberFormat="1" applyFont="1" applyBorder="1" applyAlignment="1">
      <alignment horizontal="left"/>
    </xf>
    <xf numFmtId="3" fontId="10" fillId="0" borderId="93" xfId="0" applyNumberFormat="1" applyFont="1" applyBorder="1" applyAlignment="1">
      <alignment horizontal="left"/>
    </xf>
    <xf numFmtId="0" fontId="10" fillId="0" borderId="8" xfId="0" applyFont="1" applyBorder="1"/>
    <xf numFmtId="166" fontId="10" fillId="0" borderId="8" xfId="0" applyNumberFormat="1" applyFont="1" applyBorder="1"/>
    <xf numFmtId="0" fontId="10" fillId="0" borderId="52" xfId="0" applyFont="1" applyBorder="1"/>
    <xf numFmtId="0" fontId="10" fillId="0" borderId="8" xfId="0" applyFont="1" applyBorder="1" applyAlignment="1">
      <alignment horizontal="left"/>
    </xf>
    <xf numFmtId="165" fontId="10" fillId="0" borderId="13" xfId="1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Continuous" vertical="justify"/>
    </xf>
    <xf numFmtId="17" fontId="10" fillId="0" borderId="44" xfId="0" applyNumberFormat="1" applyFont="1" applyBorder="1" applyAlignment="1">
      <alignment horizontal="centerContinuous" vertical="justify"/>
    </xf>
    <xf numFmtId="0" fontId="40" fillId="0" borderId="0" xfId="20" applyFont="1"/>
    <xf numFmtId="0" fontId="10" fillId="0" borderId="0" xfId="20" applyFont="1" applyAlignment="1">
      <alignment horizontal="center"/>
    </xf>
    <xf numFmtId="0" fontId="10" fillId="0" borderId="12" xfId="20" applyFont="1" applyBorder="1" applyAlignment="1">
      <alignment horizontal="center"/>
    </xf>
    <xf numFmtId="0" fontId="11" fillId="0" borderId="0" xfId="20" applyFont="1" applyAlignment="1">
      <alignment horizontal="center"/>
    </xf>
    <xf numFmtId="0" fontId="41" fillId="0" borderId="0" xfId="20" applyFont="1"/>
    <xf numFmtId="0" fontId="11" fillId="0" borderId="0" xfId="20" applyFont="1"/>
    <xf numFmtId="178" fontId="11" fillId="0" borderId="7" xfId="20" applyNumberFormat="1" applyFont="1" applyBorder="1"/>
    <xf numFmtId="178" fontId="11" fillId="0" borderId="0" xfId="20" applyNumberFormat="1" applyFont="1" applyAlignment="1">
      <alignment horizontal="center"/>
    </xf>
    <xf numFmtId="178" fontId="11" fillId="0" borderId="0" xfId="20" applyNumberFormat="1" applyFont="1"/>
    <xf numFmtId="0" fontId="40" fillId="0" borderId="0" xfId="20" applyFont="1" applyAlignment="1">
      <alignment horizontal="left"/>
    </xf>
    <xf numFmtId="0" fontId="11" fillId="0" borderId="7" xfId="20" applyFont="1" applyBorder="1" applyAlignment="1">
      <alignment horizontal="center"/>
    </xf>
    <xf numFmtId="165" fontId="10" fillId="0" borderId="7" xfId="1" applyNumberFormat="1" applyFont="1" applyBorder="1"/>
    <xf numFmtId="0" fontId="11" fillId="0" borderId="0" xfId="20" applyFont="1" applyAlignment="1">
      <alignment horizontal="left"/>
    </xf>
    <xf numFmtId="165" fontId="11" fillId="0" borderId="7" xfId="1" applyNumberFormat="1" applyFont="1" applyBorder="1" applyAlignment="1">
      <alignment horizontal="center"/>
    </xf>
    <xf numFmtId="0" fontId="11" fillId="0" borderId="7" xfId="20" applyFont="1" applyBorder="1"/>
    <xf numFmtId="0" fontId="11" fillId="0" borderId="22" xfId="0" applyFont="1" applyBorder="1" applyAlignment="1">
      <alignment horizontal="center" vertical="top"/>
    </xf>
    <xf numFmtId="166" fontId="10" fillId="0" borderId="28" xfId="2" applyNumberFormat="1" applyFont="1" applyFill="1" applyBorder="1" applyAlignment="1">
      <alignment vertical="top"/>
    </xf>
    <xf numFmtId="0" fontId="19" fillId="0" borderId="79" xfId="14" applyFont="1" applyBorder="1" applyAlignment="1">
      <alignment horizontal="center" vertical="center" wrapText="1"/>
    </xf>
    <xf numFmtId="165" fontId="19" fillId="0" borderId="29" xfId="15" applyNumberFormat="1" applyFont="1" applyBorder="1" applyAlignment="1">
      <alignment vertical="center"/>
    </xf>
    <xf numFmtId="166" fontId="11" fillId="0" borderId="80" xfId="0" applyNumberFormat="1" applyFont="1" applyBorder="1"/>
    <xf numFmtId="166" fontId="11" fillId="0" borderId="3" xfId="0" applyNumberFormat="1" applyFont="1" applyBorder="1"/>
    <xf numFmtId="166" fontId="11" fillId="0" borderId="0" xfId="0" applyNumberFormat="1" applyFont="1" applyAlignment="1">
      <alignment horizontal="right"/>
    </xf>
    <xf numFmtId="165" fontId="11" fillId="0" borderId="22" xfId="1" applyNumberFormat="1" applyFont="1" applyFill="1" applyBorder="1" applyAlignment="1">
      <alignment horizontal="right"/>
    </xf>
    <xf numFmtId="173" fontId="11" fillId="0" borderId="0" xfId="5" applyNumberFormat="1" applyFont="1"/>
    <xf numFmtId="173" fontId="11" fillId="0" borderId="0" xfId="0" applyNumberFormat="1" applyFont="1"/>
    <xf numFmtId="0" fontId="10" fillId="0" borderId="25" xfId="0" applyFont="1" applyBorder="1" applyAlignment="1">
      <alignment horizontal="center" wrapText="1"/>
    </xf>
    <xf numFmtId="0" fontId="17" fillId="0" borderId="12" xfId="0" applyFont="1" applyBorder="1"/>
    <xf numFmtId="0" fontId="11" fillId="0" borderId="76" xfId="0" applyFont="1" applyBorder="1" applyAlignment="1">
      <alignment horizontal="center"/>
    </xf>
    <xf numFmtId="166" fontId="11" fillId="0" borderId="19" xfId="2" applyNumberFormat="1" applyFont="1" applyBorder="1"/>
    <xf numFmtId="170" fontId="10" fillId="0" borderId="55" xfId="0" applyNumberFormat="1" applyFont="1" applyBorder="1"/>
    <xf numFmtId="0" fontId="11" fillId="0" borderId="91" xfId="0" applyFont="1" applyBorder="1"/>
    <xf numFmtId="10" fontId="11" fillId="0" borderId="22" xfId="5" applyNumberFormat="1" applyFont="1" applyBorder="1"/>
    <xf numFmtId="10" fontId="11" fillId="0" borderId="76" xfId="5" applyNumberFormat="1" applyFont="1" applyBorder="1"/>
    <xf numFmtId="10" fontId="11" fillId="0" borderId="96" xfId="0" applyNumberFormat="1" applyFont="1" applyBorder="1"/>
    <xf numFmtId="166" fontId="11" fillId="0" borderId="12" xfId="2" applyNumberFormat="1" applyFont="1" applyBorder="1"/>
    <xf numFmtId="38" fontId="11" fillId="0" borderId="0" xfId="0" applyNumberFormat="1" applyFont="1"/>
    <xf numFmtId="168" fontId="11" fillId="0" borderId="7" xfId="2" applyNumberFormat="1" applyFont="1" applyFill="1" applyBorder="1"/>
    <xf numFmtId="166" fontId="11" fillId="0" borderId="15" xfId="2" applyNumberFormat="1" applyFont="1" applyBorder="1"/>
    <xf numFmtId="166" fontId="11" fillId="0" borderId="98" xfId="2" applyNumberFormat="1" applyFont="1" applyBorder="1"/>
    <xf numFmtId="166" fontId="11" fillId="0" borderId="7" xfId="2" applyNumberFormat="1" applyFont="1" applyBorder="1"/>
    <xf numFmtId="37" fontId="11" fillId="0" borderId="0" xfId="0" applyNumberFormat="1" applyFont="1"/>
    <xf numFmtId="37" fontId="11" fillId="0" borderId="7" xfId="0" applyNumberFormat="1" applyFont="1" applyBorder="1"/>
    <xf numFmtId="166" fontId="11" fillId="0" borderId="43" xfId="2" applyNumberFormat="1" applyFont="1" applyBorder="1"/>
    <xf numFmtId="180" fontId="11" fillId="0" borderId="0" xfId="0" applyNumberFormat="1" applyFont="1"/>
    <xf numFmtId="180" fontId="11" fillId="0" borderId="7" xfId="5" applyNumberFormat="1" applyFont="1" applyBorder="1"/>
    <xf numFmtId="180" fontId="11" fillId="0" borderId="83" xfId="0" applyNumberFormat="1" applyFont="1" applyBorder="1"/>
    <xf numFmtId="0" fontId="7" fillId="0" borderId="22" xfId="0" applyFont="1" applyBorder="1"/>
    <xf numFmtId="0" fontId="7" fillId="0" borderId="23" xfId="0" applyFont="1" applyBorder="1"/>
    <xf numFmtId="166" fontId="18" fillId="0" borderId="28" xfId="2" applyNumberFormat="1" applyFont="1" applyBorder="1" applyAlignment="1">
      <alignment horizontal="center"/>
    </xf>
    <xf numFmtId="38" fontId="18" fillId="0" borderId="28" xfId="0" applyNumberFormat="1" applyFont="1" applyBorder="1" applyAlignment="1">
      <alignment horizontal="center"/>
    </xf>
    <xf numFmtId="37" fontId="18" fillId="0" borderId="28" xfId="0" applyNumberFormat="1" applyFont="1" applyBorder="1" applyAlignment="1">
      <alignment horizontal="center"/>
    </xf>
    <xf numFmtId="165" fontId="11" fillId="0" borderId="6" xfId="19" applyNumberFormat="1" applyFont="1" applyFill="1" applyBorder="1" applyAlignment="1">
      <alignment horizontal="left"/>
    </xf>
    <xf numFmtId="164" fontId="11" fillId="0" borderId="13" xfId="0" applyNumberFormat="1" applyFont="1" applyBorder="1"/>
    <xf numFmtId="43" fontId="11" fillId="0" borderId="0" xfId="1" applyFont="1" applyFill="1" applyBorder="1"/>
    <xf numFmtId="170" fontId="10" fillId="0" borderId="54" xfId="0" applyNumberFormat="1" applyFont="1" applyBorder="1"/>
    <xf numFmtId="0" fontId="13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174" fontId="11" fillId="0" borderId="0" xfId="0" applyNumberFormat="1" applyFont="1" applyAlignment="1">
      <alignment horizontal="left"/>
    </xf>
    <xf numFmtId="174" fontId="43" fillId="0" borderId="0" xfId="0" applyNumberFormat="1" applyFont="1" applyAlignment="1">
      <alignment horizontal="right"/>
    </xf>
    <xf numFmtId="0" fontId="17" fillId="0" borderId="19" xfId="0" applyFont="1" applyBorder="1"/>
    <xf numFmtId="0" fontId="11" fillId="0" borderId="28" xfId="0" applyFont="1" applyBorder="1" applyAlignment="1">
      <alignment horizontal="center" vertical="top"/>
    </xf>
    <xf numFmtId="0" fontId="11" fillId="0" borderId="19" xfId="0" applyFont="1" applyBorder="1" applyAlignment="1">
      <alignment vertical="top" wrapText="1"/>
    </xf>
    <xf numFmtId="0" fontId="14" fillId="0" borderId="0" xfId="0" applyFont="1" applyAlignment="1">
      <alignment horizontal="center" vertical="top"/>
    </xf>
    <xf numFmtId="0" fontId="42" fillId="0" borderId="0" xfId="0" quotePrefix="1" applyFont="1"/>
    <xf numFmtId="0" fontId="11" fillId="0" borderId="0" xfId="0" applyFont="1" applyAlignment="1">
      <alignment horizontal="left" vertical="top" wrapText="1"/>
    </xf>
    <xf numFmtId="0" fontId="8" fillId="0" borderId="0" xfId="1" applyNumberFormat="1" applyFont="1" applyFill="1" applyBorder="1" applyAlignment="1">
      <alignment horizontal="right"/>
    </xf>
    <xf numFmtId="44" fontId="11" fillId="0" borderId="0" xfId="2" applyFont="1" applyBorder="1"/>
    <xf numFmtId="44" fontId="11" fillId="0" borderId="0" xfId="1" applyNumberFormat="1" applyFont="1" applyFill="1"/>
    <xf numFmtId="44" fontId="11" fillId="0" borderId="54" xfId="2" applyFont="1" applyFill="1" applyBorder="1"/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left"/>
    </xf>
    <xf numFmtId="165" fontId="11" fillId="0" borderId="19" xfId="1" applyNumberFormat="1" applyFont="1" applyFill="1" applyBorder="1" applyAlignment="1">
      <alignment horizontal="right"/>
    </xf>
    <xf numFmtId="165" fontId="11" fillId="0" borderId="0" xfId="1" applyNumberFormat="1" applyFont="1" applyFill="1" applyBorder="1" applyAlignment="1">
      <alignment horizontal="right"/>
    </xf>
    <xf numFmtId="43" fontId="11" fillId="0" borderId="22" xfId="1" applyFont="1" applyFill="1" applyBorder="1" applyAlignment="1">
      <alignment horizontal="right"/>
    </xf>
    <xf numFmtId="168" fontId="10" fillId="0" borderId="50" xfId="2" applyNumberFormat="1" applyFont="1" applyBorder="1"/>
    <xf numFmtId="44" fontId="11" fillId="0" borderId="0" xfId="2" applyFont="1" applyFill="1" applyBorder="1"/>
    <xf numFmtId="166" fontId="11" fillId="0" borderId="39" xfId="2" applyNumberFormat="1" applyFont="1" applyFill="1" applyBorder="1"/>
    <xf numFmtId="40" fontId="11" fillId="0" borderId="79" xfId="0" applyNumberFormat="1" applyFont="1" applyBorder="1"/>
    <xf numFmtId="40" fontId="11" fillId="0" borderId="39" xfId="0" applyNumberFormat="1" applyFont="1" applyBorder="1"/>
    <xf numFmtId="165" fontId="10" fillId="0" borderId="29" xfId="1" applyNumberFormat="1" applyFont="1" applyFill="1" applyBorder="1"/>
    <xf numFmtId="166" fontId="10" fillId="0" borderId="62" xfId="2" applyNumberFormat="1" applyFont="1" applyFill="1" applyBorder="1"/>
    <xf numFmtId="165" fontId="11" fillId="0" borderId="29" xfId="1" applyNumberFormat="1" applyFont="1" applyBorder="1"/>
    <xf numFmtId="0" fontId="10" fillId="5" borderId="79" xfId="0" applyFont="1" applyFill="1" applyBorder="1" applyAlignment="1">
      <alignment horizontal="center" wrapText="1"/>
    </xf>
    <xf numFmtId="174" fontId="10" fillId="5" borderId="79" xfId="0" applyNumberFormat="1" applyFont="1" applyFill="1" applyBorder="1" applyAlignment="1">
      <alignment horizontal="center"/>
    </xf>
    <xf numFmtId="174" fontId="10" fillId="5" borderId="29" xfId="0" applyNumberFormat="1" applyFont="1" applyFill="1" applyBorder="1" applyAlignment="1">
      <alignment horizontal="center"/>
    </xf>
    <xf numFmtId="17" fontId="11" fillId="0" borderId="3" xfId="0" applyNumberFormat="1" applyFont="1" applyBorder="1" applyAlignment="1">
      <alignment horizontal="center"/>
    </xf>
    <xf numFmtId="43" fontId="11" fillId="0" borderId="22" xfId="1" applyFont="1" applyBorder="1" applyAlignment="1">
      <alignment horizontal="right"/>
    </xf>
    <xf numFmtId="165" fontId="11" fillId="0" borderId="12" xfId="1" applyNumberFormat="1" applyFont="1" applyFill="1" applyBorder="1"/>
    <xf numFmtId="0" fontId="10" fillId="0" borderId="0" xfId="0" quotePrefix="1" applyFont="1"/>
    <xf numFmtId="43" fontId="11" fillId="0" borderId="0" xfId="1" applyFont="1" applyAlignment="1">
      <alignment horizontal="right"/>
    </xf>
    <xf numFmtId="165" fontId="11" fillId="0" borderId="54" xfId="1" applyNumberFormat="1" applyFont="1" applyBorder="1" applyAlignment="1">
      <alignment horizontal="right"/>
    </xf>
    <xf numFmtId="165" fontId="11" fillId="0" borderId="17" xfId="1" applyNumberFormat="1" applyFont="1" applyBorder="1" applyAlignment="1">
      <alignment horizontal="right"/>
    </xf>
    <xf numFmtId="165" fontId="11" fillId="0" borderId="54" xfId="1" applyNumberFormat="1" applyFont="1" applyBorder="1"/>
    <xf numFmtId="165" fontId="11" fillId="0" borderId="0" xfId="1" applyNumberFormat="1" applyFont="1" applyAlignment="1">
      <alignment horizontal="right"/>
    </xf>
    <xf numFmtId="0" fontId="10" fillId="5" borderId="25" xfId="0" applyFont="1" applyFill="1" applyBorder="1" applyAlignment="1">
      <alignment horizontal="center" wrapText="1"/>
    </xf>
    <xf numFmtId="174" fontId="10" fillId="5" borderId="12" xfId="0" applyNumberFormat="1" applyFont="1" applyFill="1" applyBorder="1" applyAlignment="1">
      <alignment horizontal="center"/>
    </xf>
    <xf numFmtId="165" fontId="11" fillId="0" borderId="0" xfId="1" applyNumberFormat="1" applyFont="1" applyFill="1" applyBorder="1" applyAlignment="1">
      <alignment vertical="center"/>
    </xf>
    <xf numFmtId="174" fontId="10" fillId="5" borderId="27" xfId="0" applyNumberFormat="1" applyFont="1" applyFill="1" applyBorder="1" applyAlignment="1">
      <alignment horizontal="center"/>
    </xf>
    <xf numFmtId="40" fontId="11" fillId="0" borderId="27" xfId="0" applyNumberFormat="1" applyFont="1" applyBorder="1"/>
    <xf numFmtId="166" fontId="10" fillId="0" borderId="0" xfId="2" applyNumberFormat="1" applyFont="1" applyFill="1" applyBorder="1"/>
    <xf numFmtId="166" fontId="10" fillId="0" borderId="7" xfId="2" applyNumberFormat="1" applyFont="1" applyBorder="1"/>
    <xf numFmtId="165" fontId="10" fillId="0" borderId="12" xfId="1" applyNumberFormat="1" applyFont="1" applyBorder="1"/>
    <xf numFmtId="40" fontId="11" fillId="0" borderId="43" xfId="0" applyNumberFormat="1" applyFont="1" applyBorder="1"/>
    <xf numFmtId="165" fontId="11" fillId="0" borderId="12" xfId="1" applyNumberFormat="1" applyFont="1" applyBorder="1"/>
    <xf numFmtId="43" fontId="11" fillId="0" borderId="0" xfId="1" applyFont="1" applyFill="1"/>
    <xf numFmtId="43" fontId="7" fillId="0" borderId="0" xfId="0" applyNumberFormat="1" applyFont="1"/>
    <xf numFmtId="165" fontId="10" fillId="5" borderId="27" xfId="0" applyNumberFormat="1" applyFont="1" applyFill="1" applyBorder="1" applyAlignment="1">
      <alignment horizontal="center"/>
    </xf>
    <xf numFmtId="0" fontId="21" fillId="5" borderId="79" xfId="0" applyFont="1" applyFill="1" applyBorder="1" applyAlignment="1">
      <alignment horizontal="left" vertical="top"/>
    </xf>
    <xf numFmtId="0" fontId="11" fillId="0" borderId="28" xfId="0" applyFont="1" applyBorder="1" applyAlignment="1">
      <alignment vertical="center" wrapText="1"/>
    </xf>
    <xf numFmtId="0" fontId="11" fillId="0" borderId="28" xfId="0" applyFont="1" applyBorder="1" applyAlignment="1">
      <alignment horizontal="left" wrapText="1"/>
    </xf>
    <xf numFmtId="0" fontId="17" fillId="0" borderId="29" xfId="0" applyFont="1" applyBorder="1"/>
    <xf numFmtId="0" fontId="17" fillId="0" borderId="28" xfId="0" applyFont="1" applyBorder="1"/>
    <xf numFmtId="171" fontId="10" fillId="5" borderId="27" xfId="0" applyNumberFormat="1" applyFont="1" applyFill="1" applyBorder="1" applyAlignment="1">
      <alignment horizontal="center"/>
    </xf>
    <xf numFmtId="0" fontId="11" fillId="5" borderId="79" xfId="0" applyFont="1" applyFill="1" applyBorder="1" applyAlignment="1">
      <alignment horizontal="center"/>
    </xf>
    <xf numFmtId="166" fontId="14" fillId="0" borderId="67" xfId="2" quotePrefix="1" applyNumberFormat="1" applyFont="1" applyBorder="1" applyAlignment="1">
      <alignment horizontal="right"/>
    </xf>
    <xf numFmtId="0" fontId="14" fillId="0" borderId="0" xfId="0" quotePrefix="1" applyFont="1"/>
    <xf numFmtId="182" fontId="11" fillId="0" borderId="19" xfId="1" applyNumberFormat="1" applyFont="1" applyFill="1" applyBorder="1" applyAlignment="1">
      <alignment horizontal="right"/>
    </xf>
    <xf numFmtId="182" fontId="11" fillId="0" borderId="7" xfId="1" applyNumberFormat="1" applyFont="1" applyFill="1" applyBorder="1" applyAlignment="1">
      <alignment horizontal="right"/>
    </xf>
    <xf numFmtId="182" fontId="11" fillId="0" borderId="0" xfId="1" applyNumberFormat="1" applyFont="1" applyFill="1" applyBorder="1" applyAlignment="1">
      <alignment horizontal="right"/>
    </xf>
    <xf numFmtId="10" fontId="11" fillId="0" borderId="7" xfId="5" applyNumberFormat="1" applyFont="1" applyBorder="1"/>
    <xf numFmtId="165" fontId="9" fillId="0" borderId="0" xfId="1" applyNumberFormat="1" applyFont="1" applyAlignment="1">
      <alignment vertical="top"/>
    </xf>
    <xf numFmtId="170" fontId="11" fillId="0" borderId="0" xfId="5" applyNumberFormat="1" applyFont="1" applyFill="1" applyBorder="1"/>
    <xf numFmtId="168" fontId="11" fillId="0" borderId="76" xfId="2" applyNumberFormat="1" applyFont="1" applyFill="1" applyBorder="1"/>
    <xf numFmtId="168" fontId="18" fillId="0" borderId="28" xfId="2" applyNumberFormat="1" applyFont="1" applyFill="1" applyBorder="1" applyAlignment="1">
      <alignment horizontal="center" wrapText="1"/>
    </xf>
    <xf numFmtId="0" fontId="11" fillId="0" borderId="28" xfId="0" applyFont="1" applyBorder="1" applyAlignment="1">
      <alignment horizontal="left" vertical="top"/>
    </xf>
    <xf numFmtId="0" fontId="11" fillId="0" borderId="22" xfId="0" quotePrefix="1" applyFont="1" applyBorder="1" applyAlignment="1">
      <alignment horizontal="center"/>
    </xf>
    <xf numFmtId="182" fontId="9" fillId="0" borderId="0" xfId="1" applyNumberFormat="1" applyFont="1"/>
    <xf numFmtId="165" fontId="44" fillId="0" borderId="77" xfId="15" applyNumberFormat="1" applyFont="1" applyBorder="1" applyAlignment="1">
      <alignment vertical="center"/>
    </xf>
    <xf numFmtId="0" fontId="10" fillId="0" borderId="2" xfId="0" quotePrefix="1" applyFont="1" applyBorder="1" applyAlignment="1">
      <alignment horizontal="right"/>
    </xf>
    <xf numFmtId="166" fontId="10" fillId="0" borderId="74" xfId="2" applyNumberFormat="1" applyFont="1" applyFill="1" applyBorder="1"/>
    <xf numFmtId="166" fontId="10" fillId="0" borderId="75" xfId="2" applyNumberFormat="1" applyFont="1" applyFill="1" applyBorder="1"/>
    <xf numFmtId="0" fontId="43" fillId="0" borderId="19" xfId="0" applyFont="1" applyBorder="1"/>
    <xf numFmtId="165" fontId="11" fillId="0" borderId="28" xfId="1" applyNumberFormat="1" applyFont="1" applyFill="1" applyBorder="1" applyAlignment="1">
      <alignment vertical="center"/>
    </xf>
    <xf numFmtId="165" fontId="11" fillId="0" borderId="28" xfId="1" applyNumberFormat="1" applyFont="1" applyFill="1" applyBorder="1" applyAlignment="1">
      <alignment horizontal="center" vertical="center"/>
    </xf>
    <xf numFmtId="0" fontId="11" fillId="0" borderId="23" xfId="0" quotePrefix="1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0" fillId="5" borderId="26" xfId="0" applyFont="1" applyFill="1" applyBorder="1" applyAlignment="1">
      <alignment horizontal="center" wrapText="1"/>
    </xf>
    <xf numFmtId="0" fontId="11" fillId="0" borderId="28" xfId="0" quotePrefix="1" applyFont="1" applyBorder="1" applyAlignment="1">
      <alignment horizontal="center"/>
    </xf>
    <xf numFmtId="0" fontId="11" fillId="0" borderId="29" xfId="0" applyFont="1" applyBorder="1" applyAlignment="1">
      <alignment horizontal="left"/>
    </xf>
    <xf numFmtId="165" fontId="11" fillId="0" borderId="23" xfId="1" applyNumberFormat="1" applyFont="1" applyFill="1" applyBorder="1"/>
    <xf numFmtId="1" fontId="11" fillId="0" borderId="22" xfId="0" applyNumberFormat="1" applyFont="1" applyBorder="1" applyAlignment="1">
      <alignment horizontal="right"/>
    </xf>
    <xf numFmtId="0" fontId="11" fillId="0" borderId="39" xfId="0" quotePrefix="1" applyFont="1" applyBorder="1" applyAlignment="1">
      <alignment horizontal="center"/>
    </xf>
    <xf numFmtId="0" fontId="8" fillId="0" borderId="0" xfId="1" applyNumberFormat="1" applyFont="1" applyFill="1" applyBorder="1" applyAlignment="1">
      <alignment horizontal="left"/>
    </xf>
    <xf numFmtId="44" fontId="11" fillId="0" borderId="0" xfId="2" applyFont="1" applyFill="1"/>
    <xf numFmtId="0" fontId="10" fillId="0" borderId="0" xfId="1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0" applyFont="1" applyAlignment="1">
      <alignment horizontal="center" vertical="justify"/>
    </xf>
    <xf numFmtId="3" fontId="10" fillId="0" borderId="0" xfId="0" applyNumberFormat="1" applyFont="1" applyAlignment="1">
      <alignment horizontal="center" vertical="justify"/>
    </xf>
    <xf numFmtId="0" fontId="10" fillId="0" borderId="0" xfId="0" applyFont="1" applyAlignment="1">
      <alignment horizontal="center" vertical="center"/>
    </xf>
    <xf numFmtId="0" fontId="36" fillId="3" borderId="21" xfId="0" applyFont="1" applyFill="1" applyBorder="1" applyAlignment="1">
      <alignment horizontal="center"/>
    </xf>
    <xf numFmtId="0" fontId="36" fillId="3" borderId="43" xfId="0" applyFont="1" applyFill="1" applyBorder="1" applyAlignment="1">
      <alignment horizontal="center"/>
    </xf>
    <xf numFmtId="0" fontId="36" fillId="3" borderId="24" xfId="0" applyFont="1" applyFill="1" applyBorder="1" applyAlignment="1">
      <alignment horizontal="center"/>
    </xf>
    <xf numFmtId="0" fontId="36" fillId="3" borderId="20" xfId="0" applyFont="1" applyFill="1" applyBorder="1" applyAlignment="1">
      <alignment horizontal="center"/>
    </xf>
    <xf numFmtId="0" fontId="36" fillId="3" borderId="0" xfId="0" applyFont="1" applyFill="1" applyAlignment="1">
      <alignment horizontal="center"/>
    </xf>
    <xf numFmtId="0" fontId="36" fillId="3" borderId="22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</cellXfs>
  <cellStyles count="22">
    <cellStyle name="Comma" xfId="1" builtinId="3"/>
    <cellStyle name="Comma 14" xfId="15" xr:uid="{00000000-0005-0000-0000-000001000000}"/>
    <cellStyle name="Comma 14 2" xfId="21" xr:uid="{00FB1CCE-D6C1-49F0-A30B-27ED7D229814}"/>
    <cellStyle name="Comma 2" xfId="12" xr:uid="{00000000-0005-0000-0000-000002000000}"/>
    <cellStyle name="Comma 3" xfId="19" xr:uid="{C47336E8-D94B-49C2-B7EE-22235241E155}"/>
    <cellStyle name="Currency" xfId="2" builtinId="4"/>
    <cellStyle name="Currency 2" xfId="11" xr:uid="{00000000-0005-0000-0000-000004000000}"/>
    <cellStyle name="Normal" xfId="0" builtinId="0"/>
    <cellStyle name="Normal 10" xfId="9" xr:uid="{00000000-0005-0000-0000-000006000000}"/>
    <cellStyle name="Normal 10 2 2 2" xfId="18" xr:uid="{00000000-0005-0000-0000-000007000000}"/>
    <cellStyle name="Normal 12" xfId="8" xr:uid="{00000000-0005-0000-0000-000008000000}"/>
    <cellStyle name="Normal 19" xfId="7" xr:uid="{00000000-0005-0000-0000-000009000000}"/>
    <cellStyle name="Normal 2" xfId="10" xr:uid="{00000000-0005-0000-0000-00000A000000}"/>
    <cellStyle name="Normal 2 3 3" xfId="6" xr:uid="{00000000-0005-0000-0000-00000B000000}"/>
    <cellStyle name="Normal 20" xfId="14" xr:uid="{00000000-0005-0000-0000-00000C000000}"/>
    <cellStyle name="Normal 20 2" xfId="20" xr:uid="{80C12A75-8FE9-45AF-9CAB-1288F15EF8E5}"/>
    <cellStyle name="Normal 21" xfId="16" xr:uid="{00000000-0005-0000-0000-00000D000000}"/>
    <cellStyle name="Normal 22" xfId="17" xr:uid="{00000000-0005-0000-0000-00000E000000}"/>
    <cellStyle name="Normal_Draft TRBAA 2009 Forecast" xfId="3" xr:uid="{00000000-0005-0000-0000-00000F000000}"/>
    <cellStyle name="Normal_R1, 2009 ETC Cost Differential Forecast" xfId="4" xr:uid="{00000000-0005-0000-0000-000010000000}"/>
    <cellStyle name="Percent" xfId="5" builtinId="5"/>
    <cellStyle name="Percent 2" xfId="13" xr:uid="{00000000-0005-0000-0000-000012000000}"/>
  </cellStyles>
  <dxfs count="0"/>
  <tableStyles count="1" defaultTableStyle="TableStyleMedium9" defaultPivotStyle="PivotStyleLight16">
    <tableStyle name="Invisible" pivot="0" table="0" count="0" xr9:uid="{388BAACD-86A7-4450-93BC-E0906B5B0CEE}"/>
  </tableStyles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9CD287D-82BD-48ED-9573-E17F1B5E57AD}">
  <we:reference id="wa200003693" version="1.0.4.0" store="en-US" storeType="OMEX"/>
  <we:alternateReferences>
    <we:reference id="WA200003693" version="1.0.4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0"/>
  <sheetViews>
    <sheetView tabSelected="1" zoomScale="80" zoomScaleNormal="80" workbookViewId="0">
      <selection activeCell="J26" sqref="J26"/>
    </sheetView>
  </sheetViews>
  <sheetFormatPr defaultColWidth="8.5703125" defaultRowHeight="12.75" x14ac:dyDescent="0.2"/>
  <cols>
    <col min="1" max="1" width="5.5703125" style="1" customWidth="1"/>
    <col min="2" max="4" width="20.5703125" style="1" customWidth="1"/>
    <col min="5" max="5" width="22.28515625" style="1" bestFit="1" customWidth="1"/>
    <col min="6" max="6" width="40.5703125" style="1" customWidth="1"/>
    <col min="7" max="7" width="5.5703125" style="1" customWidth="1"/>
    <col min="8" max="8" width="8.5703125" style="1" customWidth="1"/>
    <col min="9" max="12" width="16.5703125" style="1" customWidth="1"/>
    <col min="13" max="16384" width="8.5703125" style="1"/>
  </cols>
  <sheetData>
    <row r="2" spans="1:12" s="3" customFormat="1" ht="18" customHeight="1" x14ac:dyDescent="0.25">
      <c r="A2" s="5" t="s">
        <v>0</v>
      </c>
      <c r="B2" s="5"/>
      <c r="C2" s="5"/>
      <c r="D2" s="5"/>
      <c r="E2" s="5"/>
      <c r="F2" s="5"/>
      <c r="G2" s="41"/>
      <c r="H2" s="1"/>
      <c r="I2" s="1"/>
      <c r="J2" s="1"/>
    </row>
    <row r="3" spans="1:12" s="3" customFormat="1" ht="18" customHeight="1" x14ac:dyDescent="0.25">
      <c r="A3" s="5" t="s">
        <v>1</v>
      </c>
      <c r="B3" s="5"/>
      <c r="C3" s="5"/>
      <c r="D3" s="5"/>
      <c r="E3" s="5"/>
      <c r="F3" s="5"/>
      <c r="G3" s="41"/>
      <c r="H3" s="1"/>
      <c r="I3" s="1"/>
      <c r="J3" s="1"/>
    </row>
    <row r="4" spans="1:12" s="3" customFormat="1" ht="18" customHeight="1" x14ac:dyDescent="0.25">
      <c r="A4" s="5" t="s">
        <v>469</v>
      </c>
      <c r="B4" s="5"/>
      <c r="C4" s="5"/>
      <c r="D4" s="5"/>
      <c r="E4" s="5"/>
      <c r="F4" s="5"/>
      <c r="G4" s="41"/>
      <c r="H4" s="1"/>
      <c r="I4" s="1"/>
      <c r="J4" s="1"/>
    </row>
    <row r="5" spans="1:12" ht="15.75" x14ac:dyDescent="0.2">
      <c r="A5" s="5" t="s">
        <v>2</v>
      </c>
      <c r="B5" s="5"/>
      <c r="C5" s="5"/>
      <c r="D5" s="41"/>
      <c r="E5" s="41"/>
      <c r="F5" s="41"/>
      <c r="G5" s="41"/>
    </row>
    <row r="6" spans="1:12" ht="16.5" thickBot="1" x14ac:dyDescent="0.25">
      <c r="A6" s="5"/>
      <c r="B6" s="5"/>
      <c r="C6" s="5"/>
      <c r="D6" s="41"/>
      <c r="E6" s="41"/>
      <c r="F6" s="41"/>
      <c r="G6" s="41"/>
    </row>
    <row r="7" spans="1:12" ht="15.75" x14ac:dyDescent="0.25">
      <c r="A7" s="286"/>
      <c r="B7" s="540"/>
      <c r="C7" s="165" t="s">
        <v>3</v>
      </c>
      <c r="D7" s="165" t="s">
        <v>4</v>
      </c>
      <c r="E7" s="165" t="s">
        <v>5</v>
      </c>
      <c r="F7" s="541"/>
      <c r="G7" s="542"/>
    </row>
    <row r="8" spans="1:12" ht="15.75" x14ac:dyDescent="0.25">
      <c r="A8" s="543"/>
      <c r="B8" s="94"/>
      <c r="C8" s="75" t="s">
        <v>528</v>
      </c>
      <c r="D8" s="75" t="s">
        <v>6</v>
      </c>
      <c r="E8" s="75" t="s">
        <v>528</v>
      </c>
      <c r="F8" s="94"/>
      <c r="G8" s="544"/>
    </row>
    <row r="9" spans="1:12" ht="15.75" x14ac:dyDescent="0.25">
      <c r="A9" s="545" t="s">
        <v>7</v>
      </c>
      <c r="B9" s="75"/>
      <c r="C9" s="158" t="s">
        <v>529</v>
      </c>
      <c r="D9" s="75" t="s">
        <v>9</v>
      </c>
      <c r="E9" s="158" t="s">
        <v>529</v>
      </c>
      <c r="F9" s="75"/>
      <c r="G9" s="546" t="s">
        <v>7</v>
      </c>
    </row>
    <row r="10" spans="1:12" ht="19.5" thickBot="1" x14ac:dyDescent="0.3">
      <c r="A10" s="563" t="s">
        <v>10</v>
      </c>
      <c r="B10" s="153" t="s">
        <v>11</v>
      </c>
      <c r="C10" s="565" t="s">
        <v>12</v>
      </c>
      <c r="D10" s="153" t="s">
        <v>13</v>
      </c>
      <c r="E10" s="565" t="s">
        <v>14</v>
      </c>
      <c r="F10" s="153" t="s">
        <v>15</v>
      </c>
      <c r="G10" s="564" t="s">
        <v>10</v>
      </c>
      <c r="I10" s="90"/>
      <c r="J10" s="90"/>
      <c r="K10" s="90"/>
    </row>
    <row r="11" spans="1:12" ht="15.75" x14ac:dyDescent="0.25">
      <c r="A11" s="262"/>
      <c r="B11" s="761"/>
      <c r="C11" s="188"/>
      <c r="D11" s="10"/>
      <c r="E11" s="188"/>
      <c r="F11" s="10"/>
      <c r="G11" s="263"/>
      <c r="I11" s="90"/>
      <c r="J11" s="90"/>
      <c r="K11" s="90"/>
    </row>
    <row r="12" spans="1:12" ht="15.75" x14ac:dyDescent="0.25">
      <c r="A12" s="262">
        <v>1</v>
      </c>
      <c r="B12" s="477">
        <v>45931</v>
      </c>
      <c r="C12" s="44">
        <f>'WP 1.1 Recorded Sales'!C$39</f>
        <v>1638300694</v>
      </c>
      <c r="D12" s="44">
        <f>'WP 1.1 Recorded Sales'!C$38</f>
        <v>0</v>
      </c>
      <c r="E12" s="45">
        <f t="shared" ref="E12:E23" si="0">C12-D12</f>
        <v>1638300694</v>
      </c>
      <c r="F12" s="240" t="s">
        <v>16</v>
      </c>
      <c r="G12" s="263">
        <v>1</v>
      </c>
      <c r="I12" s="140"/>
      <c r="J12" s="140"/>
      <c r="K12" s="140"/>
      <c r="L12" s="179"/>
    </row>
    <row r="13" spans="1:12" ht="15.75" x14ac:dyDescent="0.25">
      <c r="A13" s="262">
        <f t="shared" ref="A13:A26" si="1">A12+1</f>
        <v>2</v>
      </c>
      <c r="B13" s="477">
        <v>45962</v>
      </c>
      <c r="C13" s="44">
        <f>'WP 1.1 Recorded Sales'!D$39</f>
        <v>1240088104</v>
      </c>
      <c r="D13" s="44">
        <f>'WP 1.1 Recorded Sales'!D$38</f>
        <v>0</v>
      </c>
      <c r="E13" s="45">
        <f t="shared" si="0"/>
        <v>1240088104</v>
      </c>
      <c r="F13" s="240" t="str">
        <f>$F$12</f>
        <v>Workpaper No. 1; Page 1.1; Lines 30; 29</v>
      </c>
      <c r="G13" s="263">
        <f t="shared" ref="G13:G26" si="2">G12+1</f>
        <v>2</v>
      </c>
      <c r="I13" s="140"/>
      <c r="J13" s="140"/>
      <c r="K13" s="140"/>
      <c r="L13" s="179"/>
    </row>
    <row r="14" spans="1:12" ht="15.75" x14ac:dyDescent="0.25">
      <c r="A14" s="262">
        <f t="shared" si="1"/>
        <v>3</v>
      </c>
      <c r="B14" s="477">
        <v>45992</v>
      </c>
      <c r="C14" s="44">
        <f>'WP 1.1 Recorded Sales'!E$39</f>
        <v>1477379730</v>
      </c>
      <c r="D14" s="44">
        <f>'WP 1.1 Recorded Sales'!E$38</f>
        <v>0</v>
      </c>
      <c r="E14" s="45">
        <f t="shared" si="0"/>
        <v>1477379730</v>
      </c>
      <c r="F14" s="240" t="str">
        <f t="shared" ref="F14:F23" si="3">$F$12</f>
        <v>Workpaper No. 1; Page 1.1; Lines 30; 29</v>
      </c>
      <c r="G14" s="263">
        <f t="shared" si="2"/>
        <v>3</v>
      </c>
      <c r="I14" s="140"/>
      <c r="J14" s="140"/>
      <c r="K14" s="140"/>
      <c r="L14" s="179"/>
    </row>
    <row r="15" spans="1:12" ht="15.75" x14ac:dyDescent="0.25">
      <c r="A15" s="262">
        <f t="shared" si="1"/>
        <v>4</v>
      </c>
      <c r="B15" s="477">
        <v>46023</v>
      </c>
      <c r="C15" s="44">
        <f>'WP 1.1 Recorded Sales'!F$39</f>
        <v>1487837971</v>
      </c>
      <c r="D15" s="44">
        <f>'WP 1.1 Recorded Sales'!F$38</f>
        <v>0</v>
      </c>
      <c r="E15" s="45">
        <f t="shared" si="0"/>
        <v>1487837971</v>
      </c>
      <c r="F15" s="240" t="str">
        <f t="shared" si="3"/>
        <v>Workpaper No. 1; Page 1.1; Lines 30; 29</v>
      </c>
      <c r="G15" s="263">
        <f t="shared" si="2"/>
        <v>4</v>
      </c>
      <c r="I15" s="140"/>
      <c r="J15" s="140"/>
      <c r="K15" s="140"/>
      <c r="L15" s="179"/>
    </row>
    <row r="16" spans="1:12" ht="15.75" x14ac:dyDescent="0.25">
      <c r="A16" s="262">
        <f t="shared" si="1"/>
        <v>5</v>
      </c>
      <c r="B16" s="477">
        <v>46054</v>
      </c>
      <c r="C16" s="44">
        <f>'WP 1.1 Recorded Sales'!G$39</f>
        <v>1135409538</v>
      </c>
      <c r="D16" s="44">
        <f>'WP 1.1 Recorded Sales'!G$38</f>
        <v>0</v>
      </c>
      <c r="E16" s="45">
        <f t="shared" si="0"/>
        <v>1135409538</v>
      </c>
      <c r="F16" s="240" t="str">
        <f t="shared" si="3"/>
        <v>Workpaper No. 1; Page 1.1; Lines 30; 29</v>
      </c>
      <c r="G16" s="263">
        <f t="shared" si="2"/>
        <v>5</v>
      </c>
      <c r="I16" s="140"/>
      <c r="J16" s="140"/>
      <c r="K16" s="140"/>
      <c r="L16" s="179"/>
    </row>
    <row r="17" spans="1:12" ht="15.75" x14ac:dyDescent="0.25">
      <c r="A17" s="262">
        <f t="shared" si="1"/>
        <v>6</v>
      </c>
      <c r="B17" s="477">
        <v>46082</v>
      </c>
      <c r="C17" s="44">
        <f>'WP 1.1 Recorded Sales'!H$39</f>
        <v>1363529102</v>
      </c>
      <c r="D17" s="44">
        <f>'WP 1.1 Recorded Sales'!H$38</f>
        <v>0</v>
      </c>
      <c r="E17" s="45">
        <f t="shared" si="0"/>
        <v>1363529102</v>
      </c>
      <c r="F17" s="240" t="str">
        <f t="shared" si="3"/>
        <v>Workpaper No. 1; Page 1.1; Lines 30; 29</v>
      </c>
      <c r="G17" s="263">
        <f t="shared" si="2"/>
        <v>6</v>
      </c>
      <c r="I17" s="140"/>
      <c r="J17" s="140"/>
      <c r="K17" s="140"/>
      <c r="L17" s="179"/>
    </row>
    <row r="18" spans="1:12" ht="15.75" x14ac:dyDescent="0.25">
      <c r="A18" s="262">
        <f t="shared" si="1"/>
        <v>7</v>
      </c>
      <c r="B18" s="477">
        <v>46113</v>
      </c>
      <c r="C18" s="44">
        <f>'WP 1.1 Recorded Sales'!I$39</f>
        <v>1371646695</v>
      </c>
      <c r="D18" s="44">
        <f>'WP 1.1 Recorded Sales'!I$38</f>
        <v>0</v>
      </c>
      <c r="E18" s="45">
        <f t="shared" si="0"/>
        <v>1371646695</v>
      </c>
      <c r="F18" s="240" t="str">
        <f t="shared" si="3"/>
        <v>Workpaper No. 1; Page 1.1; Lines 30; 29</v>
      </c>
      <c r="G18" s="263">
        <f t="shared" si="2"/>
        <v>7</v>
      </c>
      <c r="I18" s="140"/>
      <c r="J18" s="140"/>
      <c r="K18" s="140"/>
      <c r="L18" s="179"/>
    </row>
    <row r="19" spans="1:12" ht="15.75" x14ac:dyDescent="0.25">
      <c r="A19" s="262">
        <f t="shared" si="1"/>
        <v>8</v>
      </c>
      <c r="B19" s="477">
        <v>46143</v>
      </c>
      <c r="C19" s="44">
        <f>'WP 1.1 Recorded Sales'!J$39</f>
        <v>1059815269</v>
      </c>
      <c r="D19" s="44">
        <f>'WP 1.1 Recorded Sales'!J$38</f>
        <v>0</v>
      </c>
      <c r="E19" s="45">
        <f t="shared" si="0"/>
        <v>1059815269</v>
      </c>
      <c r="F19" s="240" t="str">
        <f t="shared" si="3"/>
        <v>Workpaper No. 1; Page 1.1; Lines 30; 29</v>
      </c>
      <c r="G19" s="263">
        <f t="shared" si="2"/>
        <v>8</v>
      </c>
      <c r="I19" s="140"/>
      <c r="J19" s="140"/>
      <c r="K19" s="140"/>
      <c r="L19" s="179"/>
    </row>
    <row r="20" spans="1:12" ht="15.75" x14ac:dyDescent="0.25">
      <c r="A20" s="262">
        <f t="shared" si="1"/>
        <v>9</v>
      </c>
      <c r="B20" s="477">
        <v>46174</v>
      </c>
      <c r="C20" s="44">
        <f>'WP 1.1 Recorded Sales'!K$39</f>
        <v>1458139063</v>
      </c>
      <c r="D20" s="44">
        <f>'WP 1.1 Recorded Sales'!K$38</f>
        <v>0</v>
      </c>
      <c r="E20" s="45">
        <f t="shared" si="0"/>
        <v>1458139063</v>
      </c>
      <c r="F20" s="240" t="str">
        <f t="shared" si="3"/>
        <v>Workpaper No. 1; Page 1.1; Lines 30; 29</v>
      </c>
      <c r="G20" s="263">
        <f t="shared" si="2"/>
        <v>9</v>
      </c>
      <c r="I20" s="140"/>
      <c r="J20" s="140"/>
      <c r="K20" s="140"/>
      <c r="L20" s="179"/>
    </row>
    <row r="21" spans="1:12" ht="15.75" x14ac:dyDescent="0.25">
      <c r="A21" s="262">
        <f t="shared" si="1"/>
        <v>10</v>
      </c>
      <c r="B21" s="477">
        <v>46204</v>
      </c>
      <c r="C21" s="44">
        <f>'WP 1.1 Recorded Sales'!L$39</f>
        <v>1526848381</v>
      </c>
      <c r="D21" s="44">
        <f>'WP 1.1 Recorded Sales'!L$38</f>
        <v>0</v>
      </c>
      <c r="E21" s="45">
        <f t="shared" si="0"/>
        <v>1526848381</v>
      </c>
      <c r="F21" s="240" t="str">
        <f t="shared" si="3"/>
        <v>Workpaper No. 1; Page 1.1; Lines 30; 29</v>
      </c>
      <c r="G21" s="263">
        <f t="shared" si="2"/>
        <v>10</v>
      </c>
      <c r="I21" s="140"/>
      <c r="J21" s="140"/>
      <c r="K21" s="140"/>
      <c r="L21" s="179"/>
    </row>
    <row r="22" spans="1:12" ht="15.75" x14ac:dyDescent="0.25">
      <c r="A22" s="262">
        <f t="shared" si="1"/>
        <v>11</v>
      </c>
      <c r="B22" s="477">
        <v>46235</v>
      </c>
      <c r="C22" s="44">
        <f>'WP 1.1 Recorded Sales'!M$39</f>
        <v>1719036176</v>
      </c>
      <c r="D22" s="44">
        <f>'WP 1.1 Recorded Sales'!M$38</f>
        <v>0</v>
      </c>
      <c r="E22" s="45">
        <f t="shared" si="0"/>
        <v>1719036176</v>
      </c>
      <c r="F22" s="240" t="str">
        <f t="shared" si="3"/>
        <v>Workpaper No. 1; Page 1.1; Lines 30; 29</v>
      </c>
      <c r="G22" s="263">
        <f t="shared" si="2"/>
        <v>11</v>
      </c>
      <c r="I22" s="140"/>
      <c r="J22" s="140"/>
      <c r="K22" s="140"/>
      <c r="L22" s="179"/>
    </row>
    <row r="23" spans="1:12" ht="15.75" x14ac:dyDescent="0.25">
      <c r="A23" s="262">
        <f t="shared" si="1"/>
        <v>12</v>
      </c>
      <c r="B23" s="477">
        <v>46266</v>
      </c>
      <c r="C23" s="44">
        <f>'WP 1.1 Recorded Sales'!N$39</f>
        <v>1986346915</v>
      </c>
      <c r="D23" s="44">
        <f>'WP 1.1 Recorded Sales'!N$38</f>
        <v>0</v>
      </c>
      <c r="E23" s="45">
        <f t="shared" si="0"/>
        <v>1986346915</v>
      </c>
      <c r="F23" s="240" t="str">
        <f t="shared" si="3"/>
        <v>Workpaper No. 1; Page 1.1; Lines 30; 29</v>
      </c>
      <c r="G23" s="263">
        <f t="shared" si="2"/>
        <v>12</v>
      </c>
      <c r="I23" s="140"/>
      <c r="J23" s="140"/>
      <c r="K23" s="140"/>
      <c r="L23" s="179"/>
    </row>
    <row r="24" spans="1:12" ht="15.75" x14ac:dyDescent="0.25">
      <c r="A24" s="262">
        <f t="shared" si="1"/>
        <v>13</v>
      </c>
      <c r="B24" s="909"/>
      <c r="C24" s="38"/>
      <c r="D24" s="38"/>
      <c r="E24" s="46"/>
      <c r="F24" s="49"/>
      <c r="G24" s="263">
        <f t="shared" si="2"/>
        <v>13</v>
      </c>
      <c r="I24" s="140"/>
      <c r="J24" s="140"/>
      <c r="K24" s="140"/>
      <c r="L24" s="140"/>
    </row>
    <row r="25" spans="1:12" ht="15.75" x14ac:dyDescent="0.25">
      <c r="A25" s="262">
        <f t="shared" si="1"/>
        <v>14</v>
      </c>
      <c r="B25" s="22"/>
      <c r="C25" s="45"/>
      <c r="D25" s="45"/>
      <c r="E25" s="45"/>
      <c r="F25" s="49"/>
      <c r="G25" s="263">
        <f t="shared" si="2"/>
        <v>14</v>
      </c>
      <c r="I25" s="140"/>
      <c r="J25" s="140"/>
      <c r="K25" s="140"/>
      <c r="L25" s="140"/>
    </row>
    <row r="26" spans="1:12" ht="16.5" thickBot="1" x14ac:dyDescent="0.3">
      <c r="A26" s="262">
        <f t="shared" si="1"/>
        <v>15</v>
      </c>
      <c r="B26" s="43" t="s">
        <v>17</v>
      </c>
      <c r="C26" s="47">
        <f>SUM(C12:C23)</f>
        <v>17464377638</v>
      </c>
      <c r="D26" s="47">
        <f>SUM(D12:D23)</f>
        <v>0</v>
      </c>
      <c r="E26" s="47">
        <f>SUM(E12:E23)</f>
        <v>17464377638</v>
      </c>
      <c r="F26" s="49" t="s">
        <v>18</v>
      </c>
      <c r="G26" s="263">
        <f t="shared" si="2"/>
        <v>15</v>
      </c>
      <c r="I26" s="140"/>
      <c r="J26" s="140"/>
      <c r="K26" s="140"/>
      <c r="L26" s="140"/>
    </row>
    <row r="27" spans="1:12" ht="17.25" thickTop="1" thickBot="1" x14ac:dyDescent="0.3">
      <c r="A27" s="300"/>
      <c r="B27" s="80"/>
      <c r="C27" s="547"/>
      <c r="D27" s="548"/>
      <c r="E27" s="153"/>
      <c r="F27" s="57"/>
      <c r="G27" s="301"/>
      <c r="I27" s="140"/>
      <c r="J27" s="140"/>
      <c r="K27" s="140"/>
      <c r="L27" s="140"/>
    </row>
    <row r="28" spans="1:12" ht="15.75" x14ac:dyDescent="0.25">
      <c r="A28" s="22"/>
      <c r="B28" s="22"/>
      <c r="C28" s="22"/>
      <c r="D28" s="22"/>
      <c r="E28" s="22"/>
      <c r="F28" s="22"/>
      <c r="G28" s="22"/>
    </row>
    <row r="29" spans="1:12" ht="18.75" x14ac:dyDescent="0.25">
      <c r="A29" s="413">
        <v>1</v>
      </c>
      <c r="B29" s="22" t="s">
        <v>534</v>
      </c>
      <c r="C29" s="22"/>
      <c r="D29" s="22"/>
      <c r="E29" s="48"/>
      <c r="F29" s="48"/>
      <c r="G29" s="22"/>
    </row>
    <row r="30" spans="1:12" ht="15.75" x14ac:dyDescent="0.25">
      <c r="A30" s="22"/>
      <c r="B30" s="22"/>
      <c r="C30" s="22"/>
      <c r="D30" s="22"/>
      <c r="E30" s="48"/>
      <c r="F30" s="48"/>
      <c r="G30" s="22"/>
    </row>
    <row r="31" spans="1:12" ht="15.75" x14ac:dyDescent="0.25">
      <c r="A31" s="22"/>
      <c r="B31" s="22"/>
      <c r="C31" s="22"/>
      <c r="D31" s="22"/>
      <c r="E31" s="48"/>
      <c r="F31" s="48"/>
      <c r="G31" s="22"/>
    </row>
    <row r="32" spans="1:12" ht="15.75" x14ac:dyDescent="0.25">
      <c r="A32" s="22"/>
      <c r="B32" s="22"/>
      <c r="C32" s="22"/>
      <c r="D32" s="22"/>
      <c r="E32" s="48"/>
      <c r="F32" s="48"/>
      <c r="G32" s="22"/>
    </row>
    <row r="33" spans="1:7" ht="15.75" x14ac:dyDescent="0.25">
      <c r="A33" s="22"/>
      <c r="B33" s="22"/>
      <c r="C33" s="22"/>
      <c r="D33" s="22"/>
      <c r="E33" s="22"/>
      <c r="F33" s="22"/>
      <c r="G33" s="22"/>
    </row>
    <row r="34" spans="1:7" ht="15.75" x14ac:dyDescent="0.25">
      <c r="A34" s="22"/>
      <c r="B34" s="22"/>
      <c r="C34" s="22"/>
      <c r="D34" s="22"/>
      <c r="E34" s="22"/>
      <c r="F34" s="22"/>
      <c r="G34" s="22"/>
    </row>
    <row r="35" spans="1:7" ht="15.75" x14ac:dyDescent="0.25">
      <c r="A35" s="22"/>
      <c r="B35" s="22"/>
      <c r="C35" s="22"/>
      <c r="D35" s="22"/>
      <c r="E35" s="22"/>
      <c r="F35" s="22"/>
      <c r="G35" s="22"/>
    </row>
    <row r="36" spans="1:7" ht="15.75" x14ac:dyDescent="0.25">
      <c r="A36" s="22"/>
      <c r="B36" s="22"/>
      <c r="C36" s="22"/>
      <c r="D36" s="22"/>
      <c r="E36" s="22"/>
      <c r="F36" s="22"/>
      <c r="G36" s="22"/>
    </row>
    <row r="37" spans="1:7" ht="15.75" x14ac:dyDescent="0.25">
      <c r="A37" s="22"/>
      <c r="B37" s="22"/>
      <c r="C37" s="22"/>
      <c r="D37" s="22"/>
      <c r="E37" s="22"/>
      <c r="F37" s="22"/>
      <c r="G37" s="22"/>
    </row>
    <row r="38" spans="1:7" ht="15.75" x14ac:dyDescent="0.25">
      <c r="A38" s="22"/>
      <c r="B38" s="22"/>
      <c r="C38" s="22"/>
      <c r="D38" s="22"/>
      <c r="E38" s="22"/>
      <c r="F38" s="22"/>
      <c r="G38" s="22"/>
    </row>
    <row r="39" spans="1:7" ht="15.75" x14ac:dyDescent="0.25">
      <c r="A39" s="22"/>
      <c r="B39" s="22"/>
      <c r="C39" s="22"/>
      <c r="D39" s="22"/>
      <c r="E39" s="22"/>
      <c r="F39" s="22"/>
      <c r="G39" s="22"/>
    </row>
    <row r="40" spans="1:7" ht="15.75" x14ac:dyDescent="0.25">
      <c r="A40" s="22"/>
      <c r="B40" s="22"/>
      <c r="C40" s="22"/>
      <c r="D40" s="22"/>
      <c r="E40" s="22"/>
      <c r="F40" s="22"/>
      <c r="G40" s="22"/>
    </row>
    <row r="41" spans="1:7" ht="15.75" x14ac:dyDescent="0.25">
      <c r="A41" s="22"/>
      <c r="B41" s="22"/>
      <c r="C41" s="22"/>
      <c r="D41" s="22"/>
      <c r="E41" s="22"/>
      <c r="F41" s="22"/>
      <c r="G41" s="22"/>
    </row>
    <row r="42" spans="1:7" ht="15.75" x14ac:dyDescent="0.25">
      <c r="A42" s="22"/>
      <c r="B42" s="22"/>
      <c r="C42" s="22"/>
      <c r="D42" s="22"/>
      <c r="E42" s="22"/>
      <c r="F42" s="22"/>
      <c r="G42" s="22"/>
    </row>
    <row r="43" spans="1:7" ht="15.75" x14ac:dyDescent="0.25">
      <c r="A43" s="22"/>
      <c r="B43" s="22"/>
      <c r="C43" s="22"/>
      <c r="D43" s="22"/>
      <c r="E43" s="22"/>
      <c r="F43" s="22"/>
      <c r="G43" s="22"/>
    </row>
    <row r="44" spans="1:7" ht="15.75" x14ac:dyDescent="0.25">
      <c r="A44" s="22"/>
      <c r="B44" s="22"/>
      <c r="C44" s="22"/>
      <c r="D44" s="22"/>
      <c r="E44" s="22"/>
      <c r="F44" s="22"/>
      <c r="G44" s="22"/>
    </row>
    <row r="45" spans="1:7" ht="15.75" x14ac:dyDescent="0.25">
      <c r="A45" s="22"/>
      <c r="B45" s="22"/>
      <c r="C45" s="22"/>
      <c r="D45" s="22"/>
      <c r="E45" s="22"/>
      <c r="F45" s="22"/>
      <c r="G45" s="22"/>
    </row>
    <row r="46" spans="1:7" ht="15.75" x14ac:dyDescent="0.25">
      <c r="A46" s="22"/>
      <c r="B46" s="22"/>
      <c r="C46" s="22"/>
      <c r="D46" s="22"/>
      <c r="E46" s="22"/>
      <c r="F46" s="22"/>
      <c r="G46" s="22"/>
    </row>
    <row r="47" spans="1:7" ht="15.75" x14ac:dyDescent="0.25">
      <c r="A47" s="22"/>
      <c r="B47" s="22"/>
      <c r="C47" s="22"/>
      <c r="D47" s="22"/>
      <c r="E47" s="22"/>
      <c r="F47" s="22"/>
      <c r="G47" s="22"/>
    </row>
    <row r="48" spans="1:7" ht="15.75" x14ac:dyDescent="0.25">
      <c r="A48" s="22"/>
      <c r="B48" s="22"/>
      <c r="C48" s="22"/>
      <c r="D48" s="22"/>
      <c r="E48" s="22"/>
      <c r="F48" s="22"/>
      <c r="G48" s="22"/>
    </row>
    <row r="49" spans="1:7" ht="15.75" x14ac:dyDescent="0.25">
      <c r="A49" s="22"/>
      <c r="B49" s="22"/>
      <c r="C49" s="22"/>
      <c r="D49" s="22"/>
      <c r="E49" s="22"/>
      <c r="F49" s="22"/>
      <c r="G49" s="22"/>
    </row>
    <row r="50" spans="1:7" ht="15.75" x14ac:dyDescent="0.25">
      <c r="A50" s="22"/>
      <c r="B50" s="22"/>
      <c r="C50" s="22"/>
      <c r="D50" s="22"/>
      <c r="E50" s="22"/>
      <c r="F50" s="22"/>
      <c r="G50" s="22"/>
    </row>
    <row r="51" spans="1:7" ht="15.75" x14ac:dyDescent="0.25">
      <c r="A51" s="22"/>
      <c r="B51" s="22"/>
      <c r="C51" s="22"/>
      <c r="D51" s="22"/>
      <c r="E51" s="22"/>
      <c r="F51" s="22"/>
      <c r="G51" s="22"/>
    </row>
    <row r="52" spans="1:7" ht="15.75" x14ac:dyDescent="0.25">
      <c r="A52" s="22"/>
      <c r="B52" s="22"/>
      <c r="C52" s="22"/>
      <c r="D52" s="22"/>
      <c r="E52" s="22"/>
      <c r="F52" s="22"/>
      <c r="G52" s="22"/>
    </row>
    <row r="53" spans="1:7" ht="15.75" x14ac:dyDescent="0.25">
      <c r="A53" s="22"/>
      <c r="B53" s="22"/>
      <c r="C53" s="22"/>
      <c r="D53" s="22"/>
      <c r="E53" s="22"/>
      <c r="F53" s="22"/>
      <c r="G53" s="22"/>
    </row>
    <row r="54" spans="1:7" ht="15.75" x14ac:dyDescent="0.25">
      <c r="A54" s="22"/>
      <c r="B54" s="22"/>
      <c r="C54" s="22"/>
      <c r="D54" s="22"/>
      <c r="E54" s="22"/>
      <c r="F54" s="22"/>
      <c r="G54" s="22"/>
    </row>
    <row r="55" spans="1:7" ht="15.75" x14ac:dyDescent="0.25">
      <c r="A55" s="22"/>
      <c r="B55" s="22"/>
      <c r="C55" s="22"/>
      <c r="D55" s="22"/>
      <c r="E55" s="22"/>
      <c r="F55" s="22"/>
      <c r="G55" s="22"/>
    </row>
    <row r="56" spans="1:7" ht="15.75" x14ac:dyDescent="0.25">
      <c r="A56" s="22"/>
      <c r="B56" s="22"/>
      <c r="C56" s="22"/>
      <c r="D56" s="22"/>
      <c r="E56" s="22"/>
      <c r="F56" s="22"/>
      <c r="G56" s="22"/>
    </row>
    <row r="57" spans="1:7" ht="15.75" x14ac:dyDescent="0.25">
      <c r="A57" s="22"/>
      <c r="B57" s="22"/>
      <c r="C57" s="22"/>
      <c r="D57" s="22"/>
      <c r="E57" s="22"/>
      <c r="F57" s="22"/>
      <c r="G57" s="22"/>
    </row>
    <row r="58" spans="1:7" ht="15.75" x14ac:dyDescent="0.25">
      <c r="A58" s="22"/>
      <c r="B58" s="22"/>
      <c r="C58" s="22"/>
      <c r="D58" s="22"/>
      <c r="E58" s="22"/>
      <c r="F58" s="22"/>
      <c r="G58" s="22"/>
    </row>
    <row r="59" spans="1:7" ht="15.75" x14ac:dyDescent="0.25">
      <c r="A59" s="22"/>
      <c r="B59" s="22"/>
      <c r="C59" s="22"/>
      <c r="D59" s="22"/>
      <c r="E59" s="22"/>
      <c r="F59" s="22"/>
      <c r="G59" s="22"/>
    </row>
    <row r="60" spans="1:7" ht="15.75" x14ac:dyDescent="0.25">
      <c r="A60" s="22"/>
      <c r="B60" s="22"/>
      <c r="C60" s="22"/>
      <c r="D60" s="22"/>
      <c r="E60" s="22"/>
      <c r="F60" s="22"/>
      <c r="G60" s="22"/>
    </row>
  </sheetData>
  <phoneticPr fontId="0" type="noConversion"/>
  <printOptions horizontalCentered="1"/>
  <pageMargins left="0.25" right="0.25" top="0.5" bottom="0.5" header="0.25" footer="0.25"/>
  <pageSetup orientation="landscape" r:id="rId1"/>
  <headerFooter alignWithMargins="0">
    <oddFooter>&amp;L&amp;"Times New Roman,Regular"&amp;12&amp;F&amp;C&amp;"Times New Roman,Regular"&amp;12Page 1 of 5&amp;R&amp;"Times New Roman,Regular"&amp;12&amp;A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60"/>
  <sheetViews>
    <sheetView zoomScale="80" zoomScaleNormal="80" workbookViewId="0">
      <selection activeCell="B31" sqref="B31"/>
    </sheetView>
  </sheetViews>
  <sheetFormatPr defaultColWidth="8.5703125" defaultRowHeight="12.75" x14ac:dyDescent="0.2"/>
  <cols>
    <col min="1" max="1" width="5.5703125" style="1" customWidth="1"/>
    <col min="2" max="4" width="20.5703125" style="1" customWidth="1"/>
    <col min="5" max="5" width="22.28515625" style="1" bestFit="1" customWidth="1"/>
    <col min="6" max="6" width="40.5703125" style="1" customWidth="1"/>
    <col min="7" max="7" width="5.5703125" style="1" customWidth="1"/>
    <col min="8" max="8" width="8.5703125" style="1" customWidth="1"/>
    <col min="9" max="9" width="12.5703125" style="1" customWidth="1"/>
    <col min="10" max="10" width="8.42578125" style="1" customWidth="1"/>
    <col min="11" max="16384" width="8.5703125" style="1"/>
  </cols>
  <sheetData>
    <row r="2" spans="1:10" s="3" customFormat="1" ht="18" customHeight="1" x14ac:dyDescent="0.25">
      <c r="A2" s="5" t="s">
        <v>0</v>
      </c>
      <c r="B2" s="5"/>
      <c r="C2" s="5"/>
      <c r="D2" s="5"/>
      <c r="E2" s="5"/>
      <c r="F2" s="5"/>
      <c r="G2" s="41"/>
      <c r="H2" s="1"/>
      <c r="I2" s="1"/>
      <c r="J2" s="1"/>
    </row>
    <row r="3" spans="1:10" s="3" customFormat="1" ht="18" customHeight="1" x14ac:dyDescent="0.25">
      <c r="A3" s="5" t="s">
        <v>1</v>
      </c>
      <c r="B3" s="5"/>
      <c r="C3" s="5"/>
      <c r="D3" s="5"/>
      <c r="E3" s="5"/>
      <c r="F3" s="5"/>
      <c r="G3" s="41"/>
      <c r="H3" s="1"/>
      <c r="I3" s="1"/>
      <c r="J3" s="1"/>
    </row>
    <row r="4" spans="1:10" s="3" customFormat="1" ht="18" customHeight="1" x14ac:dyDescent="0.25">
      <c r="A4" s="5" t="str">
        <f>'Stmnt BD - Recorded KWH'!A4</f>
        <v>2027 - TRBAA Rate Filing</v>
      </c>
      <c r="B4" s="5"/>
      <c r="C4" s="5"/>
      <c r="D4" s="5"/>
      <c r="E4" s="5"/>
      <c r="F4" s="5"/>
      <c r="G4" s="41"/>
      <c r="H4" s="1"/>
      <c r="I4" s="1"/>
      <c r="J4" s="1"/>
    </row>
    <row r="5" spans="1:10" ht="15.75" x14ac:dyDescent="0.2">
      <c r="A5" s="5" t="s">
        <v>2</v>
      </c>
      <c r="B5" s="5"/>
      <c r="C5" s="5"/>
      <c r="D5" s="41"/>
      <c r="E5" s="41"/>
      <c r="F5" s="41"/>
      <c r="G5" s="41"/>
    </row>
    <row r="6" spans="1:10" ht="16.5" thickBot="1" x14ac:dyDescent="0.25">
      <c r="A6" s="5"/>
      <c r="B6" s="5"/>
      <c r="C6" s="5"/>
      <c r="D6" s="41"/>
      <c r="E6" s="41"/>
      <c r="F6" s="41"/>
      <c r="G6" s="41"/>
    </row>
    <row r="7" spans="1:10" ht="15.75" x14ac:dyDescent="0.25">
      <c r="A7" s="286"/>
      <c r="B7" s="540"/>
      <c r="C7" s="165" t="s">
        <v>3</v>
      </c>
      <c r="D7" s="165" t="s">
        <v>19</v>
      </c>
      <c r="E7" s="165" t="s">
        <v>5</v>
      </c>
      <c r="F7" s="541"/>
      <c r="G7" s="542"/>
    </row>
    <row r="8" spans="1:10" ht="15.75" x14ac:dyDescent="0.25">
      <c r="A8" s="543"/>
      <c r="B8" s="94"/>
      <c r="C8" s="75" t="s">
        <v>528</v>
      </c>
      <c r="D8" s="75" t="s">
        <v>6</v>
      </c>
      <c r="E8" s="75" t="s">
        <v>528</v>
      </c>
      <c r="F8" s="94"/>
      <c r="G8" s="544"/>
    </row>
    <row r="9" spans="1:10" ht="15.75" x14ac:dyDescent="0.25">
      <c r="A9" s="545" t="s">
        <v>7</v>
      </c>
      <c r="B9" s="75"/>
      <c r="C9" s="158" t="s">
        <v>529</v>
      </c>
      <c r="D9" s="75" t="s">
        <v>9</v>
      </c>
      <c r="E9" s="158" t="s">
        <v>529</v>
      </c>
      <c r="F9" s="75"/>
      <c r="G9" s="546" t="s">
        <v>7</v>
      </c>
    </row>
    <row r="10" spans="1:10" ht="19.5" thickBot="1" x14ac:dyDescent="0.3">
      <c r="A10" s="563" t="s">
        <v>10</v>
      </c>
      <c r="B10" s="153" t="s">
        <v>11</v>
      </c>
      <c r="C10" s="565" t="s">
        <v>12</v>
      </c>
      <c r="D10" s="153" t="s">
        <v>13</v>
      </c>
      <c r="E10" s="565" t="s">
        <v>14</v>
      </c>
      <c r="F10" s="153" t="s">
        <v>15</v>
      </c>
      <c r="G10" s="564" t="s">
        <v>10</v>
      </c>
    </row>
    <row r="11" spans="1:10" ht="15.75" x14ac:dyDescent="0.25">
      <c r="A11" s="262"/>
      <c r="B11" s="761"/>
      <c r="C11" s="188"/>
      <c r="D11" s="37"/>
      <c r="E11" s="188"/>
      <c r="F11" s="74"/>
      <c r="G11" s="263"/>
    </row>
    <row r="12" spans="1:10" ht="15.75" x14ac:dyDescent="0.25">
      <c r="A12" s="262">
        <v>1</v>
      </c>
      <c r="B12" s="477">
        <v>46388</v>
      </c>
      <c r="C12" s="44">
        <f>'WP 1.2 Forecast Sales'!C$41</f>
        <v>1524552114.7988875</v>
      </c>
      <c r="D12" s="177">
        <f>'WP 1.2 Forecast Sales'!C$40</f>
        <v>0</v>
      </c>
      <c r="E12" s="45">
        <f>C12-D12</f>
        <v>1524552114.7988875</v>
      </c>
      <c r="F12" s="240" t="s">
        <v>20</v>
      </c>
      <c r="G12" s="263">
        <v>1</v>
      </c>
    </row>
    <row r="13" spans="1:10" ht="15.75" x14ac:dyDescent="0.25">
      <c r="A13" s="262">
        <f t="shared" ref="A13:A26" si="0">A12+1</f>
        <v>2</v>
      </c>
      <c r="B13" s="477">
        <v>46419</v>
      </c>
      <c r="C13" s="44">
        <f>'WP 1.2 Forecast Sales'!D$41</f>
        <v>1391089950.1967084</v>
      </c>
      <c r="D13" s="177">
        <f>'WP 1.2 Forecast Sales'!D$40</f>
        <v>0</v>
      </c>
      <c r="E13" s="45">
        <f>C13-D13</f>
        <v>1391089950.1967084</v>
      </c>
      <c r="F13" s="240" t="str">
        <f>$F$12</f>
        <v>Workpaper No. 1; Page 1.2; Lines 30; 29</v>
      </c>
      <c r="G13" s="263">
        <f t="shared" ref="G13:G26" si="1">G12+1</f>
        <v>2</v>
      </c>
    </row>
    <row r="14" spans="1:10" ht="15.75" x14ac:dyDescent="0.25">
      <c r="A14" s="262">
        <f t="shared" si="0"/>
        <v>3</v>
      </c>
      <c r="B14" s="477">
        <v>46447</v>
      </c>
      <c r="C14" s="44">
        <f>'WP 1.2 Forecast Sales'!E$41</f>
        <v>1327453345.967227</v>
      </c>
      <c r="D14" s="177">
        <f>'WP 1.2 Forecast Sales'!E$40</f>
        <v>0</v>
      </c>
      <c r="E14" s="45">
        <f>C14-D14</f>
        <v>1327453345.967227</v>
      </c>
      <c r="F14" s="240" t="str">
        <f t="shared" ref="F14:F23" si="2">$F$12</f>
        <v>Workpaper No. 1; Page 1.2; Lines 30; 29</v>
      </c>
      <c r="G14" s="263">
        <f t="shared" si="1"/>
        <v>3</v>
      </c>
    </row>
    <row r="15" spans="1:10" ht="15.75" x14ac:dyDescent="0.25">
      <c r="A15" s="262">
        <f t="shared" si="0"/>
        <v>4</v>
      </c>
      <c r="B15" s="477">
        <v>46478</v>
      </c>
      <c r="C15" s="44">
        <f>'WP 1.2 Forecast Sales'!F$41</f>
        <v>1251230731.8535154</v>
      </c>
      <c r="D15" s="177">
        <f>'WP 1.2 Forecast Sales'!F$40</f>
        <v>0</v>
      </c>
      <c r="E15" s="45">
        <f t="shared" ref="E15:E22" si="3">C15-D15</f>
        <v>1251230731.8535154</v>
      </c>
      <c r="F15" s="240" t="str">
        <f t="shared" si="2"/>
        <v>Workpaper No. 1; Page 1.2; Lines 30; 29</v>
      </c>
      <c r="G15" s="263">
        <f t="shared" si="1"/>
        <v>4</v>
      </c>
      <c r="J15" s="4"/>
    </row>
    <row r="16" spans="1:10" ht="15.75" x14ac:dyDescent="0.25">
      <c r="A16" s="262">
        <f t="shared" si="0"/>
        <v>5</v>
      </c>
      <c r="B16" s="477">
        <v>46508</v>
      </c>
      <c r="C16" s="44">
        <f>'WP 1.2 Forecast Sales'!G$41</f>
        <v>1249809596.3843026</v>
      </c>
      <c r="D16" s="177">
        <f>'WP 1.2 Forecast Sales'!G$40</f>
        <v>0</v>
      </c>
      <c r="E16" s="45">
        <f t="shared" si="3"/>
        <v>1249809596.3843026</v>
      </c>
      <c r="F16" s="240" t="str">
        <f t="shared" si="2"/>
        <v>Workpaper No. 1; Page 1.2; Lines 30; 29</v>
      </c>
      <c r="G16" s="263">
        <f t="shared" si="1"/>
        <v>5</v>
      </c>
      <c r="J16" s="4"/>
    </row>
    <row r="17" spans="1:10" ht="15.75" x14ac:dyDescent="0.25">
      <c r="A17" s="262">
        <f t="shared" si="0"/>
        <v>6</v>
      </c>
      <c r="B17" s="477">
        <v>46539</v>
      </c>
      <c r="C17" s="44">
        <f>'WP 1.2 Forecast Sales'!H$41</f>
        <v>1321306624.6802256</v>
      </c>
      <c r="D17" s="177">
        <f>'WP 1.2 Forecast Sales'!H$40</f>
        <v>0</v>
      </c>
      <c r="E17" s="45">
        <f t="shared" si="3"/>
        <v>1321306624.6802256</v>
      </c>
      <c r="F17" s="240" t="str">
        <f t="shared" si="2"/>
        <v>Workpaper No. 1; Page 1.2; Lines 30; 29</v>
      </c>
      <c r="G17" s="263">
        <f t="shared" si="1"/>
        <v>6</v>
      </c>
      <c r="J17" s="4"/>
    </row>
    <row r="18" spans="1:10" ht="15.75" x14ac:dyDescent="0.25">
      <c r="A18" s="262">
        <f t="shared" si="0"/>
        <v>7</v>
      </c>
      <c r="B18" s="477">
        <v>46569</v>
      </c>
      <c r="C18" s="44">
        <f>'WP 1.2 Forecast Sales'!I$41</f>
        <v>1502802838.5091977</v>
      </c>
      <c r="D18" s="177">
        <f>'WP 1.2 Forecast Sales'!I$40</f>
        <v>0</v>
      </c>
      <c r="E18" s="45">
        <f t="shared" si="3"/>
        <v>1502802838.5091977</v>
      </c>
      <c r="F18" s="240" t="str">
        <f t="shared" si="2"/>
        <v>Workpaper No. 1; Page 1.2; Lines 30; 29</v>
      </c>
      <c r="G18" s="263">
        <f t="shared" si="1"/>
        <v>7</v>
      </c>
      <c r="J18" s="4"/>
    </row>
    <row r="19" spans="1:10" ht="15.75" x14ac:dyDescent="0.25">
      <c r="A19" s="262">
        <f t="shared" si="0"/>
        <v>8</v>
      </c>
      <c r="B19" s="477">
        <v>46600</v>
      </c>
      <c r="C19" s="44">
        <f>'WP 1.2 Forecast Sales'!J$41</f>
        <v>1674184963.308377</v>
      </c>
      <c r="D19" s="177">
        <f>'WP 1.2 Forecast Sales'!J$40</f>
        <v>0</v>
      </c>
      <c r="E19" s="45">
        <f t="shared" si="3"/>
        <v>1674184963.308377</v>
      </c>
      <c r="F19" s="240" t="str">
        <f t="shared" si="2"/>
        <v>Workpaper No. 1; Page 1.2; Lines 30; 29</v>
      </c>
      <c r="G19" s="263">
        <f t="shared" si="1"/>
        <v>8</v>
      </c>
      <c r="J19" s="4"/>
    </row>
    <row r="20" spans="1:10" ht="15.75" x14ac:dyDescent="0.25">
      <c r="A20" s="262">
        <f t="shared" si="0"/>
        <v>9</v>
      </c>
      <c r="B20" s="477">
        <v>46631</v>
      </c>
      <c r="C20" s="44">
        <f>'WP 1.2 Forecast Sales'!K$41</f>
        <v>1854378202.0498364</v>
      </c>
      <c r="D20" s="177">
        <f>'WP 1.2 Forecast Sales'!K$40</f>
        <v>0</v>
      </c>
      <c r="E20" s="45">
        <f t="shared" si="3"/>
        <v>1854378202.0498364</v>
      </c>
      <c r="F20" s="240" t="str">
        <f t="shared" si="2"/>
        <v>Workpaper No. 1; Page 1.2; Lines 30; 29</v>
      </c>
      <c r="G20" s="263">
        <f t="shared" si="1"/>
        <v>9</v>
      </c>
      <c r="J20" s="4"/>
    </row>
    <row r="21" spans="1:10" ht="15.75" x14ac:dyDescent="0.25">
      <c r="A21" s="262">
        <f t="shared" si="0"/>
        <v>10</v>
      </c>
      <c r="B21" s="477">
        <v>46661</v>
      </c>
      <c r="C21" s="44">
        <f>'WP 1.2 Forecast Sales'!L$41</f>
        <v>1545534916.2536337</v>
      </c>
      <c r="D21" s="177">
        <f>'WP 1.2 Forecast Sales'!L$40</f>
        <v>0</v>
      </c>
      <c r="E21" s="45">
        <f t="shared" si="3"/>
        <v>1545534916.2536337</v>
      </c>
      <c r="F21" s="240" t="str">
        <f t="shared" si="2"/>
        <v>Workpaper No. 1; Page 1.2; Lines 30; 29</v>
      </c>
      <c r="G21" s="263">
        <f t="shared" si="1"/>
        <v>10</v>
      </c>
      <c r="J21" s="4"/>
    </row>
    <row r="22" spans="1:10" ht="15.75" x14ac:dyDescent="0.25">
      <c r="A22" s="262">
        <f t="shared" si="0"/>
        <v>11</v>
      </c>
      <c r="B22" s="477">
        <v>46692</v>
      </c>
      <c r="C22" s="44">
        <f>'WP 1.2 Forecast Sales'!M$41</f>
        <v>1415520173.0613177</v>
      </c>
      <c r="D22" s="177">
        <f>'WP 1.2 Forecast Sales'!M$40</f>
        <v>0</v>
      </c>
      <c r="E22" s="45">
        <f t="shared" si="3"/>
        <v>1415520173.0613177</v>
      </c>
      <c r="F22" s="240" t="str">
        <f t="shared" si="2"/>
        <v>Workpaper No. 1; Page 1.2; Lines 30; 29</v>
      </c>
      <c r="G22" s="263">
        <f t="shared" si="1"/>
        <v>11</v>
      </c>
      <c r="J22" s="4"/>
    </row>
    <row r="23" spans="1:10" ht="15.75" x14ac:dyDescent="0.25">
      <c r="A23" s="262">
        <f t="shared" si="0"/>
        <v>12</v>
      </c>
      <c r="B23" s="477">
        <v>46722</v>
      </c>
      <c r="C23" s="44">
        <f>'WP 1.2 Forecast Sales'!N$41</f>
        <v>1461619897.1816282</v>
      </c>
      <c r="D23" s="177">
        <f>'WP 1.2 Forecast Sales'!N$40</f>
        <v>0</v>
      </c>
      <c r="E23" s="45">
        <f>C23-D23</f>
        <v>1461619897.1816282</v>
      </c>
      <c r="F23" s="240" t="str">
        <f t="shared" si="2"/>
        <v>Workpaper No. 1; Page 1.2; Lines 30; 29</v>
      </c>
      <c r="G23" s="263">
        <f t="shared" si="1"/>
        <v>12</v>
      </c>
      <c r="J23" s="4"/>
    </row>
    <row r="24" spans="1:10" ht="15.75" x14ac:dyDescent="0.25">
      <c r="A24" s="262">
        <f t="shared" si="0"/>
        <v>13</v>
      </c>
      <c r="B24" s="189"/>
      <c r="C24" s="51"/>
      <c r="D24" s="178"/>
      <c r="E24" s="46"/>
      <c r="F24" s="49"/>
      <c r="G24" s="263">
        <f t="shared" si="1"/>
        <v>13</v>
      </c>
      <c r="J24" s="4"/>
    </row>
    <row r="25" spans="1:10" ht="15.75" x14ac:dyDescent="0.25">
      <c r="A25" s="262">
        <f t="shared" si="0"/>
        <v>14</v>
      </c>
      <c r="B25" s="22"/>
      <c r="C25" s="45"/>
      <c r="D25" s="45"/>
      <c r="E25" s="45"/>
      <c r="F25" s="49"/>
      <c r="G25" s="263">
        <f t="shared" si="1"/>
        <v>14</v>
      </c>
    </row>
    <row r="26" spans="1:10" ht="16.5" thickBot="1" x14ac:dyDescent="0.3">
      <c r="A26" s="262">
        <f t="shared" si="0"/>
        <v>15</v>
      </c>
      <c r="B26" s="43" t="s">
        <v>17</v>
      </c>
      <c r="C26" s="47">
        <f>SUM(C12:C23)</f>
        <v>17519483354.244858</v>
      </c>
      <c r="D26" s="47">
        <f>SUM(D12:D23)</f>
        <v>0</v>
      </c>
      <c r="E26" s="47">
        <f>SUM(E12:E23)</f>
        <v>17519483354.244858</v>
      </c>
      <c r="F26" s="49" t="s">
        <v>18</v>
      </c>
      <c r="G26" s="263">
        <f t="shared" si="1"/>
        <v>15</v>
      </c>
      <c r="I26" s="4"/>
    </row>
    <row r="27" spans="1:10" ht="17.25" thickTop="1" thickBot="1" x14ac:dyDescent="0.3">
      <c r="A27" s="300"/>
      <c r="B27" s="80"/>
      <c r="C27" s="547"/>
      <c r="D27" s="548"/>
      <c r="E27" s="81"/>
      <c r="F27" s="57"/>
      <c r="G27" s="301"/>
    </row>
    <row r="28" spans="1:10" ht="15.75" x14ac:dyDescent="0.25">
      <c r="A28" s="22"/>
      <c r="B28" s="22"/>
      <c r="C28" s="22"/>
      <c r="D28" s="22"/>
      <c r="E28" s="22"/>
      <c r="F28" s="22"/>
      <c r="G28" s="22"/>
    </row>
    <row r="29" spans="1:10" ht="18.75" x14ac:dyDescent="0.25">
      <c r="A29" s="413">
        <v>1</v>
      </c>
      <c r="B29" s="22" t="s">
        <v>530</v>
      </c>
      <c r="C29" s="22"/>
      <c r="D29" s="22"/>
      <c r="E29" s="48"/>
      <c r="F29" s="48"/>
      <c r="G29" s="22"/>
    </row>
    <row r="30" spans="1:10" ht="15.75" x14ac:dyDescent="0.25">
      <c r="A30" s="22"/>
      <c r="B30" s="22" t="s">
        <v>21</v>
      </c>
      <c r="C30" s="22"/>
      <c r="D30" s="22"/>
      <c r="E30" s="48"/>
      <c r="F30" s="48"/>
      <c r="G30" s="22"/>
    </row>
    <row r="31" spans="1:10" ht="15.75" x14ac:dyDescent="0.25">
      <c r="A31" s="22"/>
      <c r="B31" s="22"/>
      <c r="C31" s="22"/>
      <c r="D31" s="22"/>
      <c r="E31" s="48"/>
      <c r="F31" s="48"/>
      <c r="G31" s="22"/>
    </row>
    <row r="32" spans="1:10" ht="15.75" x14ac:dyDescent="0.25">
      <c r="A32" s="22"/>
      <c r="B32" s="22"/>
      <c r="C32" s="22"/>
      <c r="D32" s="22"/>
      <c r="E32" s="48"/>
      <c r="F32" s="48"/>
      <c r="G32" s="22"/>
    </row>
    <row r="33" spans="1:7" ht="15.75" x14ac:dyDescent="0.25">
      <c r="A33" s="22"/>
      <c r="B33" s="22"/>
      <c r="C33" s="22"/>
      <c r="D33" s="22"/>
      <c r="E33" s="22"/>
      <c r="F33" s="22"/>
      <c r="G33" s="22"/>
    </row>
    <row r="34" spans="1:7" ht="15.75" x14ac:dyDescent="0.25">
      <c r="A34" s="22"/>
      <c r="B34" s="22"/>
      <c r="C34" s="22"/>
      <c r="D34" s="22"/>
      <c r="E34" s="22"/>
      <c r="F34" s="22"/>
      <c r="G34" s="22"/>
    </row>
    <row r="35" spans="1:7" ht="15.75" x14ac:dyDescent="0.25">
      <c r="A35" s="22"/>
      <c r="B35" s="22"/>
      <c r="C35" s="22"/>
      <c r="D35" s="22"/>
      <c r="E35" s="22"/>
      <c r="F35" s="22"/>
      <c r="G35" s="22"/>
    </row>
    <row r="36" spans="1:7" ht="15.75" x14ac:dyDescent="0.25">
      <c r="A36" s="22"/>
      <c r="B36" s="22"/>
      <c r="C36" s="22"/>
      <c r="D36" s="22"/>
      <c r="E36" s="22"/>
      <c r="F36" s="22"/>
      <c r="G36" s="22"/>
    </row>
    <row r="37" spans="1:7" ht="15.75" x14ac:dyDescent="0.25">
      <c r="A37" s="22"/>
      <c r="B37" s="22"/>
      <c r="C37" s="22"/>
      <c r="D37" s="22"/>
      <c r="E37" s="22"/>
      <c r="F37" s="22"/>
      <c r="G37" s="22"/>
    </row>
    <row r="38" spans="1:7" ht="15.75" x14ac:dyDescent="0.25">
      <c r="A38" s="22"/>
      <c r="B38" s="22"/>
      <c r="C38" s="22"/>
      <c r="D38" s="22"/>
      <c r="E38" s="22"/>
      <c r="F38" s="22"/>
      <c r="G38" s="22"/>
    </row>
    <row r="39" spans="1:7" ht="15.75" x14ac:dyDescent="0.25">
      <c r="A39" s="22"/>
      <c r="B39" s="22"/>
      <c r="C39" s="22"/>
      <c r="D39" s="22"/>
      <c r="E39" s="22"/>
      <c r="F39" s="22"/>
      <c r="G39" s="22"/>
    </row>
    <row r="40" spans="1:7" ht="15.75" x14ac:dyDescent="0.25">
      <c r="A40" s="22"/>
      <c r="B40" s="22"/>
      <c r="C40" s="22"/>
      <c r="D40" s="22"/>
      <c r="E40" s="22"/>
      <c r="F40" s="22"/>
      <c r="G40" s="22"/>
    </row>
    <row r="41" spans="1:7" ht="15.75" x14ac:dyDescent="0.25">
      <c r="A41" s="22"/>
      <c r="B41" s="22"/>
      <c r="C41" s="22"/>
      <c r="D41" s="22"/>
      <c r="E41" s="22"/>
      <c r="F41" s="22"/>
      <c r="G41" s="22"/>
    </row>
    <row r="42" spans="1:7" ht="15.75" x14ac:dyDescent="0.25">
      <c r="A42" s="22"/>
      <c r="B42" s="22"/>
      <c r="C42" s="22"/>
      <c r="D42" s="22"/>
      <c r="E42" s="22"/>
      <c r="F42" s="22"/>
      <c r="G42" s="22"/>
    </row>
    <row r="43" spans="1:7" ht="15.75" x14ac:dyDescent="0.25">
      <c r="A43" s="22"/>
      <c r="B43" s="22"/>
      <c r="C43" s="22"/>
      <c r="D43" s="22"/>
      <c r="E43" s="22"/>
      <c r="F43" s="22"/>
      <c r="G43" s="22"/>
    </row>
    <row r="44" spans="1:7" ht="15.75" x14ac:dyDescent="0.25">
      <c r="A44" s="22"/>
      <c r="B44" s="22"/>
      <c r="C44" s="22"/>
      <c r="D44" s="22"/>
      <c r="E44" s="22"/>
      <c r="F44" s="22"/>
      <c r="G44" s="22"/>
    </row>
    <row r="45" spans="1:7" ht="15.75" x14ac:dyDescent="0.25">
      <c r="A45" s="22"/>
      <c r="B45" s="22"/>
      <c r="C45" s="22"/>
      <c r="D45" s="22"/>
      <c r="E45" s="22"/>
      <c r="F45" s="22"/>
      <c r="G45" s="22"/>
    </row>
    <row r="46" spans="1:7" ht="15.75" x14ac:dyDescent="0.25">
      <c r="A46" s="22"/>
      <c r="B46" s="22"/>
      <c r="C46" s="22"/>
      <c r="D46" s="22"/>
      <c r="E46" s="22"/>
      <c r="F46" s="22"/>
      <c r="G46" s="22"/>
    </row>
    <row r="47" spans="1:7" ht="15.75" x14ac:dyDescent="0.25">
      <c r="A47" s="22"/>
      <c r="B47" s="22"/>
      <c r="C47" s="22"/>
      <c r="D47" s="22"/>
      <c r="E47" s="22"/>
      <c r="F47" s="22"/>
      <c r="G47" s="22"/>
    </row>
    <row r="48" spans="1:7" ht="15.75" x14ac:dyDescent="0.25">
      <c r="A48" s="22"/>
      <c r="B48" s="22"/>
      <c r="C48" s="22"/>
      <c r="D48" s="22"/>
      <c r="E48" s="22"/>
      <c r="F48" s="22"/>
      <c r="G48" s="22"/>
    </row>
    <row r="49" spans="1:7" ht="15.75" x14ac:dyDescent="0.25">
      <c r="A49" s="22"/>
      <c r="B49" s="22"/>
      <c r="C49" s="22"/>
      <c r="D49" s="22"/>
      <c r="E49" s="22"/>
      <c r="F49" s="22"/>
      <c r="G49" s="22"/>
    </row>
    <row r="50" spans="1:7" ht="15.75" x14ac:dyDescent="0.25">
      <c r="A50" s="22"/>
      <c r="B50" s="22"/>
      <c r="C50" s="22"/>
      <c r="D50" s="22"/>
      <c r="E50" s="22"/>
      <c r="F50" s="22"/>
      <c r="G50" s="22"/>
    </row>
    <row r="51" spans="1:7" ht="15.75" x14ac:dyDescent="0.25">
      <c r="A51" s="22"/>
      <c r="B51" s="22"/>
      <c r="C51" s="22"/>
      <c r="D51" s="22"/>
      <c r="E51" s="22"/>
      <c r="F51" s="22"/>
      <c r="G51" s="22"/>
    </row>
    <row r="52" spans="1:7" ht="15.75" x14ac:dyDescent="0.25">
      <c r="A52" s="22"/>
      <c r="B52" s="22"/>
      <c r="C52" s="22"/>
      <c r="D52" s="22"/>
      <c r="E52" s="22"/>
      <c r="F52" s="22"/>
      <c r="G52" s="22"/>
    </row>
    <row r="53" spans="1:7" ht="15.75" x14ac:dyDescent="0.25">
      <c r="A53" s="22"/>
      <c r="B53" s="22"/>
      <c r="C53" s="22"/>
      <c r="D53" s="22"/>
      <c r="E53" s="22"/>
      <c r="F53" s="22"/>
      <c r="G53" s="22"/>
    </row>
    <row r="54" spans="1:7" ht="15.75" x14ac:dyDescent="0.25">
      <c r="A54" s="22"/>
      <c r="B54" s="22"/>
      <c r="C54" s="22"/>
      <c r="D54" s="22"/>
      <c r="E54" s="22"/>
      <c r="F54" s="22"/>
      <c r="G54" s="22"/>
    </row>
    <row r="55" spans="1:7" ht="15.75" x14ac:dyDescent="0.25">
      <c r="A55" s="22"/>
      <c r="B55" s="22"/>
      <c r="C55" s="22"/>
      <c r="D55" s="22"/>
      <c r="E55" s="22"/>
      <c r="F55" s="22"/>
      <c r="G55" s="22"/>
    </row>
    <row r="56" spans="1:7" ht="15.75" x14ac:dyDescent="0.25">
      <c r="A56" s="22"/>
      <c r="B56" s="22"/>
      <c r="C56" s="22"/>
      <c r="D56" s="22"/>
      <c r="E56" s="22"/>
      <c r="F56" s="22"/>
      <c r="G56" s="22"/>
    </row>
    <row r="57" spans="1:7" ht="15.75" x14ac:dyDescent="0.25">
      <c r="A57" s="22"/>
      <c r="B57" s="22"/>
      <c r="C57" s="22"/>
      <c r="D57" s="22"/>
      <c r="E57" s="22"/>
      <c r="F57" s="22"/>
      <c r="G57" s="22"/>
    </row>
    <row r="58" spans="1:7" ht="15.75" x14ac:dyDescent="0.25">
      <c r="A58" s="22"/>
      <c r="B58" s="22"/>
      <c r="C58" s="22"/>
      <c r="D58" s="22"/>
      <c r="E58" s="22"/>
      <c r="F58" s="22"/>
      <c r="G58" s="22"/>
    </row>
    <row r="59" spans="1:7" ht="15.75" x14ac:dyDescent="0.25">
      <c r="A59" s="22"/>
      <c r="B59" s="22"/>
      <c r="C59" s="22"/>
      <c r="D59" s="22"/>
      <c r="E59" s="22"/>
      <c r="F59" s="22"/>
      <c r="G59" s="22"/>
    </row>
    <row r="60" spans="1:7" ht="15.75" x14ac:dyDescent="0.25">
      <c r="A60" s="22"/>
      <c r="B60" s="22"/>
      <c r="C60" s="22"/>
      <c r="D60" s="22"/>
      <c r="E60" s="22"/>
      <c r="F60" s="22"/>
      <c r="G60" s="22"/>
    </row>
  </sheetData>
  <phoneticPr fontId="15" type="noConversion"/>
  <printOptions horizontalCentered="1"/>
  <pageMargins left="0.25" right="0.25" top="0.5" bottom="0.5" header="0.25" footer="0.25"/>
  <pageSetup orientation="landscape" r:id="rId1"/>
  <headerFooter alignWithMargins="0">
    <oddFooter>&amp;L&amp;"Times New Roman,Regular"&amp;12&amp;F&amp;C&amp;"Times New Roman,Regular"&amp;12Page 2 of 5&amp;R&amp;"Times New Roman,Regular"&amp;12&amp;A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67"/>
  <sheetViews>
    <sheetView topLeftCell="A10" zoomScale="80" zoomScaleNormal="80" workbookViewId="0">
      <selection activeCell="L31" sqref="L31"/>
    </sheetView>
  </sheetViews>
  <sheetFormatPr defaultColWidth="8.5703125" defaultRowHeight="12.75" x14ac:dyDescent="0.2"/>
  <cols>
    <col min="1" max="1" width="5.5703125" style="1" customWidth="1"/>
    <col min="2" max="2" width="27.5703125" style="1" customWidth="1"/>
    <col min="3" max="3" width="22.5703125" style="1" customWidth="1"/>
    <col min="4" max="4" width="18.5703125" style="1" bestFit="1" customWidth="1"/>
    <col min="5" max="5" width="20.5703125" style="1" customWidth="1"/>
    <col min="6" max="6" width="26.28515625" style="1" bestFit="1" customWidth="1"/>
    <col min="7" max="7" width="46.42578125" style="1" bestFit="1" customWidth="1"/>
    <col min="8" max="8" width="5.5703125" style="1" customWidth="1"/>
    <col min="9" max="9" width="8.5703125" style="1" customWidth="1"/>
    <col min="10" max="10" width="12.5703125" style="1" customWidth="1"/>
    <col min="11" max="11" width="12.5703125" style="1" bestFit="1" customWidth="1"/>
    <col min="12" max="16384" width="8.5703125" style="1"/>
  </cols>
  <sheetData>
    <row r="2" spans="1:11" s="3" customFormat="1" ht="18" customHeight="1" x14ac:dyDescent="0.25">
      <c r="A2" s="5" t="s">
        <v>0</v>
      </c>
      <c r="B2" s="5"/>
      <c r="C2" s="5"/>
      <c r="D2" s="5"/>
      <c r="E2" s="5"/>
      <c r="F2" s="5"/>
      <c r="G2" s="5"/>
      <c r="H2" s="41"/>
      <c r="I2" s="1"/>
      <c r="J2" s="1"/>
      <c r="K2" s="1"/>
    </row>
    <row r="3" spans="1:11" s="3" customFormat="1" ht="18" customHeight="1" x14ac:dyDescent="0.25">
      <c r="A3" s="5" t="s">
        <v>22</v>
      </c>
      <c r="B3" s="5"/>
      <c r="C3" s="5"/>
      <c r="D3" s="5"/>
      <c r="E3" s="5"/>
      <c r="F3" s="5"/>
      <c r="G3" s="5"/>
      <c r="H3" s="41"/>
      <c r="I3" s="1"/>
      <c r="J3" s="1"/>
      <c r="K3" s="1"/>
    </row>
    <row r="4" spans="1:11" s="3" customFormat="1" ht="18" customHeight="1" x14ac:dyDescent="0.25">
      <c r="A4" s="5" t="str">
        <f>'Stmnt BD - Forecast KWH'!A4</f>
        <v>2027 - TRBAA Rate Filing</v>
      </c>
      <c r="B4" s="5"/>
      <c r="C4" s="5"/>
      <c r="D4" s="5"/>
      <c r="E4" s="5"/>
      <c r="F4" s="5"/>
      <c r="G4" s="5"/>
      <c r="H4" s="41"/>
      <c r="I4" s="1"/>
      <c r="J4" s="1"/>
      <c r="K4" s="1"/>
    </row>
    <row r="5" spans="1:11" s="3" customFormat="1" ht="18" customHeight="1" x14ac:dyDescent="0.25">
      <c r="A5" s="5" t="s">
        <v>518</v>
      </c>
      <c r="B5" s="5"/>
      <c r="C5" s="5"/>
      <c r="D5" s="5"/>
      <c r="E5" s="5"/>
      <c r="F5" s="5"/>
      <c r="G5" s="5"/>
      <c r="H5" s="41"/>
      <c r="I5" s="1"/>
      <c r="J5" s="1"/>
      <c r="K5" s="1"/>
    </row>
    <row r="6" spans="1:11" ht="15.75" x14ac:dyDescent="0.2">
      <c r="A6" s="5" t="s">
        <v>23</v>
      </c>
      <c r="B6" s="5"/>
      <c r="C6" s="5"/>
      <c r="D6" s="5"/>
      <c r="E6" s="5"/>
      <c r="F6" s="41"/>
      <c r="G6" s="41"/>
      <c r="H6" s="41"/>
    </row>
    <row r="7" spans="1:11" ht="16.5" thickBot="1" x14ac:dyDescent="0.3">
      <c r="A7" s="22"/>
      <c r="B7" s="22"/>
      <c r="C7" s="22"/>
      <c r="D7" s="22"/>
      <c r="E7" s="22"/>
      <c r="F7" s="22"/>
      <c r="G7" s="22"/>
      <c r="H7" s="22"/>
    </row>
    <row r="8" spans="1:11" ht="15.75" x14ac:dyDescent="0.25">
      <c r="A8" s="286"/>
      <c r="B8" s="540"/>
      <c r="C8" s="455" t="s">
        <v>3</v>
      </c>
      <c r="D8" s="757" t="s">
        <v>4</v>
      </c>
      <c r="E8" s="541" t="s">
        <v>5</v>
      </c>
      <c r="F8" s="541" t="s">
        <v>24</v>
      </c>
      <c r="G8" s="549"/>
      <c r="H8" s="542"/>
    </row>
    <row r="9" spans="1:11" ht="15.75" x14ac:dyDescent="0.25">
      <c r="A9" s="543"/>
      <c r="B9" s="94"/>
      <c r="C9" s="94"/>
      <c r="D9" s="94"/>
      <c r="E9" s="75" t="s">
        <v>531</v>
      </c>
      <c r="F9" s="75" t="s">
        <v>25</v>
      </c>
      <c r="G9" s="75"/>
      <c r="H9" s="544"/>
    </row>
    <row r="10" spans="1:11" ht="15.75" x14ac:dyDescent="0.25">
      <c r="A10" s="545" t="s">
        <v>7</v>
      </c>
      <c r="B10" s="75"/>
      <c r="C10" s="75" t="s">
        <v>17</v>
      </c>
      <c r="D10" s="75" t="s">
        <v>6</v>
      </c>
      <c r="E10" s="158" t="s">
        <v>26</v>
      </c>
      <c r="F10" s="158" t="s">
        <v>27</v>
      </c>
      <c r="G10" s="75"/>
      <c r="H10" s="546" t="s">
        <v>7</v>
      </c>
    </row>
    <row r="11" spans="1:11" ht="16.5" thickBot="1" x14ac:dyDescent="0.3">
      <c r="A11" s="563" t="s">
        <v>10</v>
      </c>
      <c r="B11" s="153" t="s">
        <v>28</v>
      </c>
      <c r="C11" s="153" t="s">
        <v>29</v>
      </c>
      <c r="D11" s="153" t="s">
        <v>30</v>
      </c>
      <c r="E11" s="565" t="s">
        <v>8</v>
      </c>
      <c r="F11" s="565" t="s">
        <v>31</v>
      </c>
      <c r="G11" s="153" t="s">
        <v>15</v>
      </c>
      <c r="H11" s="564" t="s">
        <v>10</v>
      </c>
    </row>
    <row r="12" spans="1:11" ht="15.75" x14ac:dyDescent="0.25">
      <c r="A12" s="262"/>
      <c r="B12" s="761"/>
      <c r="C12" s="761"/>
      <c r="D12" s="761"/>
      <c r="E12" s="188"/>
      <c r="F12" s="188"/>
      <c r="G12" s="10"/>
      <c r="H12" s="263"/>
    </row>
    <row r="13" spans="1:11" ht="15.75" x14ac:dyDescent="0.25">
      <c r="A13" s="262">
        <v>1</v>
      </c>
      <c r="B13" s="106">
        <f>'Stmnt BD - Forecast KWH'!B12</f>
        <v>46388</v>
      </c>
      <c r="C13" s="491">
        <f>'WP 1.2 Forecast Sales'!C14</f>
        <v>1524552.1147988874</v>
      </c>
      <c r="D13" s="491">
        <f>'WP 1.2 Forecast Sales'!C13</f>
        <v>0</v>
      </c>
      <c r="E13" s="44">
        <f>C13-D13</f>
        <v>1524552.1147988874</v>
      </c>
      <c r="F13" s="44">
        <f>E13*$E$31</f>
        <v>1591784.8630615184</v>
      </c>
      <c r="G13" s="240" t="s">
        <v>32</v>
      </c>
      <c r="H13" s="263">
        <v>1</v>
      </c>
      <c r="J13" s="179"/>
    </row>
    <row r="14" spans="1:11" ht="15.75" x14ac:dyDescent="0.25">
      <c r="A14" s="262">
        <f>A13+1</f>
        <v>2</v>
      </c>
      <c r="B14" s="106">
        <f>'Stmnt BD - Forecast KWH'!B13</f>
        <v>46419</v>
      </c>
      <c r="C14" s="491">
        <f>'WP 1.2 Forecast Sales'!D14</f>
        <v>1391089.9501967088</v>
      </c>
      <c r="D14" s="491">
        <f>'WP 1.2 Forecast Sales'!D13</f>
        <v>0</v>
      </c>
      <c r="E14" s="44">
        <f t="shared" ref="E14:E24" si="0">C14-D14</f>
        <v>1391089.9501967088</v>
      </c>
      <c r="F14" s="44">
        <f t="shared" ref="F14:F24" si="1">E14*$E$31</f>
        <v>1452437.0170003837</v>
      </c>
      <c r="G14" s="240" t="str">
        <f>$G$13</f>
        <v>Cols. A to C, WP No. 1; Page 1.2; Lines 10, 9 &amp; 12</v>
      </c>
      <c r="H14" s="263">
        <f>H13+1</f>
        <v>2</v>
      </c>
      <c r="J14" s="179"/>
    </row>
    <row r="15" spans="1:11" ht="15.75" x14ac:dyDescent="0.25">
      <c r="A15" s="262">
        <f t="shared" ref="A15:A40" si="2">A14+1</f>
        <v>3</v>
      </c>
      <c r="B15" s="106">
        <f>'Stmnt BD - Forecast KWH'!B14</f>
        <v>46447</v>
      </c>
      <c r="C15" s="491">
        <f>'WP 1.2 Forecast Sales'!E14</f>
        <v>1327453.3459672267</v>
      </c>
      <c r="D15" s="491">
        <f>'WP 1.2 Forecast Sales'!E13</f>
        <v>0</v>
      </c>
      <c r="E15" s="44">
        <f t="shared" si="0"/>
        <v>1327453.3459672267</v>
      </c>
      <c r="F15" s="44">
        <f t="shared" si="1"/>
        <v>1385994.0385243814</v>
      </c>
      <c r="G15" s="240" t="str">
        <f t="shared" ref="G15:G24" si="3">$G$13</f>
        <v>Cols. A to C, WP No. 1; Page 1.2; Lines 10, 9 &amp; 12</v>
      </c>
      <c r="H15" s="263">
        <f t="shared" ref="H15:H40" si="4">H14+1</f>
        <v>3</v>
      </c>
      <c r="J15" s="179"/>
    </row>
    <row r="16" spans="1:11" ht="15.75" x14ac:dyDescent="0.25">
      <c r="A16" s="262">
        <f t="shared" si="2"/>
        <v>4</v>
      </c>
      <c r="B16" s="106">
        <f>'Stmnt BD - Forecast KWH'!B15</f>
        <v>46478</v>
      </c>
      <c r="C16" s="491">
        <f>'WP 1.2 Forecast Sales'!F14</f>
        <v>1251230.7318535156</v>
      </c>
      <c r="D16" s="491">
        <f>'WP 1.2 Forecast Sales'!F13</f>
        <v>0</v>
      </c>
      <c r="E16" s="44">
        <f t="shared" si="0"/>
        <v>1251230.7318535156</v>
      </c>
      <c r="F16" s="44">
        <f t="shared" si="1"/>
        <v>1306410.0071282557</v>
      </c>
      <c r="G16" s="240" t="str">
        <f t="shared" si="3"/>
        <v>Cols. A to C, WP No. 1; Page 1.2; Lines 10, 9 &amp; 12</v>
      </c>
      <c r="H16" s="263">
        <f t="shared" si="4"/>
        <v>4</v>
      </c>
      <c r="J16" s="179"/>
    </row>
    <row r="17" spans="1:11" ht="15.75" x14ac:dyDescent="0.25">
      <c r="A17" s="262">
        <f t="shared" si="2"/>
        <v>5</v>
      </c>
      <c r="B17" s="106">
        <f>'Stmnt BD - Forecast KWH'!B16</f>
        <v>46508</v>
      </c>
      <c r="C17" s="491">
        <f>'WP 1.2 Forecast Sales'!G14</f>
        <v>1249809.5963843027</v>
      </c>
      <c r="D17" s="491">
        <f>'WP 1.2 Forecast Sales'!G13</f>
        <v>0</v>
      </c>
      <c r="E17" s="44">
        <f t="shared" si="0"/>
        <v>1249809.5963843027</v>
      </c>
      <c r="F17" s="44">
        <f t="shared" si="1"/>
        <v>1304926.1995848506</v>
      </c>
      <c r="G17" s="240" t="str">
        <f t="shared" si="3"/>
        <v>Cols. A to C, WP No. 1; Page 1.2; Lines 10, 9 &amp; 12</v>
      </c>
      <c r="H17" s="263">
        <f t="shared" si="4"/>
        <v>5</v>
      </c>
      <c r="J17" s="179"/>
    </row>
    <row r="18" spans="1:11" ht="15.75" x14ac:dyDescent="0.25">
      <c r="A18" s="262">
        <f t="shared" si="2"/>
        <v>6</v>
      </c>
      <c r="B18" s="106">
        <f>'Stmnt BD - Forecast KWH'!B17</f>
        <v>46539</v>
      </c>
      <c r="C18" s="491">
        <f>'WP 1.2 Forecast Sales'!H14</f>
        <v>1321306.624680226</v>
      </c>
      <c r="D18" s="491">
        <f>'WP 1.2 Forecast Sales'!H13</f>
        <v>0</v>
      </c>
      <c r="E18" s="44">
        <f t="shared" si="0"/>
        <v>1321306.624680226</v>
      </c>
      <c r="F18" s="44">
        <f t="shared" si="1"/>
        <v>1379576.246828624</v>
      </c>
      <c r="G18" s="240" t="str">
        <f t="shared" si="3"/>
        <v>Cols. A to C, WP No. 1; Page 1.2; Lines 10, 9 &amp; 12</v>
      </c>
      <c r="H18" s="263">
        <f t="shared" si="4"/>
        <v>6</v>
      </c>
      <c r="J18" s="179"/>
    </row>
    <row r="19" spans="1:11" ht="15.75" x14ac:dyDescent="0.25">
      <c r="A19" s="262">
        <f t="shared" si="2"/>
        <v>7</v>
      </c>
      <c r="B19" s="106">
        <f>'Stmnt BD - Forecast KWH'!B18</f>
        <v>46569</v>
      </c>
      <c r="C19" s="491">
        <f>'WP 1.2 Forecast Sales'!I14</f>
        <v>1502802.8385091976</v>
      </c>
      <c r="D19" s="491">
        <f>'WP 1.2 Forecast Sales'!I13</f>
        <v>0</v>
      </c>
      <c r="E19" s="44">
        <f t="shared" si="0"/>
        <v>1502802.8385091976</v>
      </c>
      <c r="F19" s="44">
        <f t="shared" si="1"/>
        <v>1569076.4436874532</v>
      </c>
      <c r="G19" s="240" t="str">
        <f t="shared" si="3"/>
        <v>Cols. A to C, WP No. 1; Page 1.2; Lines 10, 9 &amp; 12</v>
      </c>
      <c r="H19" s="263">
        <f t="shared" si="4"/>
        <v>7</v>
      </c>
      <c r="J19" s="179"/>
    </row>
    <row r="20" spans="1:11" ht="15.75" x14ac:dyDescent="0.25">
      <c r="A20" s="262">
        <f t="shared" si="2"/>
        <v>8</v>
      </c>
      <c r="B20" s="106">
        <f>'Stmnt BD - Forecast KWH'!B19</f>
        <v>46600</v>
      </c>
      <c r="C20" s="491">
        <f>'WP 1.2 Forecast Sales'!J14</f>
        <v>1674184.9633083772</v>
      </c>
      <c r="D20" s="491">
        <f>'WP 1.2 Forecast Sales'!J13</f>
        <v>0</v>
      </c>
      <c r="E20" s="44">
        <f t="shared" si="0"/>
        <v>1674184.9633083772</v>
      </c>
      <c r="F20" s="44">
        <f t="shared" si="1"/>
        <v>1748016.5201902767</v>
      </c>
      <c r="G20" s="240" t="str">
        <f t="shared" si="3"/>
        <v>Cols. A to C, WP No. 1; Page 1.2; Lines 10, 9 &amp; 12</v>
      </c>
      <c r="H20" s="263">
        <f t="shared" si="4"/>
        <v>8</v>
      </c>
      <c r="J20" s="179"/>
    </row>
    <row r="21" spans="1:11" ht="15.75" x14ac:dyDescent="0.25">
      <c r="A21" s="262">
        <f t="shared" si="2"/>
        <v>9</v>
      </c>
      <c r="B21" s="106">
        <f>'Stmnt BD - Forecast KWH'!B20</f>
        <v>46631</v>
      </c>
      <c r="C21" s="491">
        <f>'WP 1.2 Forecast Sales'!K14</f>
        <v>1854378.2020498365</v>
      </c>
      <c r="D21" s="491">
        <f>'WP 1.2 Forecast Sales'!K13</f>
        <v>0</v>
      </c>
      <c r="E21" s="44">
        <f t="shared" si="0"/>
        <v>1854378.2020498365</v>
      </c>
      <c r="F21" s="44">
        <f t="shared" si="1"/>
        <v>1936156.2807602345</v>
      </c>
      <c r="G21" s="240" t="str">
        <f t="shared" si="3"/>
        <v>Cols. A to C, WP No. 1; Page 1.2; Lines 10, 9 &amp; 12</v>
      </c>
      <c r="H21" s="263">
        <f t="shared" si="4"/>
        <v>9</v>
      </c>
      <c r="J21" s="179"/>
    </row>
    <row r="22" spans="1:11" ht="15.75" x14ac:dyDescent="0.25">
      <c r="A22" s="262">
        <f t="shared" si="2"/>
        <v>10</v>
      </c>
      <c r="B22" s="106">
        <f>'Stmnt BD - Forecast KWH'!B21</f>
        <v>46661</v>
      </c>
      <c r="C22" s="491">
        <f>'WP 1.2 Forecast Sales'!L14</f>
        <v>1545534.9162536338</v>
      </c>
      <c r="D22" s="491">
        <f>'WP 1.2 Forecast Sales'!L13</f>
        <v>0</v>
      </c>
      <c r="E22" s="44">
        <f t="shared" si="0"/>
        <v>1545534.9162536338</v>
      </c>
      <c r="F22" s="44">
        <f t="shared" si="1"/>
        <v>1613693.0060604191</v>
      </c>
      <c r="G22" s="240" t="str">
        <f t="shared" si="3"/>
        <v>Cols. A to C, WP No. 1; Page 1.2; Lines 10, 9 &amp; 12</v>
      </c>
      <c r="H22" s="263">
        <f t="shared" si="4"/>
        <v>10</v>
      </c>
      <c r="J22" s="179"/>
    </row>
    <row r="23" spans="1:11" ht="15.75" x14ac:dyDescent="0.25">
      <c r="A23" s="262">
        <f t="shared" si="2"/>
        <v>11</v>
      </c>
      <c r="B23" s="106">
        <f>'Stmnt BD - Forecast KWH'!B22</f>
        <v>46692</v>
      </c>
      <c r="C23" s="491">
        <f>'WP 1.2 Forecast Sales'!M14</f>
        <v>1415520.1730613178</v>
      </c>
      <c r="D23" s="491">
        <f>'WP 1.2 Forecast Sales'!M13</f>
        <v>0</v>
      </c>
      <c r="E23" s="44">
        <f t="shared" si="0"/>
        <v>1415520.1730613178</v>
      </c>
      <c r="F23" s="44">
        <f t="shared" si="1"/>
        <v>1477944.6126933219</v>
      </c>
      <c r="G23" s="240" t="str">
        <f t="shared" si="3"/>
        <v>Cols. A to C, WP No. 1; Page 1.2; Lines 10, 9 &amp; 12</v>
      </c>
      <c r="H23" s="263">
        <f t="shared" si="4"/>
        <v>11</v>
      </c>
      <c r="J23" s="179"/>
    </row>
    <row r="24" spans="1:11" ht="15.75" x14ac:dyDescent="0.25">
      <c r="A24" s="262">
        <f t="shared" si="2"/>
        <v>12</v>
      </c>
      <c r="B24" s="106">
        <f>'Stmnt BD - Forecast KWH'!B23</f>
        <v>46722</v>
      </c>
      <c r="C24" s="491">
        <f>'WP 1.2 Forecast Sales'!N14</f>
        <v>1461619.8971816278</v>
      </c>
      <c r="D24" s="491">
        <f>'WP 1.2 Forecast Sales'!N13</f>
        <v>0</v>
      </c>
      <c r="E24" s="44">
        <f t="shared" si="0"/>
        <v>1461619.8971816278</v>
      </c>
      <c r="F24" s="51">
        <f t="shared" si="1"/>
        <v>1526077.3346473377</v>
      </c>
      <c r="G24" s="240" t="str">
        <f t="shared" si="3"/>
        <v>Cols. A to C, WP No. 1; Page 1.2; Lines 10, 9 &amp; 12</v>
      </c>
      <c r="H24" s="263">
        <f t="shared" si="4"/>
        <v>12</v>
      </c>
      <c r="J24" s="179"/>
    </row>
    <row r="25" spans="1:11" ht="15.75" x14ac:dyDescent="0.25">
      <c r="A25" s="262">
        <f t="shared" si="2"/>
        <v>13</v>
      </c>
      <c r="B25" s="52"/>
      <c r="C25" s="492"/>
      <c r="D25" s="52"/>
      <c r="E25" s="53"/>
      <c r="F25" s="45"/>
      <c r="G25" s="49"/>
      <c r="H25" s="263">
        <f t="shared" si="4"/>
        <v>13</v>
      </c>
    </row>
    <row r="26" spans="1:11" ht="16.5" thickBot="1" x14ac:dyDescent="0.3">
      <c r="A26" s="262">
        <f t="shared" si="2"/>
        <v>14</v>
      </c>
      <c r="B26" s="13" t="s">
        <v>17</v>
      </c>
      <c r="C26" s="498">
        <f>SUM(C13:C25)</f>
        <v>17519483.354244858</v>
      </c>
      <c r="D26" s="498">
        <f>SUM(D13:D25)</f>
        <v>0</v>
      </c>
      <c r="E26" s="47">
        <f>SUM(E13:E24)</f>
        <v>17519483.354244858</v>
      </c>
      <c r="F26" s="47">
        <f>SUM(F13:F24)</f>
        <v>18292092.570167057</v>
      </c>
      <c r="G26" s="49" t="s">
        <v>18</v>
      </c>
      <c r="H26" s="263">
        <f t="shared" si="4"/>
        <v>14</v>
      </c>
      <c r="J26" s="297"/>
      <c r="K26" s="179"/>
    </row>
    <row r="27" spans="1:11" ht="16.5" thickTop="1" x14ac:dyDescent="0.25">
      <c r="A27" s="262">
        <f t="shared" si="2"/>
        <v>15</v>
      </c>
      <c r="B27" s="32"/>
      <c r="C27" s="494"/>
      <c r="D27" s="494"/>
      <c r="E27" s="45"/>
      <c r="F27" s="501"/>
      <c r="G27" s="49"/>
      <c r="H27" s="263">
        <f t="shared" si="4"/>
        <v>15</v>
      </c>
      <c r="J27" s="297"/>
      <c r="K27" s="179"/>
    </row>
    <row r="28" spans="1:11" ht="16.5" thickBot="1" x14ac:dyDescent="0.3">
      <c r="A28" s="262">
        <f t="shared" si="2"/>
        <v>16</v>
      </c>
      <c r="B28" s="56" t="s">
        <v>532</v>
      </c>
      <c r="C28" s="494"/>
      <c r="D28" s="494"/>
      <c r="E28" s="504">
        <f>E26</f>
        <v>17519483.354244858</v>
      </c>
      <c r="F28" s="45"/>
      <c r="G28" s="505" t="s">
        <v>33</v>
      </c>
      <c r="H28" s="263">
        <f t="shared" si="4"/>
        <v>16</v>
      </c>
      <c r="J28" s="297"/>
      <c r="K28" s="179"/>
    </row>
    <row r="29" spans="1:11" ht="16.5" thickTop="1" x14ac:dyDescent="0.25">
      <c r="A29" s="262">
        <f t="shared" si="2"/>
        <v>17</v>
      </c>
      <c r="B29" s="495"/>
      <c r="C29" s="496"/>
      <c r="D29" s="496"/>
      <c r="E29" s="503"/>
      <c r="F29" s="502"/>
      <c r="G29" s="497"/>
      <c r="H29" s="263">
        <f t="shared" si="4"/>
        <v>17</v>
      </c>
      <c r="J29" s="297"/>
      <c r="K29" s="179"/>
    </row>
    <row r="30" spans="1:11" ht="15.75" x14ac:dyDescent="0.25">
      <c r="A30" s="262">
        <f t="shared" si="2"/>
        <v>18</v>
      </c>
      <c r="B30" s="32"/>
      <c r="C30" s="500"/>
      <c r="D30" s="500"/>
      <c r="E30" s="48"/>
      <c r="F30" s="45"/>
      <c r="G30" s="49"/>
      <c r="H30" s="263">
        <f t="shared" si="4"/>
        <v>18</v>
      </c>
      <c r="J30" s="297"/>
      <c r="K30" s="179"/>
    </row>
    <row r="31" spans="1:11" ht="19.5" thickBot="1" x14ac:dyDescent="0.3">
      <c r="A31" s="262">
        <f t="shared" si="2"/>
        <v>19</v>
      </c>
      <c r="B31" s="56" t="s">
        <v>34</v>
      </c>
      <c r="C31" s="491">
        <v>34217606.036474593</v>
      </c>
      <c r="D31" s="491">
        <v>35725733.414997101</v>
      </c>
      <c r="E31" s="537">
        <f>ROUND(D31/C31,4)</f>
        <v>1.0441</v>
      </c>
      <c r="F31" s="45"/>
      <c r="G31" s="49" t="s">
        <v>35</v>
      </c>
      <c r="H31" s="263">
        <f t="shared" si="4"/>
        <v>19</v>
      </c>
      <c r="J31" s="297"/>
      <c r="K31" s="179"/>
    </row>
    <row r="32" spans="1:11" ht="16.5" thickTop="1" x14ac:dyDescent="0.25">
      <c r="A32" s="262">
        <f t="shared" si="2"/>
        <v>20</v>
      </c>
      <c r="B32" s="499"/>
      <c r="C32" s="493"/>
      <c r="D32" s="493"/>
      <c r="E32" s="506"/>
      <c r="F32" s="502"/>
      <c r="G32" s="497"/>
      <c r="H32" s="263">
        <f t="shared" si="4"/>
        <v>20</v>
      </c>
      <c r="J32" s="297"/>
      <c r="K32" s="179"/>
    </row>
    <row r="33" spans="1:11" ht="15.75" x14ac:dyDescent="0.25">
      <c r="A33" s="262">
        <f t="shared" si="2"/>
        <v>21</v>
      </c>
      <c r="B33" s="56"/>
      <c r="C33" s="494"/>
      <c r="D33" s="494"/>
      <c r="E33" s="501"/>
      <c r="F33" s="501"/>
      <c r="G33" s="49"/>
      <c r="H33" s="263">
        <f t="shared" si="4"/>
        <v>21</v>
      </c>
      <c r="J33" s="297"/>
      <c r="K33" s="179"/>
    </row>
    <row r="34" spans="1:11" ht="15.75" x14ac:dyDescent="0.25">
      <c r="A34" s="262">
        <f t="shared" si="2"/>
        <v>22</v>
      </c>
      <c r="B34" s="56" t="s">
        <v>533</v>
      </c>
      <c r="C34" s="494"/>
      <c r="D34" s="494"/>
      <c r="E34" s="501"/>
      <c r="F34" s="501">
        <f>F26</f>
        <v>18292092.570167057</v>
      </c>
      <c r="G34" s="505" t="s">
        <v>36</v>
      </c>
      <c r="H34" s="263">
        <f t="shared" si="4"/>
        <v>22</v>
      </c>
      <c r="J34" s="297"/>
      <c r="K34" s="179"/>
    </row>
    <row r="35" spans="1:11" ht="15.75" x14ac:dyDescent="0.25">
      <c r="A35" s="262">
        <f t="shared" si="2"/>
        <v>23</v>
      </c>
      <c r="B35" s="56"/>
      <c r="C35" s="494"/>
      <c r="D35" s="494"/>
      <c r="E35" s="501"/>
      <c r="F35" s="501"/>
      <c r="G35" s="49"/>
      <c r="H35" s="263">
        <f t="shared" si="4"/>
        <v>23</v>
      </c>
      <c r="J35" s="297"/>
      <c r="K35" s="179"/>
    </row>
    <row r="36" spans="1:11" ht="18.75" x14ac:dyDescent="0.25">
      <c r="A36" s="262">
        <f t="shared" si="2"/>
        <v>24</v>
      </c>
      <c r="B36" s="56" t="s">
        <v>37</v>
      </c>
      <c r="C36" s="50"/>
      <c r="D36" s="50"/>
      <c r="E36" s="501"/>
      <c r="F36" s="501">
        <v>0</v>
      </c>
      <c r="G36" s="49" t="s">
        <v>38</v>
      </c>
      <c r="H36" s="263">
        <f t="shared" si="4"/>
        <v>24</v>
      </c>
      <c r="J36" s="297"/>
      <c r="K36" s="179"/>
    </row>
    <row r="37" spans="1:11" ht="15.75" x14ac:dyDescent="0.25">
      <c r="A37" s="262">
        <f t="shared" si="2"/>
        <v>25</v>
      </c>
      <c r="B37" s="56"/>
      <c r="C37" s="50"/>
      <c r="D37" s="50"/>
      <c r="E37" s="48"/>
      <c r="F37" s="45"/>
      <c r="G37" s="505"/>
      <c r="H37" s="263">
        <f t="shared" si="4"/>
        <v>25</v>
      </c>
      <c r="J37" s="297"/>
      <c r="K37" s="179"/>
    </row>
    <row r="38" spans="1:11" ht="18.75" x14ac:dyDescent="0.25">
      <c r="A38" s="187">
        <f t="shared" si="2"/>
        <v>26</v>
      </c>
      <c r="B38" s="56" t="s">
        <v>39</v>
      </c>
      <c r="C38" s="50"/>
      <c r="D38" s="50"/>
      <c r="E38" s="48"/>
      <c r="F38" s="46">
        <v>-338.98530624485375</v>
      </c>
      <c r="G38" s="49" t="s">
        <v>40</v>
      </c>
      <c r="H38" s="263">
        <f t="shared" si="4"/>
        <v>26</v>
      </c>
      <c r="J38" s="297"/>
      <c r="K38" s="179"/>
    </row>
    <row r="39" spans="1:11" ht="15.75" x14ac:dyDescent="0.25">
      <c r="A39" s="262">
        <f t="shared" si="2"/>
        <v>27</v>
      </c>
      <c r="B39" s="66"/>
      <c r="C39" s="22"/>
      <c r="D39" s="22"/>
      <c r="E39" s="91"/>
      <c r="F39" s="762"/>
      <c r="G39" s="49"/>
      <c r="H39" s="263">
        <f t="shared" si="4"/>
        <v>27</v>
      </c>
    </row>
    <row r="40" spans="1:11" ht="16.5" thickBot="1" x14ac:dyDescent="0.3">
      <c r="A40" s="187">
        <f t="shared" si="2"/>
        <v>28</v>
      </c>
      <c r="B40" s="66" t="s">
        <v>41</v>
      </c>
      <c r="C40" s="22"/>
      <c r="D40" s="22"/>
      <c r="E40" s="235"/>
      <c r="F40" s="763">
        <f>F34+F36+F38</f>
        <v>18291753.584860813</v>
      </c>
      <c r="G40" s="753" t="s">
        <v>42</v>
      </c>
      <c r="H40" s="263">
        <f t="shared" si="4"/>
        <v>28</v>
      </c>
    </row>
    <row r="41" spans="1:11" ht="17.25" thickTop="1" thickBot="1" x14ac:dyDescent="0.3">
      <c r="A41" s="300"/>
      <c r="B41" s="80"/>
      <c r="C41" s="80"/>
      <c r="D41" s="80"/>
      <c r="E41" s="550"/>
      <c r="F41" s="577"/>
      <c r="G41" s="81"/>
      <c r="H41" s="301"/>
    </row>
    <row r="42" spans="1:11" ht="15.75" x14ac:dyDescent="0.25">
      <c r="A42" s="22"/>
      <c r="B42" s="22"/>
      <c r="C42" s="22"/>
      <c r="D42" s="22"/>
      <c r="E42" s="22"/>
      <c r="F42" s="22"/>
      <c r="G42" s="22"/>
      <c r="H42" s="22"/>
    </row>
    <row r="43" spans="1:11" ht="18.75" x14ac:dyDescent="0.25">
      <c r="A43" s="413">
        <v>1</v>
      </c>
      <c r="B43" s="22" t="s">
        <v>43</v>
      </c>
      <c r="C43" s="22"/>
      <c r="D43" s="22"/>
      <c r="E43" s="54"/>
      <c r="F43" s="22"/>
      <c r="G43" s="22"/>
      <c r="H43" s="22"/>
    </row>
    <row r="44" spans="1:11" ht="18.75" x14ac:dyDescent="0.25">
      <c r="A44" s="413">
        <v>2</v>
      </c>
      <c r="B44" s="22" t="s">
        <v>519</v>
      </c>
      <c r="C44" s="22"/>
      <c r="D44" s="22"/>
      <c r="E44" s="22"/>
      <c r="F44" s="22"/>
      <c r="G44" s="22"/>
      <c r="H44" s="22"/>
    </row>
    <row r="45" spans="1:11" ht="15.75" x14ac:dyDescent="0.25">
      <c r="A45" s="22"/>
      <c r="B45" s="22" t="s">
        <v>535</v>
      </c>
      <c r="C45" s="22"/>
      <c r="D45" s="22"/>
      <c r="E45" s="22"/>
      <c r="F45" s="22"/>
      <c r="G45" s="22"/>
      <c r="H45" s="22"/>
    </row>
    <row r="46" spans="1:11" ht="18.75" x14ac:dyDescent="0.25">
      <c r="A46" s="413">
        <v>3</v>
      </c>
      <c r="B46" s="460" t="s">
        <v>44</v>
      </c>
      <c r="C46" s="460"/>
      <c r="D46" s="460"/>
      <c r="E46" s="22"/>
      <c r="F46" s="22"/>
      <c r="G46" s="22"/>
      <c r="H46" s="22"/>
    </row>
    <row r="47" spans="1:11" ht="18.75" x14ac:dyDescent="0.25">
      <c r="A47" s="413">
        <v>4</v>
      </c>
      <c r="B47" s="50" t="s">
        <v>45</v>
      </c>
      <c r="C47" s="50"/>
      <c r="D47" s="50"/>
      <c r="E47" s="22"/>
      <c r="F47" s="22"/>
      <c r="G47" s="22"/>
      <c r="H47" s="22"/>
    </row>
    <row r="48" spans="1:11" ht="15.75" x14ac:dyDescent="0.25">
      <c r="A48" s="22"/>
      <c r="B48" s="22"/>
      <c r="C48" s="22"/>
      <c r="D48" s="22"/>
      <c r="E48" s="22"/>
      <c r="F48" s="22"/>
      <c r="G48" s="22"/>
      <c r="H48" s="22"/>
    </row>
    <row r="49" spans="1:8" ht="15.75" x14ac:dyDescent="0.25">
      <c r="A49" s="22"/>
      <c r="B49" s="22"/>
      <c r="C49" s="22"/>
      <c r="D49" s="22"/>
      <c r="E49" s="22"/>
      <c r="F49" s="22"/>
      <c r="G49" s="22"/>
      <c r="H49" s="22"/>
    </row>
    <row r="50" spans="1:8" ht="15.75" x14ac:dyDescent="0.25">
      <c r="A50" s="22"/>
      <c r="B50" s="22"/>
      <c r="C50" s="22"/>
      <c r="D50" s="22"/>
      <c r="E50" s="22"/>
      <c r="F50" s="22"/>
      <c r="G50" s="22"/>
      <c r="H50" s="22"/>
    </row>
    <row r="51" spans="1:8" ht="15.75" x14ac:dyDescent="0.25">
      <c r="A51" s="22"/>
      <c r="B51" s="22"/>
      <c r="C51" s="22"/>
      <c r="D51" s="22"/>
      <c r="E51" s="22"/>
      <c r="F51" s="22"/>
      <c r="G51" s="22"/>
      <c r="H51" s="22"/>
    </row>
    <row r="52" spans="1:8" ht="15.75" x14ac:dyDescent="0.25">
      <c r="A52" s="22"/>
      <c r="B52" s="22"/>
      <c r="C52" s="22"/>
      <c r="D52" s="22"/>
      <c r="E52" s="22"/>
      <c r="F52" s="22"/>
      <c r="G52" s="22"/>
      <c r="H52" s="22"/>
    </row>
    <row r="53" spans="1:8" ht="15.75" x14ac:dyDescent="0.25">
      <c r="A53" s="22"/>
      <c r="B53" s="22"/>
      <c r="C53" s="22"/>
      <c r="D53" s="22"/>
      <c r="E53" s="22"/>
      <c r="F53" s="22"/>
      <c r="G53" s="22"/>
      <c r="H53" s="22"/>
    </row>
    <row r="54" spans="1:8" ht="15.75" x14ac:dyDescent="0.25">
      <c r="A54" s="22"/>
      <c r="B54" s="22"/>
      <c r="C54" s="22"/>
      <c r="D54" s="22"/>
      <c r="E54" s="22"/>
      <c r="F54" s="22"/>
      <c r="G54" s="22"/>
      <c r="H54" s="22"/>
    </row>
    <row r="55" spans="1:8" ht="15.75" x14ac:dyDescent="0.25">
      <c r="A55" s="22"/>
      <c r="B55" s="22"/>
      <c r="C55" s="22"/>
      <c r="D55" s="22"/>
      <c r="E55" s="22"/>
      <c r="F55" s="22"/>
      <c r="G55" s="22"/>
      <c r="H55" s="22"/>
    </row>
    <row r="56" spans="1:8" ht="15.75" x14ac:dyDescent="0.25">
      <c r="A56" s="22"/>
      <c r="B56" s="22"/>
      <c r="C56" s="22"/>
      <c r="D56" s="22"/>
      <c r="E56" s="22"/>
      <c r="F56" s="22"/>
      <c r="G56" s="22"/>
      <c r="H56" s="22"/>
    </row>
    <row r="57" spans="1:8" ht="15.75" x14ac:dyDescent="0.25">
      <c r="A57" s="22"/>
      <c r="B57" s="22"/>
      <c r="C57" s="22"/>
      <c r="D57" s="22"/>
      <c r="E57" s="22"/>
      <c r="F57" s="22"/>
      <c r="G57" s="22"/>
      <c r="H57" s="22"/>
    </row>
    <row r="58" spans="1:8" ht="15.75" x14ac:dyDescent="0.25">
      <c r="A58" s="22"/>
      <c r="B58" s="22"/>
      <c r="C58" s="22"/>
      <c r="D58" s="22"/>
      <c r="E58" s="22"/>
      <c r="F58" s="22"/>
      <c r="G58" s="22"/>
      <c r="H58" s="22"/>
    </row>
    <row r="59" spans="1:8" ht="15.75" x14ac:dyDescent="0.25">
      <c r="A59" s="22"/>
      <c r="B59" s="22"/>
      <c r="C59" s="22"/>
      <c r="D59" s="22"/>
      <c r="E59" s="22"/>
      <c r="F59" s="22"/>
      <c r="G59" s="22"/>
      <c r="H59" s="22"/>
    </row>
    <row r="60" spans="1:8" ht="15.75" x14ac:dyDescent="0.25">
      <c r="A60" s="22"/>
      <c r="B60" s="22"/>
      <c r="C60" s="22"/>
      <c r="D60" s="22"/>
      <c r="E60" s="22"/>
      <c r="F60" s="22"/>
      <c r="G60" s="22"/>
      <c r="H60" s="22"/>
    </row>
    <row r="61" spans="1:8" ht="15.75" x14ac:dyDescent="0.25">
      <c r="A61" s="22"/>
      <c r="B61" s="22"/>
      <c r="C61" s="22"/>
      <c r="D61" s="22"/>
      <c r="E61" s="22"/>
      <c r="F61" s="22"/>
      <c r="G61" s="22"/>
      <c r="H61" s="22"/>
    </row>
    <row r="62" spans="1:8" ht="15.75" x14ac:dyDescent="0.25">
      <c r="A62" s="22"/>
      <c r="B62" s="22"/>
      <c r="C62" s="22"/>
      <c r="D62" s="22"/>
      <c r="E62" s="22"/>
      <c r="F62" s="22"/>
      <c r="G62" s="22"/>
      <c r="H62" s="22"/>
    </row>
    <row r="63" spans="1:8" ht="15.75" x14ac:dyDescent="0.25">
      <c r="A63" s="22"/>
      <c r="B63" s="22"/>
      <c r="C63" s="22"/>
      <c r="D63" s="22"/>
      <c r="E63" s="22"/>
      <c r="F63" s="22"/>
      <c r="G63" s="22"/>
      <c r="H63" s="22"/>
    </row>
    <row r="64" spans="1:8" ht="15.75" x14ac:dyDescent="0.25">
      <c r="A64" s="22"/>
      <c r="B64" s="22"/>
      <c r="C64" s="22"/>
      <c r="D64" s="22"/>
      <c r="E64" s="22"/>
      <c r="F64" s="22"/>
      <c r="G64" s="22"/>
      <c r="H64" s="22"/>
    </row>
    <row r="65" spans="1:8" ht="15.75" x14ac:dyDescent="0.25">
      <c r="A65" s="22"/>
      <c r="B65" s="22"/>
      <c r="C65" s="22"/>
      <c r="D65" s="22"/>
      <c r="E65" s="22"/>
      <c r="F65" s="22"/>
      <c r="G65" s="22"/>
      <c r="H65" s="22"/>
    </row>
    <row r="66" spans="1:8" ht="15.75" x14ac:dyDescent="0.25">
      <c r="A66" s="22"/>
      <c r="B66" s="22"/>
      <c r="C66" s="22"/>
      <c r="D66" s="22"/>
      <c r="E66" s="22"/>
      <c r="F66" s="22"/>
      <c r="G66" s="22"/>
      <c r="H66" s="22"/>
    </row>
    <row r="67" spans="1:8" ht="15.75" x14ac:dyDescent="0.25">
      <c r="A67" s="22"/>
      <c r="B67" s="22"/>
      <c r="C67" s="22"/>
      <c r="D67" s="22"/>
      <c r="E67" s="22"/>
      <c r="F67" s="22"/>
      <c r="G67" s="22"/>
      <c r="H67" s="22"/>
    </row>
  </sheetData>
  <phoneticPr fontId="0" type="noConversion"/>
  <printOptions horizontalCentered="1"/>
  <pageMargins left="0" right="0" top="0.25" bottom="0.75" header="0.25" footer="0.25"/>
  <pageSetup scale="71" orientation="landscape" r:id="rId1"/>
  <headerFooter alignWithMargins="0">
    <oddFooter>&amp;L&amp;"Times New Roman,Regular"&amp;12&amp;F&amp;C&amp;"Times New Roman,Regular"&amp;12Page 3 of 5&amp;R&amp;"Times New Roman,Regular"&amp;12&amp;A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4"/>
  <sheetViews>
    <sheetView zoomScale="80" zoomScaleNormal="80" workbookViewId="0">
      <selection activeCell="K24" sqref="K24"/>
    </sheetView>
  </sheetViews>
  <sheetFormatPr defaultColWidth="9.28515625" defaultRowHeight="15" x14ac:dyDescent="0.25"/>
  <cols>
    <col min="1" max="1" width="20.5703125" style="764" customWidth="1"/>
    <col min="2" max="5" width="7.5703125" style="764" bestFit="1" customWidth="1"/>
    <col min="6" max="6" width="8.28515625" style="764" bestFit="1" customWidth="1"/>
    <col min="7" max="13" width="7.5703125" style="764" bestFit="1" customWidth="1"/>
    <col min="14" max="14" width="11.42578125" style="764" bestFit="1" customWidth="1"/>
    <col min="15" max="16384" width="9.28515625" style="764"/>
  </cols>
  <sheetData>
    <row r="2" spans="1:15" ht="15.75" x14ac:dyDescent="0.25">
      <c r="A2" s="968" t="s">
        <v>0</v>
      </c>
      <c r="B2" s="968"/>
      <c r="C2" s="968"/>
      <c r="D2" s="968"/>
      <c r="E2" s="968"/>
      <c r="F2" s="968"/>
      <c r="G2" s="968"/>
      <c r="H2" s="968"/>
      <c r="I2" s="968"/>
      <c r="J2" s="968"/>
      <c r="K2" s="968"/>
      <c r="L2" s="968"/>
      <c r="M2" s="968"/>
      <c r="N2" s="968"/>
    </row>
    <row r="3" spans="1:15" ht="15.75" x14ac:dyDescent="0.25">
      <c r="A3" s="968" t="s">
        <v>46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</row>
    <row r="4" spans="1:15" ht="15.75" x14ac:dyDescent="0.25">
      <c r="A4" s="968" t="s">
        <v>2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</row>
    <row r="5" spans="1:15" ht="15.75" x14ac:dyDescent="0.25">
      <c r="A5" s="968" t="s">
        <v>516</v>
      </c>
      <c r="B5" s="968"/>
      <c r="C5" s="968"/>
      <c r="D5" s="968"/>
      <c r="E5" s="968"/>
      <c r="F5" s="968"/>
      <c r="G5" s="968"/>
      <c r="H5" s="968"/>
      <c r="I5" s="968"/>
      <c r="J5" s="968"/>
      <c r="K5" s="968"/>
      <c r="L5" s="968"/>
      <c r="M5" s="968"/>
      <c r="N5" s="968"/>
    </row>
    <row r="6" spans="1:15" ht="15.75" x14ac:dyDescent="0.25">
      <c r="A6" s="968" t="s">
        <v>23</v>
      </c>
      <c r="B6" s="968"/>
      <c r="C6" s="968"/>
      <c r="D6" s="968"/>
      <c r="E6" s="968"/>
      <c r="F6" s="968"/>
      <c r="G6" s="968"/>
      <c r="H6" s="968"/>
      <c r="I6" s="968"/>
      <c r="J6" s="968"/>
      <c r="K6" s="968"/>
      <c r="L6" s="968"/>
      <c r="M6" s="968"/>
      <c r="N6" s="968"/>
    </row>
    <row r="7" spans="1:15" ht="16.5" thickBot="1" x14ac:dyDescent="0.3">
      <c r="A7" s="765"/>
      <c r="B7" s="765"/>
      <c r="C7" s="765"/>
      <c r="D7" s="765"/>
      <c r="E7" s="765"/>
      <c r="F7" s="765"/>
      <c r="G7" s="765"/>
      <c r="H7" s="765"/>
      <c r="I7" s="765"/>
      <c r="J7" s="765"/>
      <c r="K7" s="765"/>
      <c r="L7" s="765"/>
      <c r="M7" s="765"/>
      <c r="N7" s="765"/>
    </row>
    <row r="8" spans="1:15" ht="15.75" thickBot="1" x14ac:dyDescent="0.3">
      <c r="A8" s="769" t="s">
        <v>517</v>
      </c>
      <c r="B8" s="766" t="s">
        <v>47</v>
      </c>
      <c r="C8" s="767" t="s">
        <v>48</v>
      </c>
      <c r="D8" s="767" t="s">
        <v>49</v>
      </c>
      <c r="E8" s="767" t="s">
        <v>50</v>
      </c>
      <c r="F8" s="767" t="s">
        <v>51</v>
      </c>
      <c r="G8" s="767" t="s">
        <v>52</v>
      </c>
      <c r="H8" s="767" t="s">
        <v>53</v>
      </c>
      <c r="I8" s="767" t="s">
        <v>54</v>
      </c>
      <c r="J8" s="767" t="s">
        <v>55</v>
      </c>
      <c r="K8" s="767" t="s">
        <v>56</v>
      </c>
      <c r="L8" s="767" t="s">
        <v>57</v>
      </c>
      <c r="M8" s="768" t="s">
        <v>58</v>
      </c>
      <c r="N8" s="769" t="s">
        <v>17</v>
      </c>
      <c r="O8" s="770"/>
    </row>
    <row r="9" spans="1:15" ht="43.5" thickBot="1" x14ac:dyDescent="0.3">
      <c r="A9" s="841" t="s">
        <v>59</v>
      </c>
      <c r="B9" s="951">
        <v>0</v>
      </c>
      <c r="C9" s="951">
        <v>0</v>
      </c>
      <c r="D9" s="951">
        <v>0</v>
      </c>
      <c r="E9" s="951">
        <v>0</v>
      </c>
      <c r="F9" s="951">
        <v>0</v>
      </c>
      <c r="G9" s="951">
        <v>0</v>
      </c>
      <c r="H9" s="951">
        <v>0</v>
      </c>
      <c r="I9" s="951">
        <v>0</v>
      </c>
      <c r="J9" s="951">
        <v>0</v>
      </c>
      <c r="K9" s="951">
        <v>0</v>
      </c>
      <c r="L9" s="951">
        <v>0</v>
      </c>
      <c r="M9" s="951">
        <v>0</v>
      </c>
      <c r="N9" s="842">
        <f>SUM(B9:M9)</f>
        <v>0</v>
      </c>
      <c r="O9" s="770"/>
    </row>
    <row r="10" spans="1:15" x14ac:dyDescent="0.25">
      <c r="A10" s="771"/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773"/>
      <c r="O10" s="770"/>
    </row>
    <row r="11" spans="1:15" x14ac:dyDescent="0.25">
      <c r="H11" s="764" t="s">
        <v>60</v>
      </c>
      <c r="N11" s="774">
        <v>1.0108921468885481</v>
      </c>
    </row>
    <row r="12" spans="1:15" x14ac:dyDescent="0.25">
      <c r="N12" s="775"/>
    </row>
    <row r="13" spans="1:15" ht="15.75" thickBot="1" x14ac:dyDescent="0.3">
      <c r="H13" s="764" t="s">
        <v>61</v>
      </c>
      <c r="N13" s="776">
        <f>N9*N11</f>
        <v>0</v>
      </c>
    </row>
    <row r="14" spans="1:15" ht="15.75" thickTop="1" x14ac:dyDescent="0.25">
      <c r="N14" s="777"/>
    </row>
  </sheetData>
  <mergeCells count="5">
    <mergeCell ref="A2:N2"/>
    <mergeCell ref="A3:N3"/>
    <mergeCell ref="A4:N4"/>
    <mergeCell ref="A5:N5"/>
    <mergeCell ref="A6:N6"/>
  </mergeCells>
  <printOptions horizontalCentered="1"/>
  <pageMargins left="0.25" right="0.25" top="0.5" bottom="0.5" header="0.25" footer="0.25"/>
  <pageSetup orientation="landscape" r:id="rId1"/>
  <headerFooter alignWithMargins="0">
    <oddFooter>&amp;L&amp;"Times New Roman,Regular"&amp;12&amp;F&amp;C&amp;"Times New Roman,Regular"&amp;12Page 4 of 5&amp;R&amp;"Times New Roman,Regular"&amp;12&amp;A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DC20-797C-4235-8D22-6E9C71D54D96}">
  <sheetPr>
    <pageSetUpPr fitToPage="1"/>
  </sheetPr>
  <dimension ref="A2:E21"/>
  <sheetViews>
    <sheetView zoomScale="80" zoomScaleNormal="80" workbookViewId="0">
      <selection activeCell="C19" sqref="C19"/>
    </sheetView>
  </sheetViews>
  <sheetFormatPr defaultColWidth="9.28515625" defaultRowHeight="15" x14ac:dyDescent="0.25"/>
  <cols>
    <col min="1" max="1" width="9.28515625" style="824"/>
    <col min="2" max="2" width="54" style="833" customWidth="1"/>
    <col min="3" max="3" width="10.42578125" style="824" bestFit="1" customWidth="1"/>
    <col min="4" max="4" width="30.28515625" style="824" customWidth="1"/>
    <col min="5" max="5" width="12.42578125" style="824" customWidth="1"/>
    <col min="6" max="16384" width="9.28515625" style="824"/>
  </cols>
  <sheetData>
    <row r="2" spans="1:5" ht="15.75" x14ac:dyDescent="0.25">
      <c r="B2" s="969" t="s">
        <v>0</v>
      </c>
      <c r="C2" s="969"/>
      <c r="D2" s="969"/>
    </row>
    <row r="3" spans="1:5" ht="15.75" x14ac:dyDescent="0.25">
      <c r="B3" s="969" t="s">
        <v>46</v>
      </c>
      <c r="C3" s="969"/>
      <c r="D3" s="969"/>
    </row>
    <row r="4" spans="1:5" ht="15.75" x14ac:dyDescent="0.25">
      <c r="B4" s="969" t="s">
        <v>2</v>
      </c>
      <c r="C4" s="969"/>
      <c r="D4" s="969"/>
    </row>
    <row r="5" spans="1:5" ht="15.75" x14ac:dyDescent="0.25">
      <c r="B5" s="969" t="s">
        <v>62</v>
      </c>
      <c r="C5" s="969"/>
      <c r="D5" s="969"/>
    </row>
    <row r="6" spans="1:5" ht="15.75" x14ac:dyDescent="0.25">
      <c r="B6" s="969" t="s">
        <v>515</v>
      </c>
      <c r="C6" s="969"/>
      <c r="D6" s="969"/>
    </row>
    <row r="7" spans="1:5" ht="15.75" x14ac:dyDescent="0.25">
      <c r="B7" s="825"/>
      <c r="C7" s="825"/>
      <c r="D7" s="825"/>
    </row>
    <row r="8" spans="1:5" ht="16.5" thickBot="1" x14ac:dyDescent="0.3">
      <c r="A8" s="826" t="s">
        <v>63</v>
      </c>
      <c r="B8" s="826" t="s">
        <v>64</v>
      </c>
      <c r="C8" s="826" t="s">
        <v>65</v>
      </c>
      <c r="D8" s="826" t="s">
        <v>15</v>
      </c>
      <c r="E8" s="826" t="s">
        <v>63</v>
      </c>
    </row>
    <row r="9" spans="1:5" ht="15.75" x14ac:dyDescent="0.25">
      <c r="A9" s="827"/>
      <c r="B9" s="748"/>
      <c r="C9" s="749"/>
      <c r="D9" s="750"/>
      <c r="E9" s="828"/>
    </row>
    <row r="10" spans="1:5" ht="15.75" x14ac:dyDescent="0.25">
      <c r="A10" s="827">
        <v>1</v>
      </c>
      <c r="B10" s="749" t="s">
        <v>66</v>
      </c>
      <c r="C10" s="749">
        <v>0</v>
      </c>
      <c r="D10" s="750" t="s">
        <v>67</v>
      </c>
      <c r="E10" s="827">
        <v>1</v>
      </c>
    </row>
    <row r="11" spans="1:5" ht="15.75" x14ac:dyDescent="0.25">
      <c r="A11" s="827"/>
      <c r="B11" s="749"/>
      <c r="C11" s="749"/>
      <c r="D11" s="750"/>
      <c r="E11" s="827"/>
    </row>
    <row r="12" spans="1:5" ht="15.75" x14ac:dyDescent="0.25">
      <c r="A12" s="827">
        <f>A10+1</f>
        <v>2</v>
      </c>
      <c r="B12" s="749" t="s">
        <v>68</v>
      </c>
      <c r="C12" s="751">
        <v>335.33281199999988</v>
      </c>
      <c r="D12" s="750" t="s">
        <v>67</v>
      </c>
      <c r="E12" s="827">
        <f>E10+1</f>
        <v>2</v>
      </c>
    </row>
    <row r="13" spans="1:5" ht="15.75" x14ac:dyDescent="0.25">
      <c r="A13" s="827"/>
      <c r="B13" s="749"/>
      <c r="C13" s="749"/>
      <c r="D13" s="750"/>
      <c r="E13" s="827"/>
    </row>
    <row r="14" spans="1:5" ht="15.75" x14ac:dyDescent="0.25">
      <c r="A14" s="827">
        <f>A12+1</f>
        <v>3</v>
      </c>
      <c r="B14" s="749" t="s">
        <v>69</v>
      </c>
      <c r="C14" s="749">
        <f>C10-C12</f>
        <v>-335.33281199999988</v>
      </c>
      <c r="D14" s="750" t="s">
        <v>70</v>
      </c>
      <c r="E14" s="827">
        <f>E12+1</f>
        <v>3</v>
      </c>
    </row>
    <row r="15" spans="1:5" ht="15.75" x14ac:dyDescent="0.25">
      <c r="A15" s="827"/>
      <c r="B15" s="749"/>
      <c r="C15" s="749"/>
      <c r="D15" s="750"/>
      <c r="E15" s="827"/>
    </row>
    <row r="16" spans="1:5" ht="15.75" x14ac:dyDescent="0.25">
      <c r="A16" s="827">
        <f>A14+1</f>
        <v>4</v>
      </c>
      <c r="B16" s="829" t="s">
        <v>60</v>
      </c>
      <c r="C16" s="830">
        <v>1.0108921468885481</v>
      </c>
      <c r="D16" s="750" t="s">
        <v>67</v>
      </c>
      <c r="E16" s="827">
        <f>E14+1</f>
        <v>4</v>
      </c>
    </row>
    <row r="17" spans="1:5" ht="15.75" x14ac:dyDescent="0.25">
      <c r="A17" s="827"/>
      <c r="B17" s="829"/>
      <c r="C17" s="832"/>
      <c r="D17" s="831"/>
      <c r="E17" s="827"/>
    </row>
    <row r="18" spans="1:5" ht="18.75" x14ac:dyDescent="0.25">
      <c r="A18" s="834">
        <f>A16+1</f>
        <v>5</v>
      </c>
      <c r="B18" s="838" t="s">
        <v>71</v>
      </c>
      <c r="C18" s="835">
        <f>C14*C16</f>
        <v>-338.98530624485375</v>
      </c>
      <c r="D18" s="837" t="s">
        <v>72</v>
      </c>
      <c r="E18" s="834">
        <f>E16+1</f>
        <v>5</v>
      </c>
    </row>
    <row r="19" spans="1:5" ht="15.75" x14ac:dyDescent="0.25">
      <c r="A19" s="827"/>
    </row>
    <row r="20" spans="1:5" ht="18.75" x14ac:dyDescent="0.25">
      <c r="A20" s="413">
        <v>1</v>
      </c>
      <c r="B20" s="22" t="s">
        <v>73</v>
      </c>
    </row>
    <row r="21" spans="1:5" ht="15.75" x14ac:dyDescent="0.25">
      <c r="B21" s="836"/>
    </row>
  </sheetData>
  <mergeCells count="5">
    <mergeCell ref="B2:D2"/>
    <mergeCell ref="B3:D3"/>
    <mergeCell ref="B4:D4"/>
    <mergeCell ref="B5:D5"/>
    <mergeCell ref="B6:D6"/>
  </mergeCells>
  <printOptions horizontalCentered="1"/>
  <pageMargins left="0" right="0" top="0.5" bottom="0.75" header="0.25" footer="0.25"/>
  <pageSetup orientation="landscape" r:id="rId1"/>
  <headerFooter alignWithMargins="0">
    <oddFooter>&amp;L            &amp;F&amp;CPage 5 of 5&amp;R&amp;A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52"/>
  <sheetViews>
    <sheetView zoomScale="80" zoomScaleNormal="80" workbookViewId="0">
      <selection activeCell="E27" sqref="E27"/>
    </sheetView>
  </sheetViews>
  <sheetFormatPr defaultColWidth="9.28515625" defaultRowHeight="12.75" x14ac:dyDescent="0.2"/>
  <cols>
    <col min="1" max="1" width="5.5703125" style="242" customWidth="1"/>
    <col min="2" max="2" width="40.5703125" style="242" customWidth="1"/>
    <col min="3" max="6" width="20.5703125" style="242" customWidth="1"/>
    <col min="7" max="7" width="25.5703125" style="242" hidden="1" customWidth="1"/>
    <col min="8" max="8" width="35.5703125" style="242" customWidth="1"/>
    <col min="9" max="9" width="5.5703125" style="242" customWidth="1"/>
    <col min="10" max="16384" width="9.28515625" style="242"/>
  </cols>
  <sheetData>
    <row r="2" spans="1:9" ht="15.75" x14ac:dyDescent="0.2">
      <c r="A2" s="5" t="s">
        <v>74</v>
      </c>
      <c r="B2" s="417"/>
      <c r="C2" s="822"/>
      <c r="D2" s="822"/>
      <c r="E2" s="822"/>
      <c r="F2" s="822"/>
      <c r="G2" s="822"/>
      <c r="H2" s="822"/>
      <c r="I2" s="822"/>
    </row>
    <row r="3" spans="1:9" ht="15.75" x14ac:dyDescent="0.2">
      <c r="A3" s="5" t="s">
        <v>22</v>
      </c>
      <c r="B3" s="5"/>
      <c r="C3" s="41"/>
      <c r="D3" s="41"/>
      <c r="E3" s="41"/>
      <c r="F3" s="41"/>
      <c r="G3" s="41"/>
      <c r="H3" s="41"/>
      <c r="I3" s="41"/>
    </row>
    <row r="4" spans="1:9" ht="15.75" x14ac:dyDescent="0.2">
      <c r="A4" s="970" t="s">
        <v>75</v>
      </c>
      <c r="B4" s="970"/>
      <c r="C4" s="970"/>
      <c r="D4" s="970"/>
      <c r="E4" s="970"/>
      <c r="F4" s="970"/>
      <c r="G4" s="970"/>
      <c r="H4" s="970"/>
      <c r="I4" s="970"/>
    </row>
    <row r="5" spans="1:9" ht="15.75" x14ac:dyDescent="0.2">
      <c r="A5" s="970" t="s">
        <v>76</v>
      </c>
      <c r="B5" s="970"/>
      <c r="C5" s="970"/>
      <c r="D5" s="970"/>
      <c r="E5" s="970"/>
      <c r="F5" s="970"/>
      <c r="G5" s="970"/>
      <c r="H5" s="970"/>
      <c r="I5" s="970"/>
    </row>
    <row r="6" spans="1:9" ht="15.75" x14ac:dyDescent="0.2">
      <c r="A6" s="5" t="s">
        <v>512</v>
      </c>
      <c r="B6" s="5"/>
      <c r="C6" s="382"/>
      <c r="D6" s="382"/>
      <c r="E6" s="382"/>
      <c r="F6" s="383"/>
      <c r="G6" s="382"/>
      <c r="H6" s="382"/>
      <c r="I6" s="41"/>
    </row>
    <row r="7" spans="1:9" ht="16.5" thickBot="1" x14ac:dyDescent="0.3">
      <c r="A7" s="37"/>
      <c r="B7" s="89"/>
      <c r="C7" s="89"/>
      <c r="D7" s="89"/>
      <c r="E7" s="89"/>
      <c r="F7" s="89"/>
      <c r="G7" s="22"/>
      <c r="H7" s="22"/>
      <c r="I7" s="22"/>
    </row>
    <row r="8" spans="1:9" ht="15.75" x14ac:dyDescent="0.25">
      <c r="A8" s="551"/>
      <c r="B8" s="455"/>
      <c r="C8" s="552" t="s">
        <v>3</v>
      </c>
      <c r="D8" s="552" t="s">
        <v>4</v>
      </c>
      <c r="E8" s="552" t="s">
        <v>5</v>
      </c>
      <c r="F8" s="552" t="s">
        <v>77</v>
      </c>
      <c r="G8" s="455"/>
      <c r="H8" s="455"/>
      <c r="I8" s="553"/>
    </row>
    <row r="9" spans="1:9" ht="15.75" x14ac:dyDescent="0.25">
      <c r="A9" s="545"/>
      <c r="B9" s="75"/>
      <c r="C9" s="158" t="s">
        <v>78</v>
      </c>
      <c r="D9" s="158" t="s">
        <v>79</v>
      </c>
      <c r="E9" s="75"/>
      <c r="F9" s="75"/>
      <c r="G9" s="75"/>
      <c r="H9" s="75"/>
      <c r="I9" s="546"/>
    </row>
    <row r="10" spans="1:9" ht="15.75" x14ac:dyDescent="0.25">
      <c r="A10" s="545"/>
      <c r="B10" s="94"/>
      <c r="C10" s="75">
        <v>2027</v>
      </c>
      <c r="D10" s="75">
        <f>C10</f>
        <v>2027</v>
      </c>
      <c r="E10" s="75"/>
      <c r="F10" s="75"/>
      <c r="G10" s="75"/>
      <c r="H10" s="75"/>
      <c r="I10" s="546"/>
    </row>
    <row r="11" spans="1:9" ht="15.75" x14ac:dyDescent="0.25">
      <c r="A11" s="545" t="s">
        <v>7</v>
      </c>
      <c r="B11" s="94"/>
      <c r="C11" s="75" t="s">
        <v>80</v>
      </c>
      <c r="D11" s="75" t="s">
        <v>80</v>
      </c>
      <c r="E11" s="75"/>
      <c r="F11" s="158" t="s">
        <v>81</v>
      </c>
      <c r="G11" s="75"/>
      <c r="H11" s="75"/>
      <c r="I11" s="546" t="s">
        <v>7</v>
      </c>
    </row>
    <row r="12" spans="1:9" ht="19.5" thickBot="1" x14ac:dyDescent="0.3">
      <c r="A12" s="563" t="s">
        <v>10</v>
      </c>
      <c r="B12" s="153" t="s">
        <v>82</v>
      </c>
      <c r="C12" s="565" t="s">
        <v>83</v>
      </c>
      <c r="D12" s="565" t="s">
        <v>84</v>
      </c>
      <c r="E12" s="153" t="s">
        <v>85</v>
      </c>
      <c r="F12" s="153" t="s">
        <v>86</v>
      </c>
      <c r="G12" s="153" t="s">
        <v>15</v>
      </c>
      <c r="H12" s="153" t="s">
        <v>15</v>
      </c>
      <c r="I12" s="564" t="s">
        <v>10</v>
      </c>
    </row>
    <row r="13" spans="1:9" ht="15.75" x14ac:dyDescent="0.25">
      <c r="A13" s="262"/>
      <c r="B13" s="10"/>
      <c r="C13" s="75"/>
      <c r="D13" s="75"/>
      <c r="E13" s="10"/>
      <c r="F13" s="188"/>
      <c r="G13" s="10"/>
      <c r="H13" s="10"/>
      <c r="I13" s="263"/>
    </row>
    <row r="14" spans="1:9" ht="15.75" x14ac:dyDescent="0.25">
      <c r="A14" s="262">
        <v>1</v>
      </c>
      <c r="B14" s="17" t="s">
        <v>87</v>
      </c>
      <c r="C14" s="19">
        <f>'Stmt BG - Page 2'!I28</f>
        <v>-18530988.532192502</v>
      </c>
      <c r="D14" s="19">
        <f>'Stmt BH - Page 1'!I28</f>
        <v>-17333601.580881596</v>
      </c>
      <c r="E14" s="19">
        <f>C14-D14</f>
        <v>-1197386.9513109066</v>
      </c>
      <c r="F14" s="25">
        <f>(C14-D14)/D14</f>
        <v>6.9078947368421448E-2</v>
      </c>
      <c r="G14" s="19"/>
      <c r="H14" s="26" t="s">
        <v>88</v>
      </c>
      <c r="I14" s="263">
        <v>1</v>
      </c>
    </row>
    <row r="15" spans="1:9" ht="15.75" x14ac:dyDescent="0.25">
      <c r="A15" s="262">
        <f>A14+1</f>
        <v>2</v>
      </c>
      <c r="B15" s="11"/>
      <c r="C15" s="19"/>
      <c r="D15" s="19"/>
      <c r="E15" s="19"/>
      <c r="F15" s="19"/>
      <c r="G15" s="384"/>
      <c r="H15" s="26" t="s">
        <v>89</v>
      </c>
      <c r="I15" s="263">
        <f>I14+1</f>
        <v>2</v>
      </c>
    </row>
    <row r="16" spans="1:9" ht="15.75" x14ac:dyDescent="0.25">
      <c r="A16" s="262">
        <f t="shared" ref="A16:A27" si="0">A15+1</f>
        <v>3</v>
      </c>
      <c r="B16" s="17" t="s">
        <v>90</v>
      </c>
      <c r="C16" s="31">
        <f>'Stmt BG - Page 2'!I30</f>
        <v>-5577094.0834676931</v>
      </c>
      <c r="D16" s="31">
        <f>'Stmt BH - Page 1'!I30</f>
        <v>-5216728.0042282427</v>
      </c>
      <c r="E16" s="31">
        <f>C16-D16</f>
        <v>-360366.0792394504</v>
      </c>
      <c r="F16" s="25">
        <f>(C16-D16)/D16</f>
        <v>6.9078947368420948E-2</v>
      </c>
      <c r="G16" s="19"/>
      <c r="H16" s="26" t="s">
        <v>91</v>
      </c>
      <c r="I16" s="263">
        <f t="shared" ref="I16:I27" si="1">I15+1</f>
        <v>3</v>
      </c>
    </row>
    <row r="17" spans="1:9" ht="15.75" x14ac:dyDescent="0.25">
      <c r="A17" s="262">
        <f t="shared" si="0"/>
        <v>4</v>
      </c>
      <c r="B17" s="385"/>
      <c r="C17" s="31"/>
      <c r="D17" s="31"/>
      <c r="E17" s="31"/>
      <c r="F17" s="25"/>
      <c r="G17" s="19"/>
      <c r="H17" s="26" t="s">
        <v>92</v>
      </c>
      <c r="I17" s="263">
        <f t="shared" si="1"/>
        <v>4</v>
      </c>
    </row>
    <row r="18" spans="1:9" ht="15.75" x14ac:dyDescent="0.25">
      <c r="A18" s="262">
        <f t="shared" si="0"/>
        <v>5</v>
      </c>
      <c r="B18" s="17" t="s">
        <v>93</v>
      </c>
      <c r="C18" s="31">
        <f>'Stmt BG - Page 2'!I32</f>
        <v>-31345687.144440848</v>
      </c>
      <c r="D18" s="31">
        <f>'Stmt BH - Page 1'!I32</f>
        <v>-29320273.513569288</v>
      </c>
      <c r="E18" s="31">
        <f>C18-D18</f>
        <v>-2025413.6308715604</v>
      </c>
      <c r="F18" s="25">
        <f>(C18-D18)/D18</f>
        <v>6.9078947368420976E-2</v>
      </c>
      <c r="G18" s="19"/>
      <c r="H18" s="26" t="s">
        <v>94</v>
      </c>
      <c r="I18" s="263">
        <f t="shared" si="1"/>
        <v>5</v>
      </c>
    </row>
    <row r="19" spans="1:9" ht="15.75" x14ac:dyDescent="0.25">
      <c r="A19" s="262">
        <f t="shared" si="0"/>
        <v>6</v>
      </c>
      <c r="B19" s="17"/>
      <c r="C19" s="31"/>
      <c r="D19" s="31"/>
      <c r="E19" s="31"/>
      <c r="F19" s="25"/>
      <c r="G19" s="19"/>
      <c r="H19" s="26" t="s">
        <v>95</v>
      </c>
      <c r="I19" s="263">
        <f t="shared" si="1"/>
        <v>6</v>
      </c>
    </row>
    <row r="20" spans="1:9" ht="15.75" x14ac:dyDescent="0.25">
      <c r="A20" s="262">
        <f t="shared" si="0"/>
        <v>7</v>
      </c>
      <c r="B20" s="17" t="s">
        <v>96</v>
      </c>
      <c r="C20" s="31">
        <f>'Stmt BG - Page 2'!I34</f>
        <v>-684335.14123821119</v>
      </c>
      <c r="D20" s="31">
        <f>'Stmt BH - Page 1'!I34</f>
        <v>-640116.56288128067</v>
      </c>
      <c r="E20" s="31">
        <f>C20-D20</f>
        <v>-44218.57835693052</v>
      </c>
      <c r="F20" s="25">
        <f>(C20-D20)/D20</f>
        <v>6.9078947368420976E-2</v>
      </c>
      <c r="G20" s="19"/>
      <c r="H20" s="26" t="s">
        <v>97</v>
      </c>
      <c r="I20" s="263">
        <f t="shared" si="1"/>
        <v>7</v>
      </c>
    </row>
    <row r="21" spans="1:9" ht="15.75" x14ac:dyDescent="0.25">
      <c r="A21" s="262">
        <f t="shared" si="0"/>
        <v>8</v>
      </c>
      <c r="B21" s="17"/>
      <c r="C21" s="31"/>
      <c r="D21" s="31"/>
      <c r="E21" s="31"/>
      <c r="F21" s="25"/>
      <c r="G21" s="19"/>
      <c r="H21" s="26" t="s">
        <v>98</v>
      </c>
      <c r="I21" s="263">
        <f t="shared" si="1"/>
        <v>8</v>
      </c>
    </row>
    <row r="22" spans="1:9" ht="15.75" x14ac:dyDescent="0.25">
      <c r="A22" s="262">
        <f t="shared" si="0"/>
        <v>9</v>
      </c>
      <c r="B22" s="17" t="s">
        <v>99</v>
      </c>
      <c r="C22" s="31">
        <f>'Stmt BG - Page 2'!I36</f>
        <v>-534594.30641296448</v>
      </c>
      <c r="D22" s="31">
        <f>'Stmt BH - Page 1'!I36</f>
        <v>-500051.28969089605</v>
      </c>
      <c r="E22" s="31">
        <f>C22-D22</f>
        <v>-34543.016722068423</v>
      </c>
      <c r="F22" s="25">
        <f>(C22-D22)/D22</f>
        <v>6.9078947368420948E-2</v>
      </c>
      <c r="G22" s="19"/>
      <c r="H22" s="26" t="s">
        <v>100</v>
      </c>
      <c r="I22" s="263">
        <f t="shared" si="1"/>
        <v>9</v>
      </c>
    </row>
    <row r="23" spans="1:9" ht="15.75" x14ac:dyDescent="0.25">
      <c r="A23" s="262">
        <f t="shared" si="0"/>
        <v>10</v>
      </c>
      <c r="B23" s="17"/>
      <c r="C23" s="31"/>
      <c r="D23" s="31"/>
      <c r="E23" s="31"/>
      <c r="F23" s="25"/>
      <c r="G23" s="19"/>
      <c r="H23" s="26" t="s">
        <v>101</v>
      </c>
      <c r="I23" s="263">
        <f t="shared" si="1"/>
        <v>10</v>
      </c>
    </row>
    <row r="24" spans="1:9" ht="15.75" x14ac:dyDescent="0.25">
      <c r="A24" s="262">
        <f t="shared" si="0"/>
        <v>11</v>
      </c>
      <c r="B24" s="66" t="s">
        <v>102</v>
      </c>
      <c r="C24" s="31">
        <f>'Stmt BG - Page 2'!I38</f>
        <v>-252472.60954357311</v>
      </c>
      <c r="D24" s="54">
        <f>'Stmt BH - Page 1'!I38</f>
        <v>-236158.99477306535</v>
      </c>
      <c r="E24" s="31">
        <f>C24-D24</f>
        <v>-16313.61477050776</v>
      </c>
      <c r="F24" s="521">
        <f>(C24-D24)/D24</f>
        <v>6.9078947368420865E-2</v>
      </c>
      <c r="G24" s="19"/>
      <c r="H24" s="26" t="s">
        <v>103</v>
      </c>
      <c r="I24" s="263">
        <f t="shared" si="1"/>
        <v>11</v>
      </c>
    </row>
    <row r="25" spans="1:9" ht="15.75" x14ac:dyDescent="0.25">
      <c r="A25" s="262">
        <f t="shared" si="0"/>
        <v>12</v>
      </c>
      <c r="B25" s="17"/>
      <c r="C25" s="31"/>
      <c r="D25" s="31"/>
      <c r="E25" s="31"/>
      <c r="F25" s="25"/>
      <c r="G25" s="19"/>
      <c r="H25" s="26" t="s">
        <v>104</v>
      </c>
      <c r="I25" s="263">
        <f t="shared" si="1"/>
        <v>12</v>
      </c>
    </row>
    <row r="26" spans="1:9" ht="15.75" x14ac:dyDescent="0.25">
      <c r="A26" s="262">
        <f t="shared" si="0"/>
        <v>13</v>
      </c>
      <c r="B26" s="17"/>
      <c r="C26" s="53"/>
      <c r="D26" s="53"/>
      <c r="E26" s="21"/>
      <c r="F26" s="21"/>
      <c r="G26" s="19"/>
      <c r="I26" s="263">
        <f t="shared" si="1"/>
        <v>13</v>
      </c>
    </row>
    <row r="27" spans="1:9" ht="16.5" thickBot="1" x14ac:dyDescent="0.3">
      <c r="A27" s="262">
        <f t="shared" si="0"/>
        <v>14</v>
      </c>
      <c r="B27" s="11" t="s">
        <v>105</v>
      </c>
      <c r="C27" s="386">
        <f>SUM(C14:C24)</f>
        <v>-56925171.81729579</v>
      </c>
      <c r="D27" s="386">
        <f>SUM(D14:D24)</f>
        <v>-53246929.946024373</v>
      </c>
      <c r="E27" s="386">
        <f>SUM(E14:E24)</f>
        <v>-3678241.8712714245</v>
      </c>
      <c r="F27" s="387">
        <f>(C27-D27)/D27</f>
        <v>6.9078947368420976E-2</v>
      </c>
      <c r="G27" s="388"/>
      <c r="H27" s="389" t="s">
        <v>106</v>
      </c>
      <c r="I27" s="263">
        <f t="shared" si="1"/>
        <v>14</v>
      </c>
    </row>
    <row r="28" spans="1:9" ht="17.25" thickTop="1" thickBot="1" x14ac:dyDescent="0.3">
      <c r="A28" s="300"/>
      <c r="B28" s="81"/>
      <c r="C28" s="81"/>
      <c r="D28" s="81"/>
      <c r="E28" s="81"/>
      <c r="F28" s="81"/>
      <c r="G28" s="81"/>
      <c r="H28" s="81"/>
      <c r="I28" s="406"/>
    </row>
    <row r="29" spans="1:9" ht="15.75" x14ac:dyDescent="0.25">
      <c r="A29" s="37"/>
      <c r="B29" s="390"/>
    </row>
    <row r="30" spans="1:9" ht="18.75" x14ac:dyDescent="0.25">
      <c r="A30" s="83">
        <v>1</v>
      </c>
      <c r="B30" s="22" t="s">
        <v>514</v>
      </c>
    </row>
    <row r="31" spans="1:9" ht="18.75" x14ac:dyDescent="0.25">
      <c r="A31" s="69"/>
      <c r="B31" s="22"/>
    </row>
    <row r="32" spans="1:9" ht="15.75" x14ac:dyDescent="0.25">
      <c r="A32" s="37"/>
      <c r="B32" s="22"/>
    </row>
    <row r="33" spans="1:8" ht="18.75" x14ac:dyDescent="0.25">
      <c r="A33" s="69"/>
      <c r="B33" s="22"/>
    </row>
    <row r="34" spans="1:8" ht="15.75" x14ac:dyDescent="0.25">
      <c r="A34" s="821"/>
      <c r="B34" s="22"/>
    </row>
    <row r="35" spans="1:8" ht="15.75" x14ac:dyDescent="0.25">
      <c r="A35" s="821"/>
      <c r="B35" s="22"/>
      <c r="C35" s="22"/>
      <c r="D35" s="22"/>
      <c r="E35" s="140"/>
      <c r="F35" s="22"/>
      <c r="G35" s="22"/>
      <c r="H35" s="22"/>
    </row>
    <row r="36" spans="1:8" ht="15.75" x14ac:dyDescent="0.25">
      <c r="A36" s="821"/>
      <c r="B36" s="22"/>
      <c r="C36" s="22"/>
      <c r="D36" s="22"/>
      <c r="E36" s="391"/>
      <c r="F36" s="22"/>
      <c r="G36" s="22"/>
      <c r="H36" s="22"/>
    </row>
    <row r="37" spans="1:8" ht="15.75" x14ac:dyDescent="0.25">
      <c r="A37" s="821"/>
      <c r="B37" s="22"/>
      <c r="C37" s="22"/>
      <c r="D37" s="22"/>
      <c r="E37" s="22"/>
      <c r="F37" s="22"/>
      <c r="G37" s="22"/>
      <c r="H37" s="22"/>
    </row>
    <row r="38" spans="1:8" x14ac:dyDescent="0.2">
      <c r="A38" s="821"/>
    </row>
    <row r="39" spans="1:8" x14ac:dyDescent="0.2">
      <c r="A39" s="821"/>
    </row>
    <row r="40" spans="1:8" x14ac:dyDescent="0.2">
      <c r="A40" s="821"/>
    </row>
    <row r="41" spans="1:8" x14ac:dyDescent="0.2">
      <c r="A41" s="821"/>
    </row>
    <row r="42" spans="1:8" x14ac:dyDescent="0.2">
      <c r="A42" s="821"/>
    </row>
    <row r="43" spans="1:8" x14ac:dyDescent="0.2">
      <c r="A43" s="821"/>
    </row>
    <row r="44" spans="1:8" x14ac:dyDescent="0.2">
      <c r="A44" s="821"/>
    </row>
    <row r="45" spans="1:8" x14ac:dyDescent="0.2">
      <c r="A45" s="821"/>
    </row>
    <row r="46" spans="1:8" x14ac:dyDescent="0.2">
      <c r="A46" s="821"/>
    </row>
    <row r="47" spans="1:8" x14ac:dyDescent="0.2">
      <c r="A47" s="821"/>
    </row>
    <row r="48" spans="1:8" x14ac:dyDescent="0.2">
      <c r="A48" s="821"/>
    </row>
    <row r="49" spans="1:1" x14ac:dyDescent="0.2">
      <c r="A49" s="821"/>
    </row>
    <row r="50" spans="1:1" x14ac:dyDescent="0.2">
      <c r="A50" s="821"/>
    </row>
    <row r="51" spans="1:1" x14ac:dyDescent="0.2">
      <c r="A51" s="821"/>
    </row>
    <row r="52" spans="1:1" x14ac:dyDescent="0.2">
      <c r="A52" s="821"/>
    </row>
  </sheetData>
  <mergeCells count="2">
    <mergeCell ref="A5:I5"/>
    <mergeCell ref="A4:I4"/>
  </mergeCells>
  <printOptions horizontalCentered="1"/>
  <pageMargins left="0.25" right="0.25" top="0.5" bottom="0.5" header="0.25" footer="0.25"/>
  <pageSetup scale="79" orientation="landscape" r:id="rId1"/>
  <headerFooter alignWithMargins="0">
    <oddFooter>&amp;L&amp;"Times New Roman,Regular"&amp;14 &amp;F&amp;C&amp;"Times New Roman,Regular"&amp;14Page 1 of 4&amp;R&amp;"Times New Roman,Regular"&amp;14&amp;A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R143"/>
  <sheetViews>
    <sheetView topLeftCell="A20" zoomScale="80" zoomScaleNormal="80" workbookViewId="0">
      <selection activeCell="K43" sqref="K43"/>
    </sheetView>
  </sheetViews>
  <sheetFormatPr defaultColWidth="9.28515625" defaultRowHeight="15.75" x14ac:dyDescent="0.25"/>
  <cols>
    <col min="1" max="1" width="6" style="22" bestFit="1" customWidth="1"/>
    <col min="2" max="2" width="42" style="22" bestFit="1" customWidth="1"/>
    <col min="3" max="8" width="18" style="22" bestFit="1" customWidth="1"/>
    <col min="9" max="9" width="19.42578125" style="22" bestFit="1" customWidth="1"/>
    <col min="10" max="10" width="6" style="22" bestFit="1" customWidth="1"/>
    <col min="11" max="14" width="17.28515625" style="22" bestFit="1" customWidth="1"/>
    <col min="15" max="15" width="18.42578125" style="22" bestFit="1" customWidth="1"/>
    <col min="16" max="16" width="8.5703125" style="22" bestFit="1" customWidth="1"/>
    <col min="17" max="16384" width="9.28515625" style="22"/>
  </cols>
  <sheetData>
    <row r="2" spans="1:16" ht="18" customHeight="1" x14ac:dyDescent="0.25">
      <c r="A2" s="970" t="s">
        <v>74</v>
      </c>
      <c r="B2" s="970"/>
      <c r="C2" s="970"/>
      <c r="D2" s="970"/>
      <c r="E2" s="970"/>
      <c r="F2" s="970"/>
      <c r="G2" s="970"/>
      <c r="H2" s="970"/>
      <c r="I2" s="970"/>
      <c r="J2" s="970"/>
      <c r="K2" s="515"/>
      <c r="L2" s="515"/>
      <c r="M2" s="515"/>
      <c r="N2" s="515"/>
      <c r="O2" s="515"/>
      <c r="P2" s="515"/>
    </row>
    <row r="3" spans="1:16" ht="18" customHeight="1" x14ac:dyDescent="0.25">
      <c r="A3" s="970" t="s">
        <v>22</v>
      </c>
      <c r="B3" s="970"/>
      <c r="C3" s="970"/>
      <c r="D3" s="970"/>
      <c r="E3" s="970"/>
      <c r="F3" s="970"/>
      <c r="G3" s="970"/>
      <c r="H3" s="970"/>
      <c r="I3" s="970"/>
      <c r="J3" s="970"/>
      <c r="K3" s="516"/>
      <c r="L3" s="516"/>
      <c r="M3" s="516"/>
      <c r="N3" s="516"/>
      <c r="O3" s="516"/>
      <c r="P3" s="516"/>
    </row>
    <row r="4" spans="1:16" ht="18" customHeight="1" x14ac:dyDescent="0.25">
      <c r="A4" s="970" t="str">
        <f>'Stmt BG - Page 1'!A4</f>
        <v>Transmission Revenue Balancing Account Adjustment (TRBAA) Revenues Data to Reflect Changed Rates</v>
      </c>
      <c r="B4" s="970"/>
      <c r="C4" s="970"/>
      <c r="D4" s="970"/>
      <c r="E4" s="970"/>
      <c r="F4" s="970"/>
      <c r="G4" s="970"/>
      <c r="H4" s="970"/>
      <c r="I4" s="970"/>
      <c r="J4" s="970"/>
      <c r="K4" s="516"/>
      <c r="L4" s="516"/>
      <c r="M4" s="516"/>
      <c r="N4" s="516"/>
      <c r="O4" s="516"/>
      <c r="P4" s="516"/>
    </row>
    <row r="5" spans="1:16" ht="18" customHeight="1" x14ac:dyDescent="0.25">
      <c r="A5" s="971" t="str">
        <f>'Stmt BG - Page 1'!A6</f>
        <v>Rate Effective Period - Twelve Months Ending December 31, 2027</v>
      </c>
      <c r="B5" s="971"/>
      <c r="C5" s="971"/>
      <c r="D5" s="971"/>
      <c r="E5" s="971"/>
      <c r="F5" s="971"/>
      <c r="G5" s="971"/>
      <c r="H5" s="971"/>
      <c r="I5" s="971"/>
      <c r="J5" s="971"/>
      <c r="K5" s="516"/>
      <c r="L5" s="516"/>
      <c r="M5" s="516"/>
      <c r="N5" s="516"/>
      <c r="O5" s="516"/>
      <c r="P5" s="516"/>
    </row>
    <row r="6" spans="1:16" ht="16.5" thickBot="1" x14ac:dyDescent="0.3">
      <c r="A6" s="517"/>
      <c r="B6" s="517"/>
      <c r="C6" s="517"/>
      <c r="D6" s="517"/>
      <c r="E6" s="517"/>
      <c r="F6" s="517"/>
      <c r="G6" s="517"/>
      <c r="H6" s="517"/>
      <c r="I6" s="517"/>
      <c r="J6" s="517"/>
      <c r="K6" s="41"/>
      <c r="L6" s="41"/>
      <c r="M6" s="41"/>
      <c r="N6" s="41"/>
      <c r="O6" s="41"/>
      <c r="P6" s="41"/>
    </row>
    <row r="7" spans="1:16" x14ac:dyDescent="0.25">
      <c r="A7" s="721" t="s">
        <v>7</v>
      </c>
      <c r="B7" s="540"/>
      <c r="C7" s="586" t="s">
        <v>3</v>
      </c>
      <c r="D7" s="455" t="s">
        <v>4</v>
      </c>
      <c r="E7" s="682" t="s">
        <v>107</v>
      </c>
      <c r="F7" s="455" t="s">
        <v>108</v>
      </c>
      <c r="G7" s="455" t="s">
        <v>109</v>
      </c>
      <c r="H7" s="682" t="s">
        <v>110</v>
      </c>
      <c r="I7" s="552" t="s">
        <v>111</v>
      </c>
      <c r="J7" s="724" t="s">
        <v>7</v>
      </c>
    </row>
    <row r="8" spans="1:16" ht="16.5" thickBot="1" x14ac:dyDescent="0.3">
      <c r="A8" s="722" t="s">
        <v>10</v>
      </c>
      <c r="B8" s="153" t="s">
        <v>82</v>
      </c>
      <c r="C8" s="823">
        <v>46388</v>
      </c>
      <c r="D8" s="823">
        <v>46419</v>
      </c>
      <c r="E8" s="823">
        <v>46447</v>
      </c>
      <c r="F8" s="823">
        <v>46478</v>
      </c>
      <c r="G8" s="823">
        <v>46508</v>
      </c>
      <c r="H8" s="823">
        <v>46539</v>
      </c>
      <c r="I8" s="683"/>
      <c r="J8" s="723" t="s">
        <v>10</v>
      </c>
    </row>
    <row r="9" spans="1:16" x14ac:dyDescent="0.25">
      <c r="A9" s="262"/>
      <c r="B9" s="10"/>
      <c r="C9" s="10"/>
      <c r="D9" s="10"/>
      <c r="E9" s="10"/>
      <c r="F9" s="10"/>
      <c r="G9" s="10"/>
      <c r="H9" s="10"/>
      <c r="I9" s="17"/>
      <c r="J9" s="263"/>
    </row>
    <row r="10" spans="1:16" ht="18.75" x14ac:dyDescent="0.25">
      <c r="A10" s="262">
        <v>1</v>
      </c>
      <c r="B10" s="17" t="s">
        <v>112</v>
      </c>
      <c r="C10" s="19">
        <f>'Stmt BG - Page 3'!C33</f>
        <v>-1891340.9578366529</v>
      </c>
      <c r="D10" s="19">
        <f>'Stmt BG - Page 3'!D33</f>
        <v>-1601265.1835722064</v>
      </c>
      <c r="E10" s="19">
        <f>'Stmt BG - Page 3'!E33</f>
        <v>-1392796.7673327543</v>
      </c>
      <c r="F10" s="19">
        <f>'Stmt BG - Page 3'!F33</f>
        <v>-1141228.0067648019</v>
      </c>
      <c r="G10" s="19">
        <f>'Stmt BG - Page 3'!G33</f>
        <v>-1071829.0516729793</v>
      </c>
      <c r="H10" s="19">
        <f>'Stmt BG - Page 3'!H33</f>
        <v>-1164617.5254988032</v>
      </c>
      <c r="I10" s="17"/>
      <c r="J10" s="263">
        <v>1</v>
      </c>
    </row>
    <row r="11" spans="1:16" x14ac:dyDescent="0.25">
      <c r="A11" s="262">
        <f>A10+1</f>
        <v>2</v>
      </c>
      <c r="B11" s="11"/>
      <c r="C11" s="392"/>
      <c r="D11" s="392"/>
      <c r="E11" s="392"/>
      <c r="F11" s="392"/>
      <c r="G11" s="392"/>
      <c r="H11" s="392"/>
      <c r="I11" s="17"/>
      <c r="J11" s="263">
        <f>J10+1</f>
        <v>2</v>
      </c>
    </row>
    <row r="12" spans="1:16" ht="18.75" x14ac:dyDescent="0.25">
      <c r="A12" s="262">
        <f t="shared" ref="A12:A22" si="0">A11+1</f>
        <v>3</v>
      </c>
      <c r="B12" s="17" t="s">
        <v>113</v>
      </c>
      <c r="C12" s="31">
        <f>'Stmt BG - Page 3'!C35</f>
        <v>-468348.93043319823</v>
      </c>
      <c r="D12" s="31">
        <f>'Stmt BG - Page 3'!D35</f>
        <v>-449386.73945507099</v>
      </c>
      <c r="E12" s="31">
        <f>'Stmt BG - Page 3'!E35</f>
        <v>-437364.18184191606</v>
      </c>
      <c r="F12" s="31">
        <f>'Stmt BG - Page 3'!F35</f>
        <v>-428237.99533827289</v>
      </c>
      <c r="G12" s="31">
        <f>'Stmt BG - Page 3'!G35</f>
        <v>-427900.58342062723</v>
      </c>
      <c r="H12" s="31">
        <f>'Stmt BG - Page 3'!H35</f>
        <v>-446001.42276038846</v>
      </c>
      <c r="I12" s="17"/>
      <c r="J12" s="263">
        <f t="shared" ref="J12:J22" si="1">J11+1</f>
        <v>3</v>
      </c>
    </row>
    <row r="13" spans="1:16" x14ac:dyDescent="0.25">
      <c r="A13" s="262">
        <f t="shared" si="0"/>
        <v>4</v>
      </c>
      <c r="B13" s="385"/>
      <c r="C13" s="393"/>
      <c r="D13" s="393"/>
      <c r="E13" s="393"/>
      <c r="F13" s="393"/>
      <c r="G13" s="393"/>
      <c r="H13" s="393"/>
      <c r="I13" s="17"/>
      <c r="J13" s="263">
        <f t="shared" si="1"/>
        <v>4</v>
      </c>
    </row>
    <row r="14" spans="1:16" ht="18.75" x14ac:dyDescent="0.25">
      <c r="A14" s="262">
        <f t="shared" si="0"/>
        <v>5</v>
      </c>
      <c r="B14" s="17" t="s">
        <v>114</v>
      </c>
      <c r="C14" s="31">
        <f>'Stmt BG - Page 3'!C37</f>
        <v>-2488543.663749801</v>
      </c>
      <c r="D14" s="31">
        <f>'Stmt BG - Page 3'!D37</f>
        <v>-2371346.9891778701</v>
      </c>
      <c r="E14" s="31">
        <f>'Stmt BG - Page 3'!E37</f>
        <v>-2389841.9794670343</v>
      </c>
      <c r="F14" s="31">
        <f>'Stmt BG - Page 3'!F37</f>
        <v>-2395079.2039962267</v>
      </c>
      <c r="G14" s="31">
        <f>'Stmt BG - Page 3'!G37</f>
        <v>-2438102.7176513625</v>
      </c>
      <c r="H14" s="31">
        <f>'Stmt BG - Page 3'!H37</f>
        <v>-2553069.306593027</v>
      </c>
      <c r="I14" s="17"/>
      <c r="J14" s="263">
        <f t="shared" si="1"/>
        <v>5</v>
      </c>
    </row>
    <row r="15" spans="1:16" x14ac:dyDescent="0.25">
      <c r="A15" s="262">
        <f t="shared" si="0"/>
        <v>6</v>
      </c>
      <c r="B15" s="17"/>
      <c r="C15" s="31"/>
      <c r="D15" s="31"/>
      <c r="E15" s="31"/>
      <c r="F15" s="31"/>
      <c r="G15" s="31"/>
      <c r="H15" s="31"/>
      <c r="I15" s="17"/>
      <c r="J15" s="263">
        <f t="shared" si="1"/>
        <v>6</v>
      </c>
    </row>
    <row r="16" spans="1:16" ht="18.75" x14ac:dyDescent="0.25">
      <c r="A16" s="262">
        <f t="shared" si="0"/>
        <v>7</v>
      </c>
      <c r="B16" s="56" t="s">
        <v>115</v>
      </c>
      <c r="C16" s="31">
        <f>'Stmt BG - Page 3'!C39</f>
        <v>-42548.526281911953</v>
      </c>
      <c r="D16" s="31">
        <f>'Stmt BG - Page 3'!D39</f>
        <v>-37332.399847893692</v>
      </c>
      <c r="E16" s="31">
        <f>'Stmt BG - Page 3'!E39</f>
        <v>-34881.259216286424</v>
      </c>
      <c r="F16" s="31">
        <f>'Stmt BG - Page 3'!F39</f>
        <v>-40098.731297102946</v>
      </c>
      <c r="G16" s="31">
        <f>'Stmt BG - Page 3'!G39</f>
        <v>-57003.041606550578</v>
      </c>
      <c r="H16" s="31">
        <f>'Stmt BG - Page 3'!H39</f>
        <v>-63220.291400677546</v>
      </c>
      <c r="I16" s="17"/>
      <c r="J16" s="263">
        <f t="shared" si="1"/>
        <v>7</v>
      </c>
    </row>
    <row r="17" spans="1:18" x14ac:dyDescent="0.25">
      <c r="A17" s="262">
        <f t="shared" si="0"/>
        <v>8</v>
      </c>
      <c r="B17" s="17"/>
      <c r="C17" s="31"/>
      <c r="D17" s="31"/>
      <c r="E17" s="31"/>
      <c r="F17" s="31"/>
      <c r="G17" s="31"/>
      <c r="H17" s="31"/>
      <c r="I17" s="17"/>
      <c r="J17" s="263">
        <f t="shared" si="1"/>
        <v>8</v>
      </c>
    </row>
    <row r="18" spans="1:18" ht="18.75" x14ac:dyDescent="0.25">
      <c r="A18" s="262">
        <f t="shared" si="0"/>
        <v>9</v>
      </c>
      <c r="B18" s="56" t="s">
        <v>116</v>
      </c>
      <c r="C18" s="31">
        <f>'Stmt BG - Page 3'!C41</f>
        <v>-41591.744385258942</v>
      </c>
      <c r="D18" s="31">
        <f>'Stmt BG - Page 3'!D41</f>
        <v>-39637.25239850358</v>
      </c>
      <c r="E18" s="31">
        <f>'Stmt BG - Page 3'!E41</f>
        <v>-37113.837385492378</v>
      </c>
      <c r="F18" s="31">
        <f>'Stmt BG - Page 3'!F41</f>
        <v>-38471.489920805019</v>
      </c>
      <c r="G18" s="31">
        <f>'Stmt BG - Page 3'!G41</f>
        <v>-45323.625195018307</v>
      </c>
      <c r="H18" s="31">
        <f>'Stmt BG - Page 3'!H41</f>
        <v>-46820.670755203289</v>
      </c>
      <c r="I18" s="17"/>
      <c r="J18" s="263">
        <f t="shared" si="1"/>
        <v>9</v>
      </c>
    </row>
    <row r="19" spans="1:18" x14ac:dyDescent="0.25">
      <c r="A19" s="262">
        <f t="shared" si="0"/>
        <v>10</v>
      </c>
      <c r="B19" s="17"/>
      <c r="C19" s="31"/>
      <c r="D19" s="31"/>
      <c r="E19" s="31"/>
      <c r="F19" s="31"/>
      <c r="G19" s="31"/>
      <c r="H19" s="31"/>
      <c r="I19" s="17"/>
      <c r="J19" s="263">
        <f t="shared" si="1"/>
        <v>10</v>
      </c>
    </row>
    <row r="20" spans="1:18" ht="18.75" x14ac:dyDescent="0.25">
      <c r="A20" s="262">
        <f t="shared" si="0"/>
        <v>11</v>
      </c>
      <c r="B20" s="17" t="s">
        <v>117</v>
      </c>
      <c r="C20" s="38">
        <f>'Stmt BG - Page 3'!C43</f>
        <v>-21940.031409561278</v>
      </c>
      <c r="D20" s="38">
        <f>'Stmt BG - Page 3'!D43</f>
        <v>-21492.049687758019</v>
      </c>
      <c r="E20" s="38">
        <f>'Stmt BG - Page 3'!E43</f>
        <v>-20965.103150003873</v>
      </c>
      <c r="F20" s="38">
        <f>'Stmt BG - Page 3'!F43</f>
        <v>-20391.552206716042</v>
      </c>
      <c r="G20" s="38">
        <f>'Stmt BG - Page 3'!G43</f>
        <v>-20385.872702445246</v>
      </c>
      <c r="H20" s="38">
        <f>'Stmt BG - Page 3'!H43</f>
        <v>-20517.313202633908</v>
      </c>
      <c r="I20" s="17"/>
      <c r="J20" s="263">
        <f t="shared" si="1"/>
        <v>11</v>
      </c>
    </row>
    <row r="21" spans="1:18" x14ac:dyDescent="0.25">
      <c r="A21" s="262">
        <f t="shared" si="0"/>
        <v>12</v>
      </c>
      <c r="B21" s="17"/>
      <c r="C21" s="31"/>
      <c r="D21" s="31"/>
      <c r="E21" s="31"/>
      <c r="F21" s="31"/>
      <c r="G21" s="31"/>
      <c r="H21" s="31"/>
      <c r="I21" s="7"/>
      <c r="J21" s="263">
        <f t="shared" si="1"/>
        <v>12</v>
      </c>
    </row>
    <row r="22" spans="1:18" x14ac:dyDescent="0.25">
      <c r="A22" s="262">
        <f t="shared" si="0"/>
        <v>13</v>
      </c>
      <c r="B22" s="11" t="s">
        <v>118</v>
      </c>
      <c r="C22" s="513">
        <f t="shared" ref="C22:H22" si="2">SUM(C10:C20)</f>
        <v>-4954313.8540963847</v>
      </c>
      <c r="D22" s="513">
        <f t="shared" si="2"/>
        <v>-4520460.6141393036</v>
      </c>
      <c r="E22" s="513">
        <f t="shared" si="2"/>
        <v>-4312963.1283934871</v>
      </c>
      <c r="F22" s="513">
        <f t="shared" si="2"/>
        <v>-4063506.9795239256</v>
      </c>
      <c r="G22" s="513">
        <f t="shared" si="2"/>
        <v>-4060544.8922489835</v>
      </c>
      <c r="H22" s="513">
        <f t="shared" si="2"/>
        <v>-4294246.5302107325</v>
      </c>
      <c r="I22" s="12"/>
      <c r="J22" s="263">
        <f t="shared" si="1"/>
        <v>13</v>
      </c>
    </row>
    <row r="23" spans="1:18" ht="16.5" thickBot="1" x14ac:dyDescent="0.3">
      <c r="A23" s="300"/>
      <c r="B23" s="555"/>
      <c r="C23" s="556"/>
      <c r="D23" s="684"/>
      <c r="E23" s="557"/>
      <c r="F23" s="684"/>
      <c r="G23" s="557"/>
      <c r="H23" s="684"/>
      <c r="I23" s="558"/>
      <c r="J23" s="406"/>
      <c r="R23" s="143"/>
    </row>
    <row r="24" spans="1:18" ht="16.5" thickBot="1" x14ac:dyDescent="0.3">
      <c r="A24" s="37"/>
      <c r="B24" s="395"/>
      <c r="C24" s="395"/>
      <c r="D24" s="395"/>
      <c r="E24" s="395"/>
      <c r="F24" s="395"/>
      <c r="G24" s="395"/>
      <c r="H24" s="395"/>
      <c r="I24" s="395"/>
      <c r="J24" s="395"/>
      <c r="K24" s="395"/>
      <c r="L24" s="395"/>
      <c r="M24" s="395"/>
      <c r="N24" s="395"/>
      <c r="O24" s="395"/>
    </row>
    <row r="25" spans="1:18" x14ac:dyDescent="0.25">
      <c r="A25" s="754" t="s">
        <v>7</v>
      </c>
      <c r="B25" s="455"/>
      <c r="C25" s="552" t="str">
        <f t="shared" ref="C25:I25" si="3">C7</f>
        <v>(A)</v>
      </c>
      <c r="D25" s="552" t="str">
        <f t="shared" si="3"/>
        <v>(B)</v>
      </c>
      <c r="E25" s="552" t="str">
        <f t="shared" si="3"/>
        <v>(C)</v>
      </c>
      <c r="F25" s="552" t="str">
        <f t="shared" si="3"/>
        <v>(D)</v>
      </c>
      <c r="G25" s="552" t="str">
        <f t="shared" si="3"/>
        <v>(E)</v>
      </c>
      <c r="H25" s="552" t="str">
        <f t="shared" si="3"/>
        <v>(F)</v>
      </c>
      <c r="I25" s="552" t="str">
        <f t="shared" si="3"/>
        <v>(G)</v>
      </c>
      <c r="J25" s="755" t="s">
        <v>7</v>
      </c>
      <c r="K25" s="395"/>
      <c r="L25" s="395"/>
      <c r="M25" s="395"/>
      <c r="N25" s="395"/>
      <c r="O25" s="395"/>
    </row>
    <row r="26" spans="1:18" ht="16.5" thickBot="1" x14ac:dyDescent="0.3">
      <c r="A26" s="756" t="s">
        <v>10</v>
      </c>
      <c r="B26" s="153" t="s">
        <v>82</v>
      </c>
      <c r="C26" s="685">
        <v>46569</v>
      </c>
      <c r="D26" s="685">
        <v>46600</v>
      </c>
      <c r="E26" s="685">
        <v>46631</v>
      </c>
      <c r="F26" s="685">
        <v>46661</v>
      </c>
      <c r="G26" s="685">
        <v>46692</v>
      </c>
      <c r="H26" s="685">
        <v>46722</v>
      </c>
      <c r="I26" s="577"/>
      <c r="J26" s="566" t="s">
        <v>10</v>
      </c>
      <c r="K26" s="395"/>
      <c r="L26" s="395"/>
      <c r="M26" s="395"/>
      <c r="N26" s="395"/>
      <c r="O26" s="395"/>
    </row>
    <row r="27" spans="1:18" x14ac:dyDescent="0.25">
      <c r="A27" s="262"/>
      <c r="B27" s="10"/>
      <c r="C27" s="10"/>
      <c r="D27" s="10"/>
      <c r="E27" s="10"/>
      <c r="F27" s="10"/>
      <c r="G27" s="10"/>
      <c r="H27" s="10"/>
      <c r="I27" s="10"/>
      <c r="J27" s="263"/>
      <c r="K27" s="395"/>
      <c r="L27" s="395"/>
      <c r="M27" s="395"/>
      <c r="N27" s="395"/>
      <c r="O27" s="395"/>
    </row>
    <row r="28" spans="1:18" ht="18.75" x14ac:dyDescent="0.25">
      <c r="A28" s="262">
        <f>A22+1</f>
        <v>14</v>
      </c>
      <c r="B28" s="17" t="s">
        <v>112</v>
      </c>
      <c r="C28" s="19">
        <f>'Stmt BG - Page 4'!C33</f>
        <v>-1454330.9541997272</v>
      </c>
      <c r="D28" s="19">
        <f>'Stmt BG - Page 4'!D33</f>
        <v>-1880419.4844121221</v>
      </c>
      <c r="E28" s="19">
        <f>'Stmt BG - Page 4'!E33</f>
        <v>-2266120.8949366463</v>
      </c>
      <c r="F28" s="19">
        <f>'Stmt BG - Page 4'!F33</f>
        <v>-1595508.7242599698</v>
      </c>
      <c r="G28" s="19">
        <f>'Stmt BG - Page 4'!G33</f>
        <v>-1422679.3437542936</v>
      </c>
      <c r="H28" s="19">
        <f>'Stmt BG - Page 4'!H33</f>
        <v>-1648851.6379515426</v>
      </c>
      <c r="I28" s="19">
        <f>SUM(C10:H10,C28:H28)</f>
        <v>-18530988.532192502</v>
      </c>
      <c r="J28" s="263">
        <f>J22+1</f>
        <v>14</v>
      </c>
      <c r="K28" s="395"/>
      <c r="L28" s="395"/>
      <c r="M28" s="395"/>
      <c r="N28" s="395"/>
      <c r="O28" s="395"/>
    </row>
    <row r="29" spans="1:18" x14ac:dyDescent="0.25">
      <c r="A29" s="262">
        <f>A28+1</f>
        <v>15</v>
      </c>
      <c r="B29" s="11"/>
      <c r="C29" s="392"/>
      <c r="D29" s="392"/>
      <c r="E29" s="392"/>
      <c r="F29" s="392"/>
      <c r="G29" s="392"/>
      <c r="H29" s="392"/>
      <c r="I29" s="392"/>
      <c r="J29" s="263">
        <f>J28+1</f>
        <v>15</v>
      </c>
      <c r="K29" s="395"/>
      <c r="L29" s="395"/>
      <c r="M29" s="395"/>
      <c r="N29" s="395"/>
      <c r="O29" s="395"/>
    </row>
    <row r="30" spans="1:18" ht="18.75" x14ac:dyDescent="0.25">
      <c r="A30" s="262">
        <f t="shared" ref="A30:A40" si="4">A29+1</f>
        <v>16</v>
      </c>
      <c r="B30" s="17" t="s">
        <v>113</v>
      </c>
      <c r="C30" s="31">
        <f>'Stmt BG - Page 4'!C35</f>
        <v>-493491.19920656813</v>
      </c>
      <c r="D30" s="31">
        <f>'Stmt BG - Page 4'!D35</f>
        <v>-514570.38668267609</v>
      </c>
      <c r="E30" s="31">
        <f>'Stmt BG - Page 4'!E35</f>
        <v>-543444.37664655934</v>
      </c>
      <c r="F30" s="31">
        <f>'Stmt BG - Page 4'!F35</f>
        <v>-478810.48343641771</v>
      </c>
      <c r="G30" s="31">
        <f>'Stmt BG - Page 4'!G35</f>
        <v>-444962.55174916412</v>
      </c>
      <c r="H30" s="31">
        <f>'Stmt BG - Page 4'!H35</f>
        <v>-444575.23249683325</v>
      </c>
      <c r="I30" s="19">
        <f>SUM(C12:H12,C30:H30)</f>
        <v>-5577094.0834676931</v>
      </c>
      <c r="J30" s="263">
        <f t="shared" ref="J30:J40" si="5">J29+1</f>
        <v>16</v>
      </c>
      <c r="K30" s="395"/>
      <c r="L30" s="395"/>
      <c r="M30" s="395"/>
      <c r="N30" s="395"/>
      <c r="O30" s="395"/>
    </row>
    <row r="31" spans="1:18" x14ac:dyDescent="0.25">
      <c r="A31" s="262">
        <f t="shared" si="4"/>
        <v>17</v>
      </c>
      <c r="B31" s="385"/>
      <c r="C31" s="393"/>
      <c r="D31" s="393"/>
      <c r="E31" s="393"/>
      <c r="F31" s="393"/>
      <c r="G31" s="393"/>
      <c r="H31" s="393"/>
      <c r="I31" s="31"/>
      <c r="J31" s="263">
        <f t="shared" si="5"/>
        <v>17</v>
      </c>
      <c r="K31" s="395"/>
      <c r="L31" s="395"/>
      <c r="M31" s="395"/>
      <c r="N31" s="395"/>
      <c r="O31" s="395"/>
    </row>
    <row r="32" spans="1:18" ht="18.75" x14ac:dyDescent="0.25">
      <c r="A32" s="262">
        <f t="shared" si="4"/>
        <v>18</v>
      </c>
      <c r="B32" s="17" t="s">
        <v>114</v>
      </c>
      <c r="C32" s="31">
        <f>'Stmt BG - Page 4'!C37</f>
        <v>-2793109.0897409106</v>
      </c>
      <c r="D32" s="31">
        <f>'Stmt BG - Page 4'!D37</f>
        <v>-2896896.7624249705</v>
      </c>
      <c r="E32" s="31">
        <f>'Stmt BG - Page 4'!E37</f>
        <v>-3068169.8921034159</v>
      </c>
      <c r="F32" s="31">
        <f>'Stmt BG - Page 4'!F37</f>
        <v>-2807096.7367122192</v>
      </c>
      <c r="G32" s="31">
        <f>'Stmt BG - Page 4'!G37</f>
        <v>-2604799.0087526543</v>
      </c>
      <c r="H32" s="31">
        <f>'Stmt BG - Page 4'!H37</f>
        <v>-2539631.7940713535</v>
      </c>
      <c r="I32" s="19">
        <f>SUM(C14:H14,C32:H32)</f>
        <v>-31345687.144440848</v>
      </c>
      <c r="J32" s="263">
        <f t="shared" si="5"/>
        <v>18</v>
      </c>
      <c r="K32" s="395"/>
      <c r="L32" s="395"/>
      <c r="M32" s="395"/>
      <c r="N32" s="395"/>
      <c r="O32" s="395"/>
    </row>
    <row r="33" spans="1:15" x14ac:dyDescent="0.25">
      <c r="A33" s="262">
        <f t="shared" si="4"/>
        <v>19</v>
      </c>
      <c r="B33" s="17"/>
      <c r="C33" s="31"/>
      <c r="D33" s="31"/>
      <c r="E33" s="31"/>
      <c r="F33" s="31"/>
      <c r="G33" s="31"/>
      <c r="H33" s="31"/>
      <c r="I33" s="31"/>
      <c r="J33" s="263">
        <f t="shared" si="5"/>
        <v>19</v>
      </c>
      <c r="K33" s="395"/>
      <c r="L33" s="395"/>
      <c r="M33" s="395"/>
      <c r="N33" s="395"/>
      <c r="O33" s="395"/>
    </row>
    <row r="34" spans="1:15" ht="18.75" x14ac:dyDescent="0.25">
      <c r="A34" s="262">
        <f t="shared" si="4"/>
        <v>20</v>
      </c>
      <c r="B34" s="56" t="s">
        <v>115</v>
      </c>
      <c r="C34" s="31">
        <f>'Stmt BG - Page 4'!C39</f>
        <v>-71824.558408469151</v>
      </c>
      <c r="D34" s="31">
        <f>'Stmt BG - Page 4'!D39</f>
        <v>-77430.608093241623</v>
      </c>
      <c r="E34" s="31">
        <f>'Stmt BG - Page 4'!E39</f>
        <v>-77390.341803023504</v>
      </c>
      <c r="F34" s="31">
        <f>'Stmt BG - Page 4'!F39</f>
        <v>-69438.46627525521</v>
      </c>
      <c r="G34" s="31">
        <f>'Stmt BG - Page 4'!G39</f>
        <v>-59463.344431759229</v>
      </c>
      <c r="H34" s="31">
        <f>'Stmt BG - Page 4'!H39</f>
        <v>-53703.572576039296</v>
      </c>
      <c r="I34" s="19">
        <f>SUM(C16:H16,C34:H34)</f>
        <v>-684335.14123821119</v>
      </c>
      <c r="J34" s="263">
        <f t="shared" si="5"/>
        <v>20</v>
      </c>
      <c r="K34" s="395"/>
      <c r="L34" s="395"/>
      <c r="M34" s="395"/>
      <c r="N34" s="395"/>
      <c r="O34" s="395"/>
    </row>
    <row r="35" spans="1:15" x14ac:dyDescent="0.25">
      <c r="A35" s="262">
        <f t="shared" si="4"/>
        <v>21</v>
      </c>
      <c r="B35" s="17"/>
      <c r="C35" s="31"/>
      <c r="D35" s="31"/>
      <c r="E35" s="31"/>
      <c r="F35" s="31"/>
      <c r="G35" s="31"/>
      <c r="H35" s="31"/>
      <c r="I35" s="31"/>
      <c r="J35" s="263">
        <f t="shared" si="5"/>
        <v>21</v>
      </c>
      <c r="K35" s="395"/>
      <c r="L35" s="395"/>
      <c r="M35" s="395"/>
      <c r="N35" s="395"/>
      <c r="O35" s="395"/>
    </row>
    <row r="36" spans="1:15" ht="18.75" x14ac:dyDescent="0.25">
      <c r="A36" s="262">
        <f t="shared" si="4"/>
        <v>22</v>
      </c>
      <c r="B36" s="56" t="s">
        <v>116</v>
      </c>
      <c r="C36" s="31">
        <f>'Stmt BG - Page 4'!C41</f>
        <v>-51105.272999773595</v>
      </c>
      <c r="D36" s="31">
        <f>'Stmt BG - Page 4'!D41</f>
        <v>-50780.388537331179</v>
      </c>
      <c r="E36" s="31">
        <f>'Stmt BG - Page 4'!E41</f>
        <v>-50702.502120752288</v>
      </c>
      <c r="F36" s="31">
        <f>'Stmt BG - Page 4'!F41</f>
        <v>-48363.872038074231</v>
      </c>
      <c r="G36" s="31">
        <f>'Stmt BG - Page 4'!G41</f>
        <v>-44494.037121561676</v>
      </c>
      <c r="H36" s="31">
        <f>'Stmt BG - Page 4'!H41</f>
        <v>-40189.613555189972</v>
      </c>
      <c r="I36" s="19">
        <f>SUM(C18:H18,C36:H36)</f>
        <v>-534594.30641296448</v>
      </c>
      <c r="J36" s="263">
        <f t="shared" si="5"/>
        <v>22</v>
      </c>
      <c r="K36" s="395"/>
      <c r="L36" s="395"/>
      <c r="M36" s="395"/>
      <c r="N36" s="395"/>
      <c r="O36" s="395"/>
    </row>
    <row r="37" spans="1:15" x14ac:dyDescent="0.25">
      <c r="A37" s="262">
        <f t="shared" si="4"/>
        <v>23</v>
      </c>
      <c r="B37" s="17"/>
      <c r="C37" s="31"/>
      <c r="D37" s="31"/>
      <c r="E37" s="31"/>
      <c r="F37" s="31"/>
      <c r="G37" s="31"/>
      <c r="H37" s="31"/>
      <c r="I37" s="31"/>
      <c r="J37" s="263">
        <f t="shared" si="5"/>
        <v>23</v>
      </c>
      <c r="K37" s="395"/>
      <c r="L37" s="395"/>
      <c r="M37" s="395"/>
      <c r="N37" s="395"/>
      <c r="O37" s="395"/>
    </row>
    <row r="38" spans="1:15" ht="18.75" x14ac:dyDescent="0.25">
      <c r="A38" s="262">
        <f t="shared" si="4"/>
        <v>24</v>
      </c>
      <c r="B38" s="17" t="s">
        <v>117</v>
      </c>
      <c r="C38" s="38">
        <f>'Stmt BG - Page 4'!C43</f>
        <v>-20248.150599443881</v>
      </c>
      <c r="D38" s="38">
        <f>'Stmt BG - Page 4'!D43</f>
        <v>-21003.500601883676</v>
      </c>
      <c r="E38" s="38">
        <f>'Stmt BG - Page 4'!E43</f>
        <v>-20161.592051571293</v>
      </c>
      <c r="F38" s="38">
        <f>'Stmt BG - Page 4'!F43</f>
        <v>-21072.370102373272</v>
      </c>
      <c r="G38" s="38">
        <f>'Stmt BG - Page 4'!G43</f>
        <v>-22118.640639849764</v>
      </c>
      <c r="H38" s="38">
        <f>'Stmt BG - Page 4'!H43</f>
        <v>-22176.433189332864</v>
      </c>
      <c r="I38" s="14">
        <f>SUM(C20:H20,C38:H38)</f>
        <v>-252472.60954357311</v>
      </c>
      <c r="J38" s="263">
        <f t="shared" si="5"/>
        <v>24</v>
      </c>
      <c r="K38" s="395"/>
      <c r="L38" s="395"/>
      <c r="M38" s="395"/>
      <c r="N38" s="395"/>
      <c r="O38" s="395"/>
    </row>
    <row r="39" spans="1:15" x14ac:dyDescent="0.25">
      <c r="A39" s="262">
        <f t="shared" si="4"/>
        <v>25</v>
      </c>
      <c r="B39" s="17"/>
      <c r="C39" s="31"/>
      <c r="D39" s="31"/>
      <c r="E39" s="31"/>
      <c r="F39" s="31"/>
      <c r="G39" s="31"/>
      <c r="H39" s="31"/>
      <c r="I39" s="31"/>
      <c r="J39" s="263">
        <f t="shared" si="5"/>
        <v>25</v>
      </c>
      <c r="K39" s="395"/>
      <c r="L39" s="395"/>
      <c r="M39" s="395"/>
      <c r="N39" s="395"/>
      <c r="O39" s="395"/>
    </row>
    <row r="40" spans="1:15" x14ac:dyDescent="0.25">
      <c r="A40" s="262">
        <f t="shared" si="4"/>
        <v>26</v>
      </c>
      <c r="B40" s="11" t="s">
        <v>118</v>
      </c>
      <c r="C40" s="513">
        <f t="shared" ref="C40:I40" si="6">SUM(C28:C38)</f>
        <v>-4884109.2251548925</v>
      </c>
      <c r="D40" s="513">
        <f t="shared" si="6"/>
        <v>-5441101.1307522254</v>
      </c>
      <c r="E40" s="513">
        <f t="shared" si="6"/>
        <v>-6025989.5996619686</v>
      </c>
      <c r="F40" s="513">
        <f t="shared" si="6"/>
        <v>-5020290.6528243087</v>
      </c>
      <c r="G40" s="513">
        <f t="shared" si="6"/>
        <v>-4598516.9264492821</v>
      </c>
      <c r="H40" s="513">
        <f t="shared" si="6"/>
        <v>-4749128.2838402912</v>
      </c>
      <c r="I40" s="513">
        <f t="shared" si="6"/>
        <v>-56925171.81729579</v>
      </c>
      <c r="J40" s="263">
        <f t="shared" si="5"/>
        <v>26</v>
      </c>
      <c r="K40" s="395"/>
      <c r="L40" s="395"/>
      <c r="M40" s="395"/>
      <c r="N40" s="395"/>
      <c r="O40" s="395"/>
    </row>
    <row r="41" spans="1:15" ht="16.5" thickBot="1" x14ac:dyDescent="0.3">
      <c r="A41" s="300"/>
      <c r="B41" s="555"/>
      <c r="C41" s="684"/>
      <c r="D41" s="557"/>
      <c r="E41" s="556"/>
      <c r="F41" s="684"/>
      <c r="G41" s="557"/>
      <c r="H41" s="684"/>
      <c r="I41" s="260"/>
      <c r="J41" s="406"/>
      <c r="K41" s="395"/>
      <c r="L41" s="395"/>
      <c r="M41" s="395"/>
      <c r="N41" s="395"/>
      <c r="O41" s="395"/>
    </row>
    <row r="42" spans="1:15" x14ac:dyDescent="0.25">
      <c r="A42" s="50"/>
      <c r="B42" s="395"/>
      <c r="C42" s="395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6"/>
    </row>
    <row r="43" spans="1:15" ht="18.75" x14ac:dyDescent="0.25">
      <c r="A43" s="83" t="s">
        <v>119</v>
      </c>
      <c r="B43" s="22" t="s">
        <v>120</v>
      </c>
      <c r="C43" s="242"/>
      <c r="D43" s="242"/>
      <c r="F43" s="519">
        <v>4</v>
      </c>
      <c r="G43" s="22" t="s">
        <v>121</v>
      </c>
    </row>
    <row r="44" spans="1:15" ht="18.75" x14ac:dyDescent="0.25">
      <c r="A44" s="83">
        <v>2</v>
      </c>
      <c r="B44" s="22" t="s">
        <v>122</v>
      </c>
      <c r="C44" s="822"/>
      <c r="D44" s="822"/>
      <c r="F44" s="519">
        <v>5</v>
      </c>
      <c r="G44" s="22" t="s">
        <v>123</v>
      </c>
    </row>
    <row r="45" spans="1:15" ht="18.75" x14ac:dyDescent="0.25">
      <c r="A45" s="83">
        <v>3</v>
      </c>
      <c r="B45" s="22" t="s">
        <v>124</v>
      </c>
      <c r="C45" s="242"/>
      <c r="D45" s="242"/>
      <c r="F45" s="519">
        <v>6</v>
      </c>
      <c r="G45" s="22" t="s">
        <v>125</v>
      </c>
    </row>
    <row r="46" spans="1:15" x14ac:dyDescent="0.25">
      <c r="C46" s="242"/>
      <c r="D46" s="242"/>
    </row>
    <row r="47" spans="1:15" x14ac:dyDescent="0.25">
      <c r="C47" s="242"/>
      <c r="D47" s="242"/>
    </row>
    <row r="48" spans="1:15" x14ac:dyDescent="0.25">
      <c r="C48" s="242"/>
      <c r="D48" s="242"/>
    </row>
    <row r="49" spans="1:1" x14ac:dyDescent="0.25">
      <c r="A49" s="37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  <row r="53" spans="1:1" x14ac:dyDescent="0.25">
      <c r="A53" s="37"/>
    </row>
    <row r="54" spans="1:1" x14ac:dyDescent="0.25">
      <c r="A54" s="37"/>
    </row>
    <row r="55" spans="1:1" x14ac:dyDescent="0.25">
      <c r="A55" s="37"/>
    </row>
    <row r="56" spans="1:1" x14ac:dyDescent="0.25">
      <c r="A56" s="37"/>
    </row>
    <row r="57" spans="1:1" x14ac:dyDescent="0.25">
      <c r="A57" s="37"/>
    </row>
    <row r="58" spans="1:1" x14ac:dyDescent="0.25">
      <c r="A58" s="37"/>
    </row>
    <row r="59" spans="1:1" x14ac:dyDescent="0.25">
      <c r="A59" s="37"/>
    </row>
    <row r="60" spans="1:1" x14ac:dyDescent="0.25">
      <c r="A60" s="37"/>
    </row>
    <row r="61" spans="1:1" x14ac:dyDescent="0.25">
      <c r="A61" s="37"/>
    </row>
    <row r="62" spans="1:1" x14ac:dyDescent="0.25">
      <c r="A62" s="37"/>
    </row>
    <row r="63" spans="1:1" x14ac:dyDescent="0.25">
      <c r="A63" s="37"/>
    </row>
    <row r="64" spans="1:1" x14ac:dyDescent="0.25">
      <c r="A64" s="37"/>
    </row>
    <row r="65" spans="1:1" x14ac:dyDescent="0.25">
      <c r="A65" s="37"/>
    </row>
    <row r="66" spans="1:1" x14ac:dyDescent="0.25">
      <c r="A66" s="37"/>
    </row>
    <row r="67" spans="1:1" x14ac:dyDescent="0.25">
      <c r="A67" s="37"/>
    </row>
    <row r="68" spans="1:1" x14ac:dyDescent="0.25">
      <c r="A68" s="37"/>
    </row>
    <row r="69" spans="1:1" x14ac:dyDescent="0.25">
      <c r="A69" s="37"/>
    </row>
    <row r="70" spans="1:1" x14ac:dyDescent="0.25">
      <c r="A70" s="37"/>
    </row>
    <row r="71" spans="1:1" x14ac:dyDescent="0.25">
      <c r="A71" s="37"/>
    </row>
    <row r="72" spans="1:1" x14ac:dyDescent="0.25">
      <c r="A72" s="37"/>
    </row>
    <row r="73" spans="1:1" x14ac:dyDescent="0.25">
      <c r="A73" s="37"/>
    </row>
    <row r="74" spans="1:1" x14ac:dyDescent="0.25">
      <c r="A74" s="37"/>
    </row>
    <row r="75" spans="1:1" x14ac:dyDescent="0.25">
      <c r="A75" s="37"/>
    </row>
    <row r="76" spans="1:1" x14ac:dyDescent="0.25">
      <c r="A76" s="37"/>
    </row>
    <row r="77" spans="1:1" x14ac:dyDescent="0.25">
      <c r="A77" s="37"/>
    </row>
    <row r="78" spans="1:1" x14ac:dyDescent="0.25">
      <c r="A78" s="37"/>
    </row>
    <row r="79" spans="1:1" x14ac:dyDescent="0.25">
      <c r="A79" s="37"/>
    </row>
    <row r="80" spans="1:1" x14ac:dyDescent="0.25">
      <c r="A80" s="37"/>
    </row>
    <row r="81" spans="1:1" x14ac:dyDescent="0.25">
      <c r="A81" s="37"/>
    </row>
    <row r="82" spans="1:1" x14ac:dyDescent="0.25">
      <c r="A82" s="37"/>
    </row>
    <row r="83" spans="1:1" x14ac:dyDescent="0.25">
      <c r="A83" s="37"/>
    </row>
    <row r="84" spans="1:1" x14ac:dyDescent="0.25">
      <c r="A84" s="37"/>
    </row>
    <row r="85" spans="1:1" x14ac:dyDescent="0.25">
      <c r="A85" s="37"/>
    </row>
    <row r="86" spans="1:1" x14ac:dyDescent="0.25">
      <c r="A86" s="37"/>
    </row>
    <row r="87" spans="1:1" x14ac:dyDescent="0.25">
      <c r="A87" s="37"/>
    </row>
    <row r="88" spans="1:1" x14ac:dyDescent="0.25">
      <c r="A88" s="37"/>
    </row>
    <row r="89" spans="1:1" x14ac:dyDescent="0.25">
      <c r="A89" s="37"/>
    </row>
    <row r="90" spans="1:1" x14ac:dyDescent="0.25">
      <c r="A90" s="37"/>
    </row>
    <row r="91" spans="1:1" x14ac:dyDescent="0.25">
      <c r="A91" s="37"/>
    </row>
    <row r="92" spans="1:1" x14ac:dyDescent="0.25">
      <c r="A92" s="37"/>
    </row>
    <row r="93" spans="1:1" x14ac:dyDescent="0.25">
      <c r="A93" s="37"/>
    </row>
    <row r="94" spans="1:1" x14ac:dyDescent="0.25">
      <c r="A94" s="37"/>
    </row>
    <row r="95" spans="1:1" x14ac:dyDescent="0.25">
      <c r="A95" s="37"/>
    </row>
    <row r="96" spans="1:1" x14ac:dyDescent="0.25">
      <c r="A96" s="37"/>
    </row>
    <row r="97" spans="1:1" x14ac:dyDescent="0.25">
      <c r="A97" s="37"/>
    </row>
    <row r="98" spans="1:1" x14ac:dyDescent="0.25">
      <c r="A98" s="37"/>
    </row>
    <row r="99" spans="1:1" x14ac:dyDescent="0.25">
      <c r="A99" s="37"/>
    </row>
    <row r="100" spans="1:1" x14ac:dyDescent="0.25">
      <c r="A100" s="37"/>
    </row>
    <row r="101" spans="1:1" x14ac:dyDescent="0.25">
      <c r="A101" s="37"/>
    </row>
    <row r="102" spans="1:1" x14ac:dyDescent="0.25">
      <c r="A102" s="37"/>
    </row>
    <row r="103" spans="1:1" x14ac:dyDescent="0.25">
      <c r="A103" s="37"/>
    </row>
    <row r="104" spans="1:1" x14ac:dyDescent="0.25">
      <c r="A104" s="37"/>
    </row>
    <row r="105" spans="1:1" x14ac:dyDescent="0.25">
      <c r="A105" s="37"/>
    </row>
    <row r="106" spans="1:1" x14ac:dyDescent="0.25">
      <c r="A106" s="37"/>
    </row>
    <row r="107" spans="1:1" x14ac:dyDescent="0.25">
      <c r="A107" s="37"/>
    </row>
    <row r="108" spans="1:1" x14ac:dyDescent="0.25">
      <c r="A108" s="37"/>
    </row>
    <row r="109" spans="1:1" x14ac:dyDescent="0.25">
      <c r="A109" s="37"/>
    </row>
    <row r="110" spans="1:1" x14ac:dyDescent="0.25">
      <c r="A110" s="37"/>
    </row>
    <row r="111" spans="1:1" x14ac:dyDescent="0.25">
      <c r="A111" s="37"/>
    </row>
    <row r="112" spans="1:1" x14ac:dyDescent="0.25">
      <c r="A112" s="37"/>
    </row>
    <row r="113" spans="1:1" x14ac:dyDescent="0.25">
      <c r="A113" s="37"/>
    </row>
    <row r="114" spans="1:1" x14ac:dyDescent="0.25">
      <c r="A114" s="37"/>
    </row>
    <row r="115" spans="1:1" x14ac:dyDescent="0.25">
      <c r="A115" s="37"/>
    </row>
    <row r="116" spans="1:1" x14ac:dyDescent="0.25">
      <c r="A116" s="37"/>
    </row>
    <row r="117" spans="1:1" x14ac:dyDescent="0.25">
      <c r="A117" s="37"/>
    </row>
    <row r="118" spans="1:1" x14ac:dyDescent="0.25">
      <c r="A118" s="37"/>
    </row>
    <row r="119" spans="1:1" x14ac:dyDescent="0.25">
      <c r="A119" s="37"/>
    </row>
    <row r="120" spans="1:1" x14ac:dyDescent="0.25">
      <c r="A120" s="37"/>
    </row>
    <row r="121" spans="1:1" x14ac:dyDescent="0.25">
      <c r="A121" s="37"/>
    </row>
    <row r="122" spans="1:1" x14ac:dyDescent="0.25">
      <c r="A122" s="37"/>
    </row>
    <row r="123" spans="1:1" x14ac:dyDescent="0.25">
      <c r="A123" s="37"/>
    </row>
    <row r="124" spans="1:1" x14ac:dyDescent="0.25">
      <c r="A124" s="37"/>
    </row>
    <row r="125" spans="1:1" x14ac:dyDescent="0.25">
      <c r="A125" s="37"/>
    </row>
    <row r="126" spans="1:1" x14ac:dyDescent="0.25">
      <c r="A126" s="37"/>
    </row>
    <row r="127" spans="1:1" x14ac:dyDescent="0.25">
      <c r="A127" s="37"/>
    </row>
    <row r="128" spans="1:1" x14ac:dyDescent="0.25">
      <c r="A128" s="37"/>
    </row>
    <row r="129" spans="1:1" x14ac:dyDescent="0.25">
      <c r="A129" s="37"/>
    </row>
    <row r="130" spans="1:1" x14ac:dyDescent="0.25">
      <c r="A130" s="37"/>
    </row>
    <row r="131" spans="1:1" x14ac:dyDescent="0.25">
      <c r="A131" s="37"/>
    </row>
    <row r="132" spans="1:1" x14ac:dyDescent="0.25">
      <c r="A132" s="37"/>
    </row>
    <row r="133" spans="1:1" x14ac:dyDescent="0.25">
      <c r="A133" s="37"/>
    </row>
    <row r="134" spans="1:1" x14ac:dyDescent="0.25">
      <c r="A134" s="37"/>
    </row>
    <row r="135" spans="1:1" x14ac:dyDescent="0.25">
      <c r="A135" s="37"/>
    </row>
    <row r="136" spans="1:1" x14ac:dyDescent="0.25">
      <c r="A136" s="37"/>
    </row>
    <row r="137" spans="1:1" x14ac:dyDescent="0.25">
      <c r="A137" s="37"/>
    </row>
    <row r="138" spans="1:1" x14ac:dyDescent="0.25">
      <c r="A138" s="37"/>
    </row>
    <row r="139" spans="1:1" x14ac:dyDescent="0.25">
      <c r="A139" s="37"/>
    </row>
    <row r="140" spans="1:1" x14ac:dyDescent="0.25">
      <c r="A140" s="37"/>
    </row>
    <row r="141" spans="1:1" x14ac:dyDescent="0.25">
      <c r="A141" s="37"/>
    </row>
    <row r="142" spans="1:1" x14ac:dyDescent="0.25">
      <c r="A142" s="37"/>
    </row>
    <row r="143" spans="1:1" x14ac:dyDescent="0.25">
      <c r="A143" s="37"/>
    </row>
  </sheetData>
  <mergeCells count="4">
    <mergeCell ref="A2:J2"/>
    <mergeCell ref="A3:J3"/>
    <mergeCell ref="A4:J4"/>
    <mergeCell ref="A5:J5"/>
  </mergeCells>
  <printOptions horizontalCentered="1"/>
  <pageMargins left="0.25" right="0.25" top="0.5" bottom="0.5" header="0.25" footer="0.25"/>
  <pageSetup scale="71" orientation="landscape" r:id="rId1"/>
  <headerFooter alignWithMargins="0">
    <oddFooter>&amp;L&amp;"Times New Roman,Regular"&amp;12&amp;F&amp;C&amp;"Times New Roman,Regular"&amp;12Page 2 of 4&amp;R&amp;"Times New Roman,Regular"&amp;12Stmt BG - Page 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J122"/>
  <sheetViews>
    <sheetView topLeftCell="A17" zoomScale="80" zoomScaleNormal="80" workbookViewId="0">
      <selection activeCell="B29" sqref="B29"/>
    </sheetView>
  </sheetViews>
  <sheetFormatPr defaultColWidth="9.28515625" defaultRowHeight="12.75" x14ac:dyDescent="0.2"/>
  <cols>
    <col min="1" max="1" width="5.5703125" style="242" customWidth="1"/>
    <col min="2" max="2" width="51.28515625" style="242" customWidth="1"/>
    <col min="3" max="8" width="15.5703125" style="242" customWidth="1"/>
    <col min="9" max="9" width="42.42578125" style="242" customWidth="1"/>
    <col min="10" max="10" width="5.5703125" style="242" customWidth="1"/>
    <col min="11" max="16384" width="9.28515625" style="242"/>
  </cols>
  <sheetData>
    <row r="2" spans="1:10" ht="15.75" x14ac:dyDescent="0.2">
      <c r="A2" s="5" t="s">
        <v>74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">
      <c r="A3" s="418" t="s">
        <v>46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6" customHeight="1" x14ac:dyDescent="0.2">
      <c r="A4" s="972" t="str">
        <f>'Stmt BG - Page 1'!A4</f>
        <v>Transmission Revenue Balancing Account Adjustment (TRBAA) Revenues Data to Reflect Changed Rates</v>
      </c>
      <c r="B4" s="972"/>
      <c r="C4" s="972"/>
      <c r="D4" s="972"/>
      <c r="E4" s="972"/>
      <c r="F4" s="972"/>
      <c r="G4" s="972"/>
      <c r="H4" s="972"/>
      <c r="I4" s="972"/>
      <c r="J4" s="972"/>
    </row>
    <row r="5" spans="1:10" ht="15.75" x14ac:dyDescent="0.2">
      <c r="A5" s="418" t="str">
        <f>'Stmt BG - Page 1'!A6</f>
        <v>Rate Effective Period - Twelve Months Ending December 31, 2027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16.5" thickBot="1" x14ac:dyDescent="0.3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5.75" x14ac:dyDescent="0.25">
      <c r="A7" s="551"/>
      <c r="B7" s="455"/>
      <c r="C7" s="559" t="s">
        <v>3</v>
      </c>
      <c r="D7" s="559" t="s">
        <v>4</v>
      </c>
      <c r="E7" s="559" t="s">
        <v>107</v>
      </c>
      <c r="F7" s="559" t="s">
        <v>108</v>
      </c>
      <c r="G7" s="559" t="s">
        <v>109</v>
      </c>
      <c r="H7" s="560" t="s">
        <v>110</v>
      </c>
      <c r="I7" s="560" t="s">
        <v>111</v>
      </c>
      <c r="J7" s="553"/>
    </row>
    <row r="8" spans="1:10" ht="15.75" x14ac:dyDescent="0.25">
      <c r="A8" s="545" t="s">
        <v>7</v>
      </c>
      <c r="B8" s="75"/>
      <c r="C8" s="561">
        <f>'Stmt BG - Page 2'!C8</f>
        <v>46388</v>
      </c>
      <c r="D8" s="561">
        <f>'Stmt BG - Page 2'!D8</f>
        <v>46419</v>
      </c>
      <c r="E8" s="561">
        <f>'Stmt BG - Page 2'!E8</f>
        <v>46447</v>
      </c>
      <c r="F8" s="561">
        <f>'Stmt BG - Page 2'!F8</f>
        <v>46478</v>
      </c>
      <c r="G8" s="561">
        <f>'Stmt BG - Page 2'!G8</f>
        <v>46508</v>
      </c>
      <c r="H8" s="561">
        <f>'Stmt BG - Page 2'!H8</f>
        <v>46539</v>
      </c>
      <c r="I8" s="562"/>
      <c r="J8" s="546" t="s">
        <v>7</v>
      </c>
    </row>
    <row r="9" spans="1:10" ht="16.5" thickBot="1" x14ac:dyDescent="0.3">
      <c r="A9" s="563" t="s">
        <v>10</v>
      </c>
      <c r="B9" s="153" t="s">
        <v>82</v>
      </c>
      <c r="C9" s="153" t="s">
        <v>126</v>
      </c>
      <c r="D9" s="153" t="s">
        <v>126</v>
      </c>
      <c r="E9" s="153" t="s">
        <v>126</v>
      </c>
      <c r="F9" s="153" t="s">
        <v>126</v>
      </c>
      <c r="G9" s="153" t="s">
        <v>126</v>
      </c>
      <c r="H9" s="153" t="s">
        <v>126</v>
      </c>
      <c r="I9" s="153" t="s">
        <v>15</v>
      </c>
      <c r="J9" s="564" t="s">
        <v>10</v>
      </c>
    </row>
    <row r="10" spans="1:10" ht="15.75" x14ac:dyDescent="0.25">
      <c r="A10" s="262"/>
      <c r="B10" s="10"/>
      <c r="C10" s="74"/>
      <c r="D10" s="10"/>
      <c r="E10" s="10"/>
      <c r="F10" s="10"/>
      <c r="G10" s="10"/>
      <c r="H10" s="10"/>
      <c r="I10" s="10"/>
      <c r="J10" s="263"/>
    </row>
    <row r="11" spans="1:10" ht="15.75" x14ac:dyDescent="0.25">
      <c r="A11" s="262">
        <v>1</v>
      </c>
      <c r="B11" s="11" t="s">
        <v>87</v>
      </c>
      <c r="C11" s="31">
        <f>'WP 1.2 Forecast Sales'!C6*1000</f>
        <v>581951063.94973934</v>
      </c>
      <c r="D11" s="31">
        <f>'WP 1.2 Forecast Sales'!D6*1000</f>
        <v>492696979.5606789</v>
      </c>
      <c r="E11" s="31">
        <f>'WP 1.2 Forecast Sales'!E6*1000</f>
        <v>428552851.48700136</v>
      </c>
      <c r="F11" s="31">
        <f>'WP 1.2 Forecast Sales'!F6*1000</f>
        <v>351147079.00455445</v>
      </c>
      <c r="G11" s="31">
        <f>'WP 1.2 Forecast Sales'!G6*1000</f>
        <v>329793554.36091667</v>
      </c>
      <c r="H11" s="31">
        <f>'WP 1.2 Forecast Sales'!H6*1000</f>
        <v>358343853.99963176</v>
      </c>
      <c r="I11" s="240" t="s">
        <v>127</v>
      </c>
      <c r="J11" s="263">
        <v>1</v>
      </c>
    </row>
    <row r="12" spans="1:10" ht="15.75" x14ac:dyDescent="0.25">
      <c r="A12" s="262">
        <f>A11+1</f>
        <v>2</v>
      </c>
      <c r="B12" s="11"/>
      <c r="C12" s="398"/>
      <c r="D12" s="398"/>
      <c r="E12" s="398"/>
      <c r="F12" s="398"/>
      <c r="G12" s="398"/>
      <c r="H12" s="398"/>
      <c r="I12" s="399"/>
      <c r="J12" s="263">
        <f>J11+1</f>
        <v>2</v>
      </c>
    </row>
    <row r="13" spans="1:10" ht="15.75" x14ac:dyDescent="0.25">
      <c r="A13" s="262">
        <f t="shared" ref="A13:A45" si="0">A12+1</f>
        <v>3</v>
      </c>
      <c r="B13" s="11" t="s">
        <v>128</v>
      </c>
      <c r="C13" s="31">
        <f>'WP 1.2 Forecast Sales'!C7*1000</f>
        <v>144107363.21021485</v>
      </c>
      <c r="D13" s="31">
        <f>'WP 1.2 Forecast Sales'!D7*1000</f>
        <v>138272842.90925261</v>
      </c>
      <c r="E13" s="31">
        <f>'WP 1.2 Forecast Sales'!E7*1000</f>
        <v>134573594.41289726</v>
      </c>
      <c r="F13" s="31">
        <f>'WP 1.2 Forecast Sales'!F7*1000</f>
        <v>131765537.0271609</v>
      </c>
      <c r="G13" s="31">
        <f>'WP 1.2 Forecast Sales'!G7*1000</f>
        <v>131661717.97557761</v>
      </c>
      <c r="H13" s="31">
        <f>'WP 1.2 Forecast Sales'!H7*1000</f>
        <v>137231207.00319645</v>
      </c>
      <c r="I13" s="240" t="s">
        <v>129</v>
      </c>
      <c r="J13" s="263">
        <f t="shared" ref="J13:J45" si="1">J12+1</f>
        <v>3</v>
      </c>
    </row>
    <row r="14" spans="1:10" ht="15.75" x14ac:dyDescent="0.25">
      <c r="A14" s="262">
        <f t="shared" si="0"/>
        <v>4</v>
      </c>
      <c r="B14" s="385"/>
      <c r="C14" s="393"/>
      <c r="D14" s="393"/>
      <c r="E14" s="393"/>
      <c r="F14" s="393"/>
      <c r="G14" s="393"/>
      <c r="H14" s="393"/>
      <c r="I14" s="400"/>
      <c r="J14" s="263">
        <f t="shared" si="1"/>
        <v>4</v>
      </c>
    </row>
    <row r="15" spans="1:10" ht="15.75" x14ac:dyDescent="0.25">
      <c r="A15" s="262">
        <f t="shared" si="0"/>
        <v>5</v>
      </c>
      <c r="B15" s="17" t="s">
        <v>93</v>
      </c>
      <c r="C15" s="31">
        <f>'WP 1.2 Forecast Sales'!C8*1000</f>
        <v>765705742.69224644</v>
      </c>
      <c r="D15" s="31">
        <f>'WP 1.2 Forecast Sales'!D8*1000</f>
        <v>729645227.43934464</v>
      </c>
      <c r="E15" s="31">
        <f>'WP 1.2 Forecast Sales'!E8*1000</f>
        <v>735335993.68216443</v>
      </c>
      <c r="F15" s="31">
        <f>'WP 1.2 Forecast Sales'!F8*1000</f>
        <v>736947447.38345444</v>
      </c>
      <c r="G15" s="31">
        <f>'WP 1.2 Forecast Sales'!G8*1000</f>
        <v>750185451.58503461</v>
      </c>
      <c r="H15" s="31">
        <f>'WP 1.2 Forecast Sales'!H8*1000</f>
        <v>785559786.6440084</v>
      </c>
      <c r="I15" s="240" t="s">
        <v>130</v>
      </c>
      <c r="J15" s="263">
        <f t="shared" si="1"/>
        <v>5</v>
      </c>
    </row>
    <row r="16" spans="1:10" ht="15.75" x14ac:dyDescent="0.25">
      <c r="A16" s="262">
        <f t="shared" si="0"/>
        <v>6</v>
      </c>
      <c r="B16" s="11"/>
      <c r="C16" s="31"/>
      <c r="D16" s="31"/>
      <c r="E16" s="31"/>
      <c r="F16" s="31"/>
      <c r="G16" s="31"/>
      <c r="H16" s="31"/>
      <c r="I16" s="401"/>
      <c r="J16" s="263">
        <f t="shared" si="1"/>
        <v>6</v>
      </c>
    </row>
    <row r="17" spans="1:10" ht="15.75" x14ac:dyDescent="0.25">
      <c r="A17" s="262">
        <f t="shared" si="0"/>
        <v>7</v>
      </c>
      <c r="B17" s="11" t="s">
        <v>96</v>
      </c>
      <c r="C17" s="31">
        <f>'WP 1.2 Forecast Sales'!C10*1000</f>
        <v>13091854.240588294</v>
      </c>
      <c r="D17" s="31">
        <f>'WP 1.2 Forecast Sales'!D10*1000</f>
        <v>11486892.260890368</v>
      </c>
      <c r="E17" s="31">
        <f>'WP 1.2 Forecast Sales'!E10*1000</f>
        <v>10732695.143472746</v>
      </c>
      <c r="F17" s="31">
        <f>'WP 1.2 Forecast Sales'!F10*1000</f>
        <v>12338071.168339368</v>
      </c>
      <c r="G17" s="31">
        <f>'WP 1.2 Forecast Sales'!G10*1000</f>
        <v>17539397.417400178</v>
      </c>
      <c r="H17" s="31">
        <f>'WP 1.2 Forecast Sales'!H10*1000</f>
        <v>19452397.35405463</v>
      </c>
      <c r="I17" s="240" t="s">
        <v>131</v>
      </c>
      <c r="J17" s="263">
        <f t="shared" si="1"/>
        <v>7</v>
      </c>
    </row>
    <row r="18" spans="1:10" ht="15.75" x14ac:dyDescent="0.25">
      <c r="A18" s="262">
        <f t="shared" si="0"/>
        <v>8</v>
      </c>
      <c r="B18" s="11"/>
      <c r="C18" s="31"/>
      <c r="D18" s="31"/>
      <c r="E18" s="31"/>
      <c r="F18" s="31"/>
      <c r="G18" s="31"/>
      <c r="H18" s="31"/>
      <c r="I18" s="401"/>
      <c r="J18" s="263">
        <f t="shared" si="1"/>
        <v>8</v>
      </c>
    </row>
    <row r="19" spans="1:10" ht="15.75" x14ac:dyDescent="0.25">
      <c r="A19" s="262">
        <f t="shared" si="0"/>
        <v>9</v>
      </c>
      <c r="B19" s="11" t="s">
        <v>99</v>
      </c>
      <c r="C19" s="31">
        <f>'WP 1.2 Forecast Sales'!C11*1000</f>
        <v>12797459.810848907</v>
      </c>
      <c r="D19" s="31">
        <f>'WP 1.2 Forecast Sales'!D11*1000</f>
        <v>12196077.661078025</v>
      </c>
      <c r="E19" s="31">
        <f>'WP 1.2 Forecast Sales'!E11*1000</f>
        <v>11419642.272459194</v>
      </c>
      <c r="F19" s="31">
        <f>'WP 1.2 Forecast Sales'!F11*1000</f>
        <v>11837381.514093854</v>
      </c>
      <c r="G19" s="31">
        <f>'WP 1.2 Forecast Sales'!G11*1000</f>
        <v>13945730.829236403</v>
      </c>
      <c r="H19" s="31">
        <f>'WP 1.2 Forecast Sales'!H11*1000</f>
        <v>14406360.232370242</v>
      </c>
      <c r="I19" s="240" t="s">
        <v>132</v>
      </c>
      <c r="J19" s="263">
        <f t="shared" si="1"/>
        <v>9</v>
      </c>
    </row>
    <row r="20" spans="1:10" ht="15.75" x14ac:dyDescent="0.25">
      <c r="A20" s="262">
        <f t="shared" si="0"/>
        <v>10</v>
      </c>
      <c r="B20" s="11"/>
      <c r="C20" s="31"/>
      <c r="D20" s="31"/>
      <c r="E20" s="31"/>
      <c r="F20" s="31"/>
      <c r="G20" s="31"/>
      <c r="H20" s="31"/>
      <c r="I20" s="401"/>
      <c r="J20" s="263">
        <f t="shared" si="1"/>
        <v>10</v>
      </c>
    </row>
    <row r="21" spans="1:10" ht="15.75" x14ac:dyDescent="0.25">
      <c r="A21" s="262">
        <f t="shared" si="0"/>
        <v>11</v>
      </c>
      <c r="B21" s="11" t="s">
        <v>133</v>
      </c>
      <c r="C21" s="38">
        <f>'WP 1.2 Forecast Sales'!C12*1000</f>
        <v>6750778.8952496238</v>
      </c>
      <c r="D21" s="38">
        <f>'WP 1.2 Forecast Sales'!D12*1000</f>
        <v>6612938.3654640066</v>
      </c>
      <c r="E21" s="38">
        <f>'WP 1.2 Forecast Sales'!E12*1000</f>
        <v>6450800.9692319613</v>
      </c>
      <c r="F21" s="38">
        <f>'WP 1.2 Forecast Sales'!F12*1000</f>
        <v>6274323.755912628</v>
      </c>
      <c r="G21" s="38">
        <f>'WP 1.2 Forecast Sales'!G12*1000</f>
        <v>6272576.2161369994</v>
      </c>
      <c r="H21" s="38">
        <f>'WP 1.2 Forecast Sales'!H12*1000</f>
        <v>6313019.4469642797</v>
      </c>
      <c r="I21" s="240" t="s">
        <v>134</v>
      </c>
      <c r="J21" s="263">
        <f t="shared" si="1"/>
        <v>11</v>
      </c>
    </row>
    <row r="22" spans="1:10" ht="15.75" x14ac:dyDescent="0.25">
      <c r="A22" s="262">
        <f t="shared" si="0"/>
        <v>12</v>
      </c>
      <c r="B22" s="11"/>
      <c r="C22" s="31"/>
      <c r="D22" s="31"/>
      <c r="E22" s="31"/>
      <c r="F22" s="31"/>
      <c r="G22" s="31"/>
      <c r="H22" s="31"/>
      <c r="I22" s="162"/>
      <c r="J22" s="263">
        <f t="shared" si="1"/>
        <v>12</v>
      </c>
    </row>
    <row r="23" spans="1:10" ht="16.5" thickBot="1" x14ac:dyDescent="0.3">
      <c r="A23" s="262">
        <f t="shared" si="0"/>
        <v>13</v>
      </c>
      <c r="B23" s="11" t="s">
        <v>118</v>
      </c>
      <c r="C23" s="474">
        <f>SUM(C11:C21)</f>
        <v>1524404262.7988873</v>
      </c>
      <c r="D23" s="474">
        <f t="shared" ref="D23:H23" si="2">SUM(D11:D21)</f>
        <v>1390910958.1967084</v>
      </c>
      <c r="E23" s="474">
        <f t="shared" si="2"/>
        <v>1327065577.967227</v>
      </c>
      <c r="F23" s="474">
        <f t="shared" si="2"/>
        <v>1250309839.8535154</v>
      </c>
      <c r="G23" s="474">
        <f t="shared" si="2"/>
        <v>1249398428.3843024</v>
      </c>
      <c r="H23" s="474">
        <f t="shared" si="2"/>
        <v>1321306624.6802258</v>
      </c>
      <c r="I23" s="399" t="s">
        <v>135</v>
      </c>
      <c r="J23" s="263">
        <f t="shared" si="1"/>
        <v>13</v>
      </c>
    </row>
    <row r="24" spans="1:10" ht="17.25" thickTop="1" thickBot="1" x14ac:dyDescent="0.3">
      <c r="A24" s="300">
        <f t="shared" si="0"/>
        <v>14</v>
      </c>
      <c r="B24" s="419"/>
      <c r="C24" s="820"/>
      <c r="D24" s="58"/>
      <c r="E24" s="58"/>
      <c r="F24" s="58"/>
      <c r="G24" s="58"/>
      <c r="H24" s="58"/>
      <c r="I24" s="58"/>
      <c r="J24" s="301">
        <f t="shared" si="1"/>
        <v>14</v>
      </c>
    </row>
    <row r="25" spans="1:10" ht="15.75" x14ac:dyDescent="0.25">
      <c r="A25" s="262">
        <f t="shared" si="0"/>
        <v>15</v>
      </c>
      <c r="B25" s="11"/>
      <c r="C25" s="17"/>
      <c r="D25" s="17"/>
      <c r="E25" s="17"/>
      <c r="F25" s="17"/>
      <c r="G25" s="17"/>
      <c r="H25" s="17"/>
      <c r="I25" s="17"/>
      <c r="J25" s="263">
        <f t="shared" si="1"/>
        <v>15</v>
      </c>
    </row>
    <row r="26" spans="1:10" ht="16.5" thickBot="1" x14ac:dyDescent="0.3">
      <c r="A26" s="300">
        <f>A25+1</f>
        <v>16</v>
      </c>
      <c r="B26" s="419"/>
      <c r="C26" s="57" t="s">
        <v>136</v>
      </c>
      <c r="D26" s="57" t="s">
        <v>136</v>
      </c>
      <c r="E26" s="57" t="s">
        <v>136</v>
      </c>
      <c r="F26" s="57" t="s">
        <v>136</v>
      </c>
      <c r="G26" s="57" t="s">
        <v>136</v>
      </c>
      <c r="H26" s="57" t="s">
        <v>136</v>
      </c>
      <c r="I26" s="57"/>
      <c r="J26" s="301">
        <f>J25+1</f>
        <v>16</v>
      </c>
    </row>
    <row r="27" spans="1:10" ht="15.75" x14ac:dyDescent="0.25">
      <c r="A27" s="262">
        <f t="shared" si="0"/>
        <v>17</v>
      </c>
      <c r="B27" s="11"/>
      <c r="C27" s="75"/>
      <c r="D27" s="10"/>
      <c r="E27" s="10"/>
      <c r="F27" s="10"/>
      <c r="G27" s="10"/>
      <c r="H27" s="10"/>
      <c r="I27" s="10"/>
      <c r="J27" s="263">
        <f t="shared" si="1"/>
        <v>17</v>
      </c>
    </row>
    <row r="28" spans="1:10" ht="15.75" x14ac:dyDescent="0.25">
      <c r="A28" s="262">
        <f t="shared" si="0"/>
        <v>18</v>
      </c>
      <c r="B28" s="11" t="s">
        <v>537</v>
      </c>
      <c r="C28" s="384">
        <f>('Stmnt BL (Non-CAISO) - TRBAA'!C36)</f>
        <v>-3.2499999999999999E-3</v>
      </c>
      <c r="D28" s="384">
        <f>$C28</f>
        <v>-3.2499999999999999E-3</v>
      </c>
      <c r="E28" s="384">
        <f>$C28</f>
        <v>-3.2499999999999999E-3</v>
      </c>
      <c r="F28" s="384">
        <f>$C28</f>
        <v>-3.2499999999999999E-3</v>
      </c>
      <c r="G28" s="384">
        <f>$C28</f>
        <v>-3.2499999999999999E-3</v>
      </c>
      <c r="H28" s="384">
        <f>$C28</f>
        <v>-3.2499999999999999E-3</v>
      </c>
      <c r="I28" s="402" t="s">
        <v>536</v>
      </c>
      <c r="J28" s="263">
        <f t="shared" si="1"/>
        <v>18</v>
      </c>
    </row>
    <row r="29" spans="1:10" ht="16.5" thickBot="1" x14ac:dyDescent="0.3">
      <c r="A29" s="300">
        <f>A28+1</f>
        <v>19</v>
      </c>
      <c r="B29" s="419"/>
      <c r="C29" s="58"/>
      <c r="D29" s="58"/>
      <c r="E29" s="58"/>
      <c r="F29" s="58"/>
      <c r="G29" s="58"/>
      <c r="H29" s="58"/>
      <c r="I29" s="58"/>
      <c r="J29" s="301">
        <f>J28+1</f>
        <v>19</v>
      </c>
    </row>
    <row r="30" spans="1:10" ht="15.75" x14ac:dyDescent="0.25">
      <c r="A30" s="262">
        <f t="shared" si="0"/>
        <v>20</v>
      </c>
      <c r="B30" s="11"/>
      <c r="C30" s="17"/>
      <c r="D30" s="17"/>
      <c r="E30" s="17"/>
      <c r="F30" s="17"/>
      <c r="G30" s="17"/>
      <c r="H30" s="17"/>
      <c r="I30" s="17"/>
      <c r="J30" s="263">
        <f t="shared" si="1"/>
        <v>20</v>
      </c>
    </row>
    <row r="31" spans="1:10" ht="34.5" customHeight="1" thickBot="1" x14ac:dyDescent="0.3">
      <c r="A31" s="300">
        <f t="shared" si="0"/>
        <v>21</v>
      </c>
      <c r="B31" s="419"/>
      <c r="C31" s="403" t="s">
        <v>137</v>
      </c>
      <c r="D31" s="403" t="s">
        <v>137</v>
      </c>
      <c r="E31" s="403" t="s">
        <v>137</v>
      </c>
      <c r="F31" s="403" t="s">
        <v>137</v>
      </c>
      <c r="G31" s="403" t="s">
        <v>137</v>
      </c>
      <c r="H31" s="403" t="s">
        <v>137</v>
      </c>
      <c r="I31" s="57"/>
      <c r="J31" s="301">
        <f t="shared" si="1"/>
        <v>21</v>
      </c>
    </row>
    <row r="32" spans="1:10" ht="15.75" x14ac:dyDescent="0.25">
      <c r="A32" s="262">
        <f t="shared" si="0"/>
        <v>22</v>
      </c>
      <c r="B32" s="11"/>
      <c r="C32" s="10"/>
      <c r="D32" s="10"/>
      <c r="E32" s="10"/>
      <c r="F32" s="10"/>
      <c r="G32" s="10"/>
      <c r="H32" s="10"/>
      <c r="I32" s="74"/>
      <c r="J32" s="263">
        <f t="shared" si="1"/>
        <v>22</v>
      </c>
    </row>
    <row r="33" spans="1:10" ht="15.75" x14ac:dyDescent="0.25">
      <c r="A33" s="262">
        <f t="shared" si="0"/>
        <v>23</v>
      </c>
      <c r="B33" s="11" t="s">
        <v>87</v>
      </c>
      <c r="C33" s="141">
        <f>C11*C$28</f>
        <v>-1891340.9578366529</v>
      </c>
      <c r="D33" s="141">
        <f t="shared" ref="D33:H33" si="3">D11*D$28</f>
        <v>-1601265.1835722064</v>
      </c>
      <c r="E33" s="141">
        <f t="shared" si="3"/>
        <v>-1392796.7673327543</v>
      </c>
      <c r="F33" s="141">
        <f t="shared" si="3"/>
        <v>-1141228.0067648019</v>
      </c>
      <c r="G33" s="141">
        <f t="shared" si="3"/>
        <v>-1071829.0516729793</v>
      </c>
      <c r="H33" s="141">
        <f t="shared" si="3"/>
        <v>-1164617.5254988032</v>
      </c>
      <c r="I33" s="26" t="s">
        <v>138</v>
      </c>
      <c r="J33" s="263">
        <f t="shared" si="1"/>
        <v>23</v>
      </c>
    </row>
    <row r="34" spans="1:10" ht="15.75" x14ac:dyDescent="0.25">
      <c r="A34" s="262">
        <f t="shared" si="0"/>
        <v>24</v>
      </c>
      <c r="B34" s="11"/>
      <c r="C34" s="398"/>
      <c r="D34" s="398"/>
      <c r="E34" s="398"/>
      <c r="F34" s="398"/>
      <c r="G34" s="398"/>
      <c r="H34" s="398"/>
      <c r="I34" s="404"/>
      <c r="J34" s="263">
        <f t="shared" si="1"/>
        <v>24</v>
      </c>
    </row>
    <row r="35" spans="1:10" ht="15.75" x14ac:dyDescent="0.25">
      <c r="A35" s="262">
        <f t="shared" si="0"/>
        <v>25</v>
      </c>
      <c r="B35" s="11" t="s">
        <v>128</v>
      </c>
      <c r="C35" s="44">
        <f>C13*C$28</f>
        <v>-468348.93043319823</v>
      </c>
      <c r="D35" s="44">
        <f t="shared" ref="D35:H35" si="4">D13*D$28</f>
        <v>-449386.73945507099</v>
      </c>
      <c r="E35" s="44">
        <f t="shared" si="4"/>
        <v>-437364.18184191606</v>
      </c>
      <c r="F35" s="44">
        <f t="shared" si="4"/>
        <v>-428237.99533827289</v>
      </c>
      <c r="G35" s="44">
        <f t="shared" si="4"/>
        <v>-427900.58342062723</v>
      </c>
      <c r="H35" s="44">
        <f t="shared" si="4"/>
        <v>-446001.42276038846</v>
      </c>
      <c r="I35" s="26" t="s">
        <v>139</v>
      </c>
      <c r="J35" s="263">
        <f t="shared" si="1"/>
        <v>25</v>
      </c>
    </row>
    <row r="36" spans="1:10" ht="15.75" x14ac:dyDescent="0.25">
      <c r="A36" s="262">
        <f t="shared" si="0"/>
        <v>26</v>
      </c>
      <c r="B36" s="385"/>
      <c r="C36" s="393"/>
      <c r="D36" s="393"/>
      <c r="E36" s="393"/>
      <c r="F36" s="393"/>
      <c r="G36" s="393"/>
      <c r="H36" s="393"/>
      <c r="I36" s="26"/>
      <c r="J36" s="263">
        <f t="shared" si="1"/>
        <v>26</v>
      </c>
    </row>
    <row r="37" spans="1:10" ht="15.75" x14ac:dyDescent="0.25">
      <c r="A37" s="262">
        <f t="shared" si="0"/>
        <v>27</v>
      </c>
      <c r="B37" s="17" t="s">
        <v>93</v>
      </c>
      <c r="C37" s="44">
        <f>C15*C$28</f>
        <v>-2488543.663749801</v>
      </c>
      <c r="D37" s="44">
        <f t="shared" ref="D37:H37" si="5">D15*D$28</f>
        <v>-2371346.9891778701</v>
      </c>
      <c r="E37" s="44">
        <f t="shared" si="5"/>
        <v>-2389841.9794670343</v>
      </c>
      <c r="F37" s="44">
        <f t="shared" si="5"/>
        <v>-2395079.2039962267</v>
      </c>
      <c r="G37" s="44">
        <f t="shared" si="5"/>
        <v>-2438102.7176513625</v>
      </c>
      <c r="H37" s="44">
        <f t="shared" si="5"/>
        <v>-2553069.306593027</v>
      </c>
      <c r="I37" s="26" t="s">
        <v>140</v>
      </c>
      <c r="J37" s="263">
        <f t="shared" si="1"/>
        <v>27</v>
      </c>
    </row>
    <row r="38" spans="1:10" ht="15.75" x14ac:dyDescent="0.25">
      <c r="A38" s="262">
        <f t="shared" si="0"/>
        <v>28</v>
      </c>
      <c r="B38" s="11"/>
      <c r="C38" s="44"/>
      <c r="D38" s="44"/>
      <c r="E38" s="44"/>
      <c r="F38" s="44"/>
      <c r="G38" s="44"/>
      <c r="H38" s="44"/>
      <c r="I38" s="26"/>
      <c r="J38" s="263">
        <f t="shared" si="1"/>
        <v>28</v>
      </c>
    </row>
    <row r="39" spans="1:10" ht="15.75" x14ac:dyDescent="0.25">
      <c r="A39" s="262">
        <f t="shared" si="0"/>
        <v>29</v>
      </c>
      <c r="B39" s="11" t="s">
        <v>96</v>
      </c>
      <c r="C39" s="44">
        <f>C17*C$28</f>
        <v>-42548.526281911953</v>
      </c>
      <c r="D39" s="44">
        <f t="shared" ref="D39:H39" si="6">D17*D$28</f>
        <v>-37332.399847893692</v>
      </c>
      <c r="E39" s="44">
        <f t="shared" si="6"/>
        <v>-34881.259216286424</v>
      </c>
      <c r="F39" s="44">
        <f t="shared" si="6"/>
        <v>-40098.731297102946</v>
      </c>
      <c r="G39" s="44">
        <f t="shared" si="6"/>
        <v>-57003.041606550578</v>
      </c>
      <c r="H39" s="44">
        <f t="shared" si="6"/>
        <v>-63220.291400677546</v>
      </c>
      <c r="I39" s="26" t="s">
        <v>141</v>
      </c>
      <c r="J39" s="263">
        <f t="shared" si="1"/>
        <v>29</v>
      </c>
    </row>
    <row r="40" spans="1:10" ht="15.75" x14ac:dyDescent="0.25">
      <c r="A40" s="262">
        <f t="shared" si="0"/>
        <v>30</v>
      </c>
      <c r="B40" s="11"/>
      <c r="C40" s="44"/>
      <c r="D40" s="44"/>
      <c r="E40" s="44"/>
      <c r="F40" s="44"/>
      <c r="G40" s="44"/>
      <c r="H40" s="44"/>
      <c r="I40" s="26"/>
      <c r="J40" s="263">
        <f t="shared" si="1"/>
        <v>30</v>
      </c>
    </row>
    <row r="41" spans="1:10" ht="15.75" x14ac:dyDescent="0.25">
      <c r="A41" s="262">
        <f t="shared" si="0"/>
        <v>31</v>
      </c>
      <c r="B41" s="11" t="s">
        <v>99</v>
      </c>
      <c r="C41" s="44">
        <f>C19*C$28</f>
        <v>-41591.744385258942</v>
      </c>
      <c r="D41" s="44">
        <f t="shared" ref="D41:H41" si="7">D19*D$28</f>
        <v>-39637.25239850358</v>
      </c>
      <c r="E41" s="44">
        <f t="shared" si="7"/>
        <v>-37113.837385492378</v>
      </c>
      <c r="F41" s="44">
        <f t="shared" si="7"/>
        <v>-38471.489920805019</v>
      </c>
      <c r="G41" s="44">
        <f t="shared" si="7"/>
        <v>-45323.625195018307</v>
      </c>
      <c r="H41" s="44">
        <f t="shared" si="7"/>
        <v>-46820.670755203289</v>
      </c>
      <c r="I41" s="26" t="s">
        <v>142</v>
      </c>
      <c r="J41" s="263">
        <f t="shared" si="1"/>
        <v>31</v>
      </c>
    </row>
    <row r="42" spans="1:10" ht="15.75" x14ac:dyDescent="0.25">
      <c r="A42" s="262">
        <f t="shared" si="0"/>
        <v>32</v>
      </c>
      <c r="B42" s="11"/>
      <c r="C42" s="44"/>
      <c r="D42" s="44"/>
      <c r="E42" s="44"/>
      <c r="F42" s="44"/>
      <c r="G42" s="44"/>
      <c r="H42" s="44"/>
      <c r="I42" s="26"/>
      <c r="J42" s="263">
        <f t="shared" si="1"/>
        <v>32</v>
      </c>
    </row>
    <row r="43" spans="1:10" ht="15.75" x14ac:dyDescent="0.25">
      <c r="A43" s="262">
        <f t="shared" si="0"/>
        <v>33</v>
      </c>
      <c r="B43" s="11" t="s">
        <v>133</v>
      </c>
      <c r="C43" s="51">
        <f>C21*C$28</f>
        <v>-21940.031409561278</v>
      </c>
      <c r="D43" s="51">
        <f t="shared" ref="D43:H43" si="8">D21*D$28</f>
        <v>-21492.049687758019</v>
      </c>
      <c r="E43" s="51">
        <f t="shared" si="8"/>
        <v>-20965.103150003873</v>
      </c>
      <c r="F43" s="51">
        <f t="shared" si="8"/>
        <v>-20391.552206716042</v>
      </c>
      <c r="G43" s="51">
        <f t="shared" si="8"/>
        <v>-20385.872702445246</v>
      </c>
      <c r="H43" s="51">
        <f t="shared" si="8"/>
        <v>-20517.313202633908</v>
      </c>
      <c r="I43" s="26" t="s">
        <v>143</v>
      </c>
      <c r="J43" s="263">
        <f t="shared" si="1"/>
        <v>33</v>
      </c>
    </row>
    <row r="44" spans="1:10" ht="15.75" x14ac:dyDescent="0.25">
      <c r="A44" s="262">
        <f t="shared" si="0"/>
        <v>34</v>
      </c>
      <c r="B44" s="11"/>
      <c r="C44" s="141"/>
      <c r="D44" s="141"/>
      <c r="E44" s="141"/>
      <c r="F44" s="141"/>
      <c r="G44" s="141"/>
      <c r="H44" s="141"/>
      <c r="I44" s="26"/>
      <c r="J44" s="263">
        <f t="shared" si="1"/>
        <v>34</v>
      </c>
    </row>
    <row r="45" spans="1:10" ht="16.5" thickBot="1" x14ac:dyDescent="0.3">
      <c r="A45" s="262">
        <f t="shared" si="0"/>
        <v>35</v>
      </c>
      <c r="B45" s="11" t="s">
        <v>118</v>
      </c>
      <c r="C45" s="512">
        <f>SUM(C33:C43)</f>
        <v>-4954313.8540963847</v>
      </c>
      <c r="D45" s="512">
        <f t="shared" ref="D45:H45" si="9">SUM(D33:D43)</f>
        <v>-4520460.6141393036</v>
      </c>
      <c r="E45" s="512">
        <f t="shared" si="9"/>
        <v>-4312963.1283934871</v>
      </c>
      <c r="F45" s="512">
        <f t="shared" si="9"/>
        <v>-4063506.9795239256</v>
      </c>
      <c r="G45" s="512">
        <f t="shared" si="9"/>
        <v>-4060544.8922489835</v>
      </c>
      <c r="H45" s="512">
        <f t="shared" si="9"/>
        <v>-4294246.5302107325</v>
      </c>
      <c r="I45" s="405" t="s">
        <v>144</v>
      </c>
      <c r="J45" s="263">
        <f t="shared" si="1"/>
        <v>35</v>
      </c>
    </row>
    <row r="46" spans="1:10" ht="17.25" thickTop="1" thickBot="1" x14ac:dyDescent="0.3">
      <c r="A46" s="300"/>
      <c r="B46" s="81"/>
      <c r="C46" s="820"/>
      <c r="D46" s="58"/>
      <c r="E46" s="58"/>
      <c r="F46" s="58"/>
      <c r="G46" s="58"/>
      <c r="H46" s="58"/>
      <c r="I46" s="58"/>
      <c r="J46" s="406"/>
    </row>
    <row r="47" spans="1:10" ht="15.75" x14ac:dyDescent="0.25">
      <c r="A47" s="37"/>
      <c r="B47" s="390"/>
      <c r="C47" s="22"/>
      <c r="D47" s="22"/>
      <c r="E47" s="22"/>
      <c r="F47" s="22"/>
      <c r="G47" s="22"/>
      <c r="H47" s="22"/>
      <c r="I47" s="22"/>
      <c r="J47" s="22"/>
    </row>
    <row r="48" spans="1:10" ht="18.75" x14ac:dyDescent="0.25">
      <c r="A48" s="69"/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5.75" x14ac:dyDescent="0.25">
      <c r="A49" s="821"/>
      <c r="B49" s="22"/>
      <c r="C49" s="22"/>
      <c r="D49" s="22"/>
      <c r="E49" s="22"/>
      <c r="F49" s="22"/>
      <c r="G49" s="22"/>
      <c r="H49" s="22"/>
      <c r="I49" s="22"/>
      <c r="J49" s="22"/>
    </row>
    <row r="50" spans="1:10" ht="15.75" x14ac:dyDescent="0.25">
      <c r="A50" s="821"/>
      <c r="B50" s="22"/>
      <c r="C50" s="22"/>
      <c r="D50" s="22"/>
      <c r="E50" s="22"/>
      <c r="F50" s="22"/>
      <c r="G50" s="22"/>
      <c r="H50" s="22"/>
      <c r="I50" s="22"/>
      <c r="J50" s="22"/>
    </row>
    <row r="51" spans="1:10" ht="15.75" x14ac:dyDescent="0.25">
      <c r="A51" s="37"/>
      <c r="B51" s="22"/>
      <c r="C51" s="22"/>
      <c r="D51" s="22"/>
      <c r="E51" s="22"/>
      <c r="F51" s="22"/>
      <c r="G51" s="22"/>
      <c r="H51" s="22"/>
      <c r="I51" s="22"/>
      <c r="J51" s="22"/>
    </row>
    <row r="52" spans="1:10" ht="15.75" x14ac:dyDescent="0.25">
      <c r="A52" s="37"/>
      <c r="B52" s="22"/>
      <c r="C52" s="22"/>
      <c r="D52" s="22"/>
      <c r="E52" s="22"/>
      <c r="F52" s="22"/>
      <c r="G52" s="22"/>
      <c r="H52" s="22"/>
      <c r="I52" s="22"/>
      <c r="J52" s="22"/>
    </row>
    <row r="53" spans="1:10" ht="15.75" x14ac:dyDescent="0.25">
      <c r="A53" s="37"/>
      <c r="B53" s="22"/>
      <c r="C53" s="22"/>
      <c r="D53" s="22"/>
      <c r="E53" s="22"/>
      <c r="F53" s="22"/>
      <c r="G53" s="22"/>
      <c r="H53" s="22"/>
      <c r="I53" s="22"/>
      <c r="J53" s="22"/>
    </row>
    <row r="54" spans="1:10" ht="15.75" x14ac:dyDescent="0.25">
      <c r="A54" s="37"/>
      <c r="B54" s="22"/>
      <c r="C54" s="22"/>
      <c r="D54" s="22"/>
      <c r="E54" s="22"/>
      <c r="F54" s="22"/>
      <c r="G54" s="22"/>
      <c r="H54" s="22"/>
      <c r="I54" s="22"/>
      <c r="J54" s="22"/>
    </row>
    <row r="55" spans="1:10" ht="15.75" x14ac:dyDescent="0.25">
      <c r="A55" s="37"/>
      <c r="B55" s="22"/>
      <c r="C55" s="22"/>
      <c r="D55" s="22"/>
      <c r="E55" s="22"/>
      <c r="F55" s="22"/>
      <c r="G55" s="22"/>
      <c r="H55" s="22"/>
      <c r="I55" s="22"/>
      <c r="J55" s="22"/>
    </row>
    <row r="56" spans="1:10" ht="15.75" x14ac:dyDescent="0.25">
      <c r="A56" s="37"/>
      <c r="B56" s="22"/>
      <c r="C56" s="22"/>
      <c r="D56" s="22"/>
      <c r="E56" s="22"/>
      <c r="F56" s="22"/>
      <c r="G56" s="22"/>
      <c r="H56" s="22"/>
      <c r="I56" s="22"/>
      <c r="J56" s="22"/>
    </row>
    <row r="57" spans="1:10" ht="15.75" x14ac:dyDescent="0.25">
      <c r="A57" s="37"/>
      <c r="B57" s="22"/>
      <c r="C57" s="22"/>
      <c r="D57" s="22"/>
      <c r="E57" s="22"/>
      <c r="F57" s="22"/>
      <c r="G57" s="22"/>
      <c r="H57" s="22"/>
      <c r="I57" s="22"/>
      <c r="J57" s="22"/>
    </row>
    <row r="58" spans="1:10" ht="15.75" x14ac:dyDescent="0.25">
      <c r="A58" s="37"/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15.75" x14ac:dyDescent="0.25">
      <c r="A59" s="37"/>
      <c r="B59" s="22"/>
      <c r="C59" s="22"/>
      <c r="D59" s="22"/>
      <c r="E59" s="22"/>
      <c r="F59" s="22"/>
      <c r="G59" s="22"/>
      <c r="H59" s="22"/>
      <c r="I59" s="22"/>
      <c r="J59" s="22"/>
    </row>
    <row r="60" spans="1:10" ht="15.75" x14ac:dyDescent="0.25">
      <c r="A60" s="37"/>
      <c r="B60" s="22"/>
      <c r="C60" s="22"/>
      <c r="D60" s="22"/>
      <c r="E60" s="22"/>
      <c r="F60" s="22"/>
      <c r="G60" s="22"/>
      <c r="H60" s="22"/>
      <c r="I60" s="22"/>
      <c r="J60" s="22"/>
    </row>
    <row r="61" spans="1:10" ht="15.75" x14ac:dyDescent="0.25">
      <c r="A61" s="37"/>
      <c r="B61" s="22"/>
      <c r="C61" s="22"/>
      <c r="D61" s="22"/>
      <c r="E61" s="22"/>
      <c r="F61" s="22"/>
      <c r="G61" s="22"/>
      <c r="H61" s="22"/>
      <c r="I61" s="22"/>
      <c r="J61" s="22"/>
    </row>
    <row r="62" spans="1:10" ht="15.75" x14ac:dyDescent="0.25">
      <c r="A62" s="37"/>
      <c r="B62" s="22"/>
      <c r="C62" s="22"/>
      <c r="D62" s="22"/>
      <c r="E62" s="22"/>
      <c r="F62" s="22"/>
      <c r="G62" s="22"/>
      <c r="H62" s="22"/>
      <c r="I62" s="22"/>
      <c r="J62" s="22"/>
    </row>
    <row r="63" spans="1:10" ht="15.75" x14ac:dyDescent="0.25">
      <c r="A63" s="37"/>
      <c r="B63" s="22"/>
      <c r="C63" s="22"/>
      <c r="D63" s="22"/>
      <c r="E63" s="22"/>
      <c r="F63" s="22"/>
      <c r="G63" s="22"/>
      <c r="H63" s="22"/>
      <c r="I63" s="22"/>
      <c r="J63" s="22"/>
    </row>
    <row r="64" spans="1:10" ht="15.75" x14ac:dyDescent="0.25">
      <c r="A64" s="37"/>
      <c r="B64" s="22"/>
      <c r="C64" s="22"/>
      <c r="D64" s="22"/>
      <c r="E64" s="22"/>
      <c r="F64" s="22"/>
      <c r="G64" s="22"/>
      <c r="H64" s="22"/>
      <c r="I64" s="22"/>
      <c r="J64" s="22"/>
    </row>
    <row r="65" spans="1:10" ht="15.75" x14ac:dyDescent="0.25">
      <c r="A65" s="37"/>
      <c r="B65" s="22"/>
      <c r="C65" s="22"/>
      <c r="D65" s="22"/>
      <c r="E65" s="22"/>
      <c r="F65" s="22"/>
      <c r="G65" s="22"/>
      <c r="H65" s="22"/>
      <c r="I65" s="22"/>
      <c r="J65" s="22"/>
    </row>
    <row r="66" spans="1:10" ht="15.75" x14ac:dyDescent="0.25">
      <c r="A66" s="37"/>
      <c r="B66" s="22"/>
      <c r="C66" s="22"/>
      <c r="D66" s="22"/>
      <c r="E66" s="22"/>
      <c r="F66" s="22"/>
      <c r="G66" s="22"/>
      <c r="H66" s="22"/>
      <c r="I66" s="22"/>
      <c r="J66" s="22"/>
    </row>
    <row r="67" spans="1:10" ht="15.75" x14ac:dyDescent="0.25">
      <c r="A67" s="37"/>
      <c r="B67" s="22"/>
      <c r="C67" s="22"/>
      <c r="D67" s="22"/>
      <c r="E67" s="22"/>
      <c r="F67" s="22"/>
      <c r="G67" s="22"/>
      <c r="H67" s="22"/>
      <c r="I67" s="22"/>
      <c r="J67" s="22"/>
    </row>
    <row r="68" spans="1:10" ht="15.75" x14ac:dyDescent="0.25">
      <c r="A68" s="37"/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5.75" x14ac:dyDescent="0.25">
      <c r="A69" s="37"/>
      <c r="B69" s="22"/>
      <c r="C69" s="22"/>
      <c r="D69" s="22"/>
      <c r="E69" s="22"/>
      <c r="F69" s="22"/>
      <c r="G69" s="22"/>
      <c r="H69" s="22"/>
      <c r="I69" s="22"/>
      <c r="J69" s="22"/>
    </row>
    <row r="70" spans="1:10" ht="15.75" x14ac:dyDescent="0.25">
      <c r="A70" s="37"/>
      <c r="B70" s="22"/>
      <c r="C70" s="22"/>
      <c r="D70" s="22"/>
      <c r="E70" s="22"/>
      <c r="F70" s="22"/>
      <c r="G70" s="22"/>
      <c r="H70" s="22"/>
      <c r="I70" s="22"/>
      <c r="J70" s="22"/>
    </row>
    <row r="71" spans="1:10" ht="15.75" x14ac:dyDescent="0.25">
      <c r="A71" s="37"/>
      <c r="B71" s="22"/>
      <c r="C71" s="22"/>
      <c r="D71" s="22"/>
      <c r="E71" s="22"/>
      <c r="F71" s="22"/>
      <c r="G71" s="22"/>
      <c r="H71" s="22"/>
      <c r="I71" s="22"/>
      <c r="J71" s="22"/>
    </row>
    <row r="72" spans="1:10" ht="15.75" x14ac:dyDescent="0.25">
      <c r="A72" s="37"/>
      <c r="B72" s="22"/>
      <c r="C72" s="22"/>
      <c r="D72" s="22"/>
      <c r="E72" s="22"/>
      <c r="F72" s="22"/>
      <c r="G72" s="22"/>
      <c r="H72" s="22"/>
      <c r="I72" s="22"/>
      <c r="J72" s="22"/>
    </row>
    <row r="73" spans="1:10" ht="15.75" x14ac:dyDescent="0.25">
      <c r="A73" s="37"/>
      <c r="B73" s="22"/>
      <c r="C73" s="22"/>
      <c r="D73" s="22"/>
      <c r="E73" s="22"/>
      <c r="F73" s="22"/>
      <c r="G73" s="22"/>
      <c r="H73" s="22"/>
      <c r="I73" s="22"/>
      <c r="J73" s="22"/>
    </row>
    <row r="74" spans="1:10" ht="15.75" x14ac:dyDescent="0.25">
      <c r="A74" s="37"/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5.75" x14ac:dyDescent="0.25">
      <c r="A75" s="37"/>
      <c r="B75" s="22"/>
      <c r="C75" s="22"/>
      <c r="D75" s="22"/>
      <c r="E75" s="22"/>
      <c r="F75" s="22"/>
      <c r="G75" s="22"/>
      <c r="H75" s="22"/>
      <c r="I75" s="22"/>
      <c r="J75" s="22"/>
    </row>
    <row r="76" spans="1:10" ht="15.75" x14ac:dyDescent="0.25">
      <c r="A76" s="37"/>
      <c r="B76" s="22"/>
      <c r="C76" s="22"/>
      <c r="D76" s="22"/>
      <c r="E76" s="22"/>
      <c r="F76" s="22"/>
      <c r="G76" s="22"/>
      <c r="H76" s="22"/>
      <c r="I76" s="22"/>
      <c r="J76" s="22"/>
    </row>
    <row r="77" spans="1:10" ht="15.75" x14ac:dyDescent="0.25">
      <c r="A77" s="37"/>
      <c r="B77" s="22"/>
      <c r="C77" s="22"/>
      <c r="D77" s="22"/>
      <c r="E77" s="22"/>
      <c r="F77" s="22"/>
      <c r="G77" s="22"/>
      <c r="H77" s="22"/>
      <c r="I77" s="22"/>
      <c r="J77" s="22"/>
    </row>
    <row r="78" spans="1:10" ht="15.75" x14ac:dyDescent="0.25">
      <c r="A78" s="37"/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2">
      <c r="A79" s="821"/>
    </row>
    <row r="80" spans="1:10" x14ac:dyDescent="0.2">
      <c r="A80" s="821"/>
    </row>
    <row r="81" spans="1:1" x14ac:dyDescent="0.2">
      <c r="A81" s="821"/>
    </row>
    <row r="82" spans="1:1" x14ac:dyDescent="0.2">
      <c r="A82" s="821"/>
    </row>
    <row r="83" spans="1:1" x14ac:dyDescent="0.2">
      <c r="A83" s="821"/>
    </row>
    <row r="84" spans="1:1" x14ac:dyDescent="0.2">
      <c r="A84" s="821"/>
    </row>
    <row r="85" spans="1:1" x14ac:dyDescent="0.2">
      <c r="A85" s="821"/>
    </row>
    <row r="86" spans="1:1" x14ac:dyDescent="0.2">
      <c r="A86" s="821"/>
    </row>
    <row r="87" spans="1:1" x14ac:dyDescent="0.2">
      <c r="A87" s="821"/>
    </row>
    <row r="88" spans="1:1" x14ac:dyDescent="0.2">
      <c r="A88" s="821"/>
    </row>
    <row r="89" spans="1:1" x14ac:dyDescent="0.2">
      <c r="A89" s="821"/>
    </row>
    <row r="90" spans="1:1" x14ac:dyDescent="0.2">
      <c r="A90" s="821"/>
    </row>
    <row r="91" spans="1:1" x14ac:dyDescent="0.2">
      <c r="A91" s="821"/>
    </row>
    <row r="92" spans="1:1" x14ac:dyDescent="0.2">
      <c r="A92" s="821"/>
    </row>
    <row r="93" spans="1:1" x14ac:dyDescent="0.2">
      <c r="A93" s="821"/>
    </row>
    <row r="94" spans="1:1" x14ac:dyDescent="0.2">
      <c r="A94" s="821"/>
    </row>
    <row r="95" spans="1:1" x14ac:dyDescent="0.2">
      <c r="A95" s="821"/>
    </row>
    <row r="96" spans="1:1" x14ac:dyDescent="0.2">
      <c r="A96" s="821"/>
    </row>
    <row r="97" spans="1:1" x14ac:dyDescent="0.2">
      <c r="A97" s="821"/>
    </row>
    <row r="98" spans="1:1" x14ac:dyDescent="0.2">
      <c r="A98" s="821"/>
    </row>
    <row r="99" spans="1:1" x14ac:dyDescent="0.2">
      <c r="A99" s="821"/>
    </row>
    <row r="100" spans="1:1" x14ac:dyDescent="0.2">
      <c r="A100" s="821"/>
    </row>
    <row r="101" spans="1:1" x14ac:dyDescent="0.2">
      <c r="A101" s="821"/>
    </row>
    <row r="102" spans="1:1" x14ac:dyDescent="0.2">
      <c r="A102" s="821"/>
    </row>
    <row r="103" spans="1:1" x14ac:dyDescent="0.2">
      <c r="A103" s="821"/>
    </row>
    <row r="104" spans="1:1" x14ac:dyDescent="0.2">
      <c r="A104" s="821"/>
    </row>
    <row r="105" spans="1:1" x14ac:dyDescent="0.2">
      <c r="A105" s="821"/>
    </row>
    <row r="106" spans="1:1" x14ac:dyDescent="0.2">
      <c r="A106" s="821"/>
    </row>
    <row r="107" spans="1:1" x14ac:dyDescent="0.2">
      <c r="A107" s="821"/>
    </row>
    <row r="108" spans="1:1" x14ac:dyDescent="0.2">
      <c r="A108" s="821"/>
    </row>
    <row r="109" spans="1:1" x14ac:dyDescent="0.2">
      <c r="A109" s="821"/>
    </row>
    <row r="110" spans="1:1" x14ac:dyDescent="0.2">
      <c r="A110" s="821"/>
    </row>
    <row r="111" spans="1:1" x14ac:dyDescent="0.2">
      <c r="A111" s="821"/>
    </row>
    <row r="112" spans="1:1" x14ac:dyDescent="0.2">
      <c r="A112" s="821"/>
    </row>
    <row r="113" spans="1:1" x14ac:dyDescent="0.2">
      <c r="A113" s="821"/>
    </row>
    <row r="114" spans="1:1" x14ac:dyDescent="0.2">
      <c r="A114" s="821"/>
    </row>
    <row r="115" spans="1:1" x14ac:dyDescent="0.2">
      <c r="A115" s="821"/>
    </row>
    <row r="116" spans="1:1" x14ac:dyDescent="0.2">
      <c r="A116" s="821"/>
    </row>
    <row r="117" spans="1:1" x14ac:dyDescent="0.2">
      <c r="A117" s="821"/>
    </row>
    <row r="118" spans="1:1" x14ac:dyDescent="0.2">
      <c r="A118" s="821"/>
    </row>
    <row r="119" spans="1:1" x14ac:dyDescent="0.2">
      <c r="A119" s="821"/>
    </row>
    <row r="120" spans="1:1" x14ac:dyDescent="0.2">
      <c r="A120" s="821"/>
    </row>
    <row r="121" spans="1:1" x14ac:dyDescent="0.2">
      <c r="A121" s="821"/>
    </row>
    <row r="122" spans="1:1" x14ac:dyDescent="0.2">
      <c r="A122" s="821"/>
    </row>
  </sheetData>
  <mergeCells count="1">
    <mergeCell ref="A4:J4"/>
  </mergeCells>
  <printOptions horizontalCentered="1"/>
  <pageMargins left="0.25" right="0.25" top="0.5" bottom="0.5" header="0.25" footer="0.25"/>
  <pageSetup scale="67" orientation="landscape" r:id="rId1"/>
  <headerFooter scaleWithDoc="0" alignWithMargins="0">
    <oddFooter>&amp;L&amp;"Times New Roman,Regular"&amp;F&amp;C&amp;"Times New Roman,Regular"Page 3 of 4&amp;R&amp;"Times New Roman,Regular"&amp;A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122"/>
  <sheetViews>
    <sheetView zoomScale="80" zoomScaleNormal="80" workbookViewId="0">
      <selection activeCell="I46" sqref="I46"/>
    </sheetView>
  </sheetViews>
  <sheetFormatPr defaultColWidth="9.28515625" defaultRowHeight="12.75" x14ac:dyDescent="0.2"/>
  <cols>
    <col min="1" max="1" width="5.5703125" style="242" customWidth="1"/>
    <col min="2" max="2" width="45.5703125" style="242" customWidth="1"/>
    <col min="3" max="8" width="15.5703125" style="242" customWidth="1"/>
    <col min="9" max="9" width="18.5703125" style="242" customWidth="1"/>
    <col min="10" max="10" width="44.140625" style="242" customWidth="1"/>
    <col min="11" max="11" width="5.5703125" style="242" customWidth="1"/>
    <col min="12" max="16384" width="9.28515625" style="242"/>
  </cols>
  <sheetData>
    <row r="2" spans="1:11" ht="15.75" x14ac:dyDescent="0.2">
      <c r="A2" s="5" t="s">
        <v>74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5.75" x14ac:dyDescent="0.2">
      <c r="A3" s="5" t="s">
        <v>46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.75" x14ac:dyDescent="0.2">
      <c r="A4" s="5" t="str">
        <f>'Stmt BG - Page 1'!A4</f>
        <v>Transmission Revenue Balancing Account Adjustment (TRBAA) Revenues Data to Reflect Changed Rates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5.75" x14ac:dyDescent="0.2">
      <c r="A5" s="418" t="str">
        <f>'Stmt BG - Page 1'!A6</f>
        <v>Rate Effective Period - Twelve Months Ending December 31, 2027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6.5" thickBo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15.75" x14ac:dyDescent="0.25">
      <c r="A7" s="75"/>
      <c r="B7" s="75"/>
      <c r="C7" s="567" t="s">
        <v>145</v>
      </c>
      <c r="D7" s="567" t="s">
        <v>146</v>
      </c>
      <c r="E7" s="567" t="s">
        <v>147</v>
      </c>
      <c r="F7" s="567" t="s">
        <v>148</v>
      </c>
      <c r="G7" s="567" t="s">
        <v>149</v>
      </c>
      <c r="H7" s="567" t="s">
        <v>150</v>
      </c>
      <c r="I7" s="567" t="s">
        <v>151</v>
      </c>
      <c r="J7" s="567" t="s">
        <v>152</v>
      </c>
      <c r="K7" s="75"/>
    </row>
    <row r="8" spans="1:11" ht="15.75" x14ac:dyDescent="0.25">
      <c r="A8" s="75" t="s">
        <v>7</v>
      </c>
      <c r="B8" s="75"/>
      <c r="C8" s="568">
        <f>'Stmt BG - Page 2'!C26</f>
        <v>46569</v>
      </c>
      <c r="D8" s="568">
        <f>'Stmt BG - Page 2'!D26</f>
        <v>46600</v>
      </c>
      <c r="E8" s="568">
        <f>'Stmt BG - Page 2'!E26</f>
        <v>46631</v>
      </c>
      <c r="F8" s="568">
        <f>'Stmt BG - Page 2'!F26</f>
        <v>46661</v>
      </c>
      <c r="G8" s="568">
        <f>'Stmt BG - Page 2'!G26</f>
        <v>46692</v>
      </c>
      <c r="H8" s="568">
        <f>'Stmt BG - Page 2'!H26</f>
        <v>46722</v>
      </c>
      <c r="I8" s="568" t="s">
        <v>17</v>
      </c>
      <c r="J8" s="562"/>
      <c r="K8" s="75" t="s">
        <v>7</v>
      </c>
    </row>
    <row r="9" spans="1:11" ht="16.5" thickBot="1" x14ac:dyDescent="0.3">
      <c r="A9" s="153" t="s">
        <v>10</v>
      </c>
      <c r="B9" s="153" t="s">
        <v>82</v>
      </c>
      <c r="C9" s="153" t="s">
        <v>126</v>
      </c>
      <c r="D9" s="153" t="s">
        <v>126</v>
      </c>
      <c r="E9" s="153" t="s">
        <v>126</v>
      </c>
      <c r="F9" s="153" t="s">
        <v>126</v>
      </c>
      <c r="G9" s="153" t="s">
        <v>126</v>
      </c>
      <c r="H9" s="153" t="s">
        <v>126</v>
      </c>
      <c r="I9" s="153" t="s">
        <v>126</v>
      </c>
      <c r="J9" s="153" t="s">
        <v>15</v>
      </c>
      <c r="K9" s="153" t="s">
        <v>10</v>
      </c>
    </row>
    <row r="10" spans="1:11" ht="15.75" x14ac:dyDescent="0.25">
      <c r="A10" s="10"/>
      <c r="B10" s="10"/>
      <c r="C10" s="74"/>
      <c r="D10" s="10"/>
      <c r="E10" s="10"/>
      <c r="F10" s="10"/>
      <c r="G10" s="10"/>
      <c r="H10" s="10"/>
      <c r="I10" s="10"/>
      <c r="J10" s="10"/>
      <c r="K10" s="10"/>
    </row>
    <row r="11" spans="1:11" ht="15.75" x14ac:dyDescent="0.25">
      <c r="A11" s="10">
        <v>1</v>
      </c>
      <c r="B11" s="11" t="s">
        <v>87</v>
      </c>
      <c r="C11" s="31">
        <f>'WP 1.2 Forecast Sales'!I6*1000</f>
        <v>447486447.4460699</v>
      </c>
      <c r="D11" s="31">
        <f>'WP 1.2 Forecast Sales'!J6*1000</f>
        <v>578590610.58834529</v>
      </c>
      <c r="E11" s="31">
        <f>'WP 1.2 Forecast Sales'!K6*1000</f>
        <v>697267967.67281425</v>
      </c>
      <c r="F11" s="31">
        <f>'WP 1.2 Forecast Sales'!L6*1000</f>
        <v>490925761.31075996</v>
      </c>
      <c r="G11" s="31">
        <f>'WP 1.2 Forecast Sales'!M6*1000</f>
        <v>437747490.3859365</v>
      </c>
      <c r="H11" s="31">
        <f>'WP 1.2 Forecast Sales'!N6*1000</f>
        <v>507338965.52355158</v>
      </c>
      <c r="I11" s="31">
        <f>SUM('Stmt BG - Page 3'!C11:H11)+SUM('Stmt BG - Page 4'!C11:H11)</f>
        <v>5701842625.29</v>
      </c>
      <c r="J11" s="399" t="s">
        <v>127</v>
      </c>
      <c r="K11" s="10">
        <v>1</v>
      </c>
    </row>
    <row r="12" spans="1:11" ht="15.75" x14ac:dyDescent="0.25">
      <c r="A12" s="10">
        <f>A11+1</f>
        <v>2</v>
      </c>
      <c r="B12" s="11"/>
      <c r="C12" s="398"/>
      <c r="D12" s="398"/>
      <c r="E12" s="398"/>
      <c r="F12" s="398"/>
      <c r="G12" s="398"/>
      <c r="H12" s="398"/>
      <c r="I12" s="398"/>
      <c r="J12" s="404"/>
      <c r="K12" s="10">
        <f>K11+1</f>
        <v>2</v>
      </c>
    </row>
    <row r="13" spans="1:11" ht="15.75" x14ac:dyDescent="0.25">
      <c r="A13" s="10">
        <f t="shared" ref="A13:A45" si="0">A12+1</f>
        <v>3</v>
      </c>
      <c r="B13" s="11" t="s">
        <v>128</v>
      </c>
      <c r="C13" s="31">
        <f>'WP 1.2 Forecast Sales'!I7*1000</f>
        <v>151843445.90971327</v>
      </c>
      <c r="D13" s="31">
        <f>'WP 1.2 Forecast Sales'!J7*1000</f>
        <v>158329349.74851573</v>
      </c>
      <c r="E13" s="31">
        <f>'WP 1.2 Forecast Sales'!K7*1000</f>
        <v>167213654.35278749</v>
      </c>
      <c r="F13" s="31">
        <f>'WP 1.2 Forecast Sales'!L7*1000</f>
        <v>147326302.59582084</v>
      </c>
      <c r="G13" s="31">
        <f>'WP 1.2 Forecast Sales'!M7*1000</f>
        <v>136911554.3843582</v>
      </c>
      <c r="H13" s="31">
        <f>'WP 1.2 Forecast Sales'!N7*1000</f>
        <v>136792379.22979486</v>
      </c>
      <c r="I13" s="31">
        <f>SUM('Stmt BG - Page 3'!C13:H13)+SUM('Stmt BG - Page 4'!C13:H13)</f>
        <v>1716028948.75929</v>
      </c>
      <c r="J13" s="399" t="s">
        <v>129</v>
      </c>
      <c r="K13" s="10">
        <f t="shared" ref="K13:K45" si="1">K12+1</f>
        <v>3</v>
      </c>
    </row>
    <row r="14" spans="1:11" ht="15.75" x14ac:dyDescent="0.25">
      <c r="A14" s="10">
        <f t="shared" si="0"/>
        <v>4</v>
      </c>
      <c r="B14" s="385"/>
      <c r="C14" s="393"/>
      <c r="D14" s="393"/>
      <c r="E14" s="393"/>
      <c r="F14" s="393"/>
      <c r="G14" s="393"/>
      <c r="H14" s="393"/>
      <c r="I14" s="31"/>
      <c r="J14" s="407"/>
      <c r="K14" s="10">
        <f t="shared" si="1"/>
        <v>4</v>
      </c>
    </row>
    <row r="15" spans="1:11" ht="15.75" x14ac:dyDescent="0.25">
      <c r="A15" s="10">
        <f t="shared" si="0"/>
        <v>5</v>
      </c>
      <c r="B15" s="17" t="s">
        <v>93</v>
      </c>
      <c r="C15" s="31">
        <f>'WP 1.2 Forecast Sales'!I8*1000</f>
        <v>859418181.45874178</v>
      </c>
      <c r="D15" s="31">
        <f>'WP 1.2 Forecast Sales'!J8*1000</f>
        <v>891352849.97691405</v>
      </c>
      <c r="E15" s="31">
        <f>'WP 1.2 Forecast Sales'!K8*1000</f>
        <v>944052274.49335873</v>
      </c>
      <c r="F15" s="31">
        <f>'WP 1.2 Forecast Sales'!L8*1000</f>
        <v>863722072.83452904</v>
      </c>
      <c r="G15" s="31">
        <f>'WP 1.2 Forecast Sales'!M8*1000</f>
        <v>801476618.07773983</v>
      </c>
      <c r="H15" s="31">
        <f>'WP 1.2 Forecast Sales'!N8*1000</f>
        <v>781425167.40657032</v>
      </c>
      <c r="I15" s="31">
        <f>SUM('Stmt BG - Page 3'!C15:H15)+SUM('Stmt BG - Page 4'!C15:H15)</f>
        <v>9644826813.6741066</v>
      </c>
      <c r="J15" s="399" t="s">
        <v>130</v>
      </c>
      <c r="K15" s="10">
        <f t="shared" si="1"/>
        <v>5</v>
      </c>
    </row>
    <row r="16" spans="1:11" ht="15.75" x14ac:dyDescent="0.25">
      <c r="A16" s="10">
        <f t="shared" si="0"/>
        <v>6</v>
      </c>
      <c r="B16" s="11"/>
      <c r="C16" s="31"/>
      <c r="D16" s="31"/>
      <c r="E16" s="31"/>
      <c r="F16" s="31"/>
      <c r="G16" s="31"/>
      <c r="H16" s="31"/>
      <c r="I16" s="31"/>
      <c r="J16" s="34"/>
      <c r="K16" s="10">
        <f t="shared" si="1"/>
        <v>6</v>
      </c>
    </row>
    <row r="17" spans="1:11" ht="15.75" x14ac:dyDescent="0.25">
      <c r="A17" s="10">
        <f t="shared" si="0"/>
        <v>7</v>
      </c>
      <c r="B17" s="11" t="s">
        <v>96</v>
      </c>
      <c r="C17" s="31">
        <f>'WP 1.2 Forecast Sales'!I10*1000</f>
        <v>22099864.125682816</v>
      </c>
      <c r="D17" s="31">
        <f>'WP 1.2 Forecast Sales'!J10*1000</f>
        <v>23824802.490228191</v>
      </c>
      <c r="E17" s="31">
        <f>'WP 1.2 Forecast Sales'!K10*1000</f>
        <v>23812412.862468772</v>
      </c>
      <c r="F17" s="31">
        <f>'WP 1.2 Forecast Sales'!L10*1000</f>
        <v>21365681.930847757</v>
      </c>
      <c r="G17" s="31">
        <f>'WP 1.2 Forecast Sales'!M10*1000</f>
        <v>18296413.671310533</v>
      </c>
      <c r="H17" s="31">
        <f>'WP 1.2 Forecast Sales'!N10*1000</f>
        <v>16524176.177242862</v>
      </c>
      <c r="I17" s="31">
        <f>SUM('Stmt BG - Page 3'!C17:H17)+SUM('Stmt BG - Page 4'!C17:H17)</f>
        <v>210564658.84252653</v>
      </c>
      <c r="J17" s="399" t="s">
        <v>131</v>
      </c>
      <c r="K17" s="10">
        <f t="shared" si="1"/>
        <v>7</v>
      </c>
    </row>
    <row r="18" spans="1:11" ht="15.75" x14ac:dyDescent="0.25">
      <c r="A18" s="10">
        <f t="shared" si="0"/>
        <v>8</v>
      </c>
      <c r="B18" s="11"/>
      <c r="C18" s="31"/>
      <c r="D18" s="31"/>
      <c r="E18" s="31"/>
      <c r="F18" s="31"/>
      <c r="G18" s="31"/>
      <c r="H18" s="31"/>
      <c r="I18" s="31"/>
      <c r="J18" s="34"/>
      <c r="K18" s="10">
        <f t="shared" si="1"/>
        <v>8</v>
      </c>
    </row>
    <row r="19" spans="1:11" ht="15.75" x14ac:dyDescent="0.25">
      <c r="A19" s="10">
        <f t="shared" si="0"/>
        <v>9</v>
      </c>
      <c r="B19" s="11" t="s">
        <v>99</v>
      </c>
      <c r="C19" s="31">
        <f>'WP 1.2 Forecast Sales'!I11*1000</f>
        <v>15724699.384545723</v>
      </c>
      <c r="D19" s="31">
        <f>'WP 1.2 Forecast Sales'!J11*1000</f>
        <v>15624734.934563439</v>
      </c>
      <c r="E19" s="31">
        <f>'WP 1.2 Forecast Sales'!K11*1000</f>
        <v>15600769.883308398</v>
      </c>
      <c r="F19" s="31">
        <f>'WP 1.2 Forecast Sales'!L11*1000</f>
        <v>14881191.396330534</v>
      </c>
      <c r="G19" s="31">
        <f>'WP 1.2 Forecast Sales'!M11*1000</f>
        <v>13690472.960480517</v>
      </c>
      <c r="H19" s="31">
        <f>'WP 1.2 Forecast Sales'!N11*1000</f>
        <v>12366034.940058453</v>
      </c>
      <c r="I19" s="31">
        <f>SUM('Stmt BG - Page 3'!C19:H19)+SUM('Stmt BG - Page 4'!C19:H19)</f>
        <v>164490555.8193737</v>
      </c>
      <c r="J19" s="399" t="s">
        <v>132</v>
      </c>
      <c r="K19" s="10">
        <f t="shared" si="1"/>
        <v>9</v>
      </c>
    </row>
    <row r="20" spans="1:11" ht="15.75" x14ac:dyDescent="0.25">
      <c r="A20" s="10">
        <f t="shared" si="0"/>
        <v>10</v>
      </c>
      <c r="B20" s="11"/>
      <c r="C20" s="31"/>
      <c r="D20" s="31"/>
      <c r="E20" s="31"/>
      <c r="F20" s="31"/>
      <c r="G20" s="31"/>
      <c r="H20" s="31"/>
      <c r="I20" s="31"/>
      <c r="J20" s="34"/>
      <c r="K20" s="10">
        <f t="shared" si="1"/>
        <v>10</v>
      </c>
    </row>
    <row r="21" spans="1:11" ht="15.75" x14ac:dyDescent="0.25">
      <c r="A21" s="10">
        <f t="shared" si="0"/>
        <v>11</v>
      </c>
      <c r="B21" s="11" t="s">
        <v>133</v>
      </c>
      <c r="C21" s="38">
        <f>'WP 1.2 Forecast Sales'!I12*1000</f>
        <v>6230200.184444272</v>
      </c>
      <c r="D21" s="38">
        <f>'WP 1.2 Forecast Sales'!J12*1000</f>
        <v>6462615.5698103625</v>
      </c>
      <c r="E21" s="38">
        <f>'WP 1.2 Forecast Sales'!K12*1000</f>
        <v>6203566.78509886</v>
      </c>
      <c r="F21" s="38">
        <f>'WP 1.2 Forecast Sales'!L12*1000</f>
        <v>6483806.1853456227</v>
      </c>
      <c r="G21" s="38">
        <f>'WP 1.2 Forecast Sales'!M12*1000</f>
        <v>6805735.5814922359</v>
      </c>
      <c r="H21" s="38">
        <f>'WP 1.2 Forecast Sales'!N12*1000</f>
        <v>6823517.9044101126</v>
      </c>
      <c r="I21" s="38">
        <f>SUM('Stmt BG - Page 3'!C21:H21)+SUM('Stmt BG - Page 4'!C21:H21)</f>
        <v>77683879.859560966</v>
      </c>
      <c r="J21" s="399" t="s">
        <v>134</v>
      </c>
      <c r="K21" s="10">
        <f t="shared" si="1"/>
        <v>11</v>
      </c>
    </row>
    <row r="22" spans="1:11" ht="15.75" x14ac:dyDescent="0.25">
      <c r="A22" s="10">
        <f t="shared" si="0"/>
        <v>12</v>
      </c>
      <c r="B22" s="11"/>
      <c r="C22" s="31"/>
      <c r="D22" s="31"/>
      <c r="E22" s="31"/>
      <c r="F22" s="31"/>
      <c r="G22" s="31"/>
      <c r="H22" s="31"/>
      <c r="I22" s="31"/>
      <c r="J22" s="404"/>
      <c r="K22" s="10">
        <f t="shared" si="1"/>
        <v>12</v>
      </c>
    </row>
    <row r="23" spans="1:11" ht="16.5" thickBot="1" x14ac:dyDescent="0.3">
      <c r="A23" s="10">
        <f t="shared" si="0"/>
        <v>13</v>
      </c>
      <c r="B23" s="11" t="s">
        <v>153</v>
      </c>
      <c r="C23" s="474">
        <f>SUM(C11:C21)</f>
        <v>1502802838.509198</v>
      </c>
      <c r="D23" s="474">
        <f t="shared" ref="D23:I23" si="2">SUM(D11:D21)</f>
        <v>1674184963.308377</v>
      </c>
      <c r="E23" s="474">
        <f t="shared" si="2"/>
        <v>1854150646.0498364</v>
      </c>
      <c r="F23" s="474">
        <f t="shared" si="2"/>
        <v>1544704816.2536337</v>
      </c>
      <c r="G23" s="474">
        <f t="shared" si="2"/>
        <v>1414928285.0613174</v>
      </c>
      <c r="H23" s="474">
        <f t="shared" si="2"/>
        <v>1461270241.1816282</v>
      </c>
      <c r="I23" s="474">
        <f t="shared" si="2"/>
        <v>17515437482.244858</v>
      </c>
      <c r="J23" s="399" t="s">
        <v>135</v>
      </c>
      <c r="K23" s="10">
        <f t="shared" si="1"/>
        <v>13</v>
      </c>
    </row>
    <row r="24" spans="1:11" ht="17.25" thickTop="1" thickBot="1" x14ac:dyDescent="0.3">
      <c r="A24" s="57">
        <f t="shared" si="0"/>
        <v>14</v>
      </c>
      <c r="B24" s="419"/>
      <c r="C24" s="820"/>
      <c r="D24" s="58"/>
      <c r="E24" s="58"/>
      <c r="F24" s="58"/>
      <c r="G24" s="58"/>
      <c r="H24" s="58"/>
      <c r="I24" s="58"/>
      <c r="J24" s="58"/>
      <c r="K24" s="57">
        <f t="shared" si="1"/>
        <v>14</v>
      </c>
    </row>
    <row r="25" spans="1:11" ht="15.75" x14ac:dyDescent="0.25">
      <c r="A25" s="10">
        <f t="shared" si="0"/>
        <v>15</v>
      </c>
      <c r="B25" s="420"/>
      <c r="C25" s="408"/>
      <c r="D25" s="408"/>
      <c r="E25" s="408"/>
      <c r="F25" s="408"/>
      <c r="G25" s="408"/>
      <c r="H25" s="408"/>
      <c r="I25" s="408"/>
      <c r="J25" s="408"/>
      <c r="K25" s="10">
        <f t="shared" si="1"/>
        <v>15</v>
      </c>
    </row>
    <row r="26" spans="1:11" ht="16.5" thickBot="1" x14ac:dyDescent="0.3">
      <c r="A26" s="57">
        <f>A25+1</f>
        <v>16</v>
      </c>
      <c r="B26" s="419"/>
      <c r="C26" s="57" t="s">
        <v>136</v>
      </c>
      <c r="D26" s="57" t="s">
        <v>136</v>
      </c>
      <c r="E26" s="57" t="s">
        <v>136</v>
      </c>
      <c r="F26" s="57" t="s">
        <v>136</v>
      </c>
      <c r="G26" s="57" t="s">
        <v>136</v>
      </c>
      <c r="H26" s="57" t="s">
        <v>136</v>
      </c>
      <c r="I26" s="57"/>
      <c r="J26" s="57"/>
      <c r="K26" s="57">
        <f>K25+1</f>
        <v>16</v>
      </c>
    </row>
    <row r="27" spans="1:11" ht="15.75" x14ac:dyDescent="0.25">
      <c r="A27" s="10">
        <f t="shared" si="0"/>
        <v>17</v>
      </c>
      <c r="B27" s="11"/>
      <c r="C27" s="75"/>
      <c r="D27" s="10"/>
      <c r="E27" s="10"/>
      <c r="F27" s="10"/>
      <c r="G27" s="10"/>
      <c r="H27" s="10"/>
      <c r="I27" s="10"/>
      <c r="J27" s="10"/>
      <c r="K27" s="10">
        <f t="shared" si="1"/>
        <v>17</v>
      </c>
    </row>
    <row r="28" spans="1:11" ht="15.75" x14ac:dyDescent="0.25">
      <c r="A28" s="10">
        <f t="shared" si="0"/>
        <v>18</v>
      </c>
      <c r="B28" s="11" t="str">
        <f>'Stmt BG - Page 3'!B28</f>
        <v>Non-CAISO TRBAA Rate ($/kWh) @ Changed Rate</v>
      </c>
      <c r="C28" s="384">
        <f>'Stmt BG - Page 3'!C28</f>
        <v>-3.2499999999999999E-3</v>
      </c>
      <c r="D28" s="384">
        <f>$C28</f>
        <v>-3.2499999999999999E-3</v>
      </c>
      <c r="E28" s="384">
        <f>$C28</f>
        <v>-3.2499999999999999E-3</v>
      </c>
      <c r="F28" s="384">
        <f>$C28</f>
        <v>-3.2499999999999999E-3</v>
      </c>
      <c r="G28" s="384">
        <f>$C28</f>
        <v>-3.2499999999999999E-3</v>
      </c>
      <c r="H28" s="384">
        <f>$C28</f>
        <v>-3.2499999999999999E-3</v>
      </c>
      <c r="I28" s="31"/>
      <c r="J28" s="402" t="str">
        <f>'Stmt BG - Page 3'!I28</f>
        <v>Statement BL (Non-CAISO); Page 1; Line 27</v>
      </c>
      <c r="K28" s="10">
        <f t="shared" si="1"/>
        <v>18</v>
      </c>
    </row>
    <row r="29" spans="1:11" ht="16.5" thickBot="1" x14ac:dyDescent="0.3">
      <c r="A29" s="57">
        <f>A28+1</f>
        <v>19</v>
      </c>
      <c r="B29" s="419"/>
      <c r="C29" s="58"/>
      <c r="D29" s="58"/>
      <c r="E29" s="58"/>
      <c r="F29" s="58"/>
      <c r="G29" s="58"/>
      <c r="H29" s="58"/>
      <c r="I29" s="58"/>
      <c r="J29" s="58"/>
      <c r="K29" s="57">
        <f>K28+1</f>
        <v>19</v>
      </c>
    </row>
    <row r="30" spans="1:11" ht="15.75" x14ac:dyDescent="0.25">
      <c r="A30" s="10">
        <f t="shared" si="0"/>
        <v>20</v>
      </c>
      <c r="B30" s="11"/>
      <c r="C30" s="17"/>
      <c r="D30" s="17"/>
      <c r="E30" s="17"/>
      <c r="F30" s="17"/>
      <c r="G30" s="17"/>
      <c r="H30" s="17"/>
      <c r="I30" s="17"/>
      <c r="J30" s="17"/>
      <c r="K30" s="10">
        <f t="shared" si="1"/>
        <v>20</v>
      </c>
    </row>
    <row r="31" spans="1:11" ht="34.5" customHeight="1" thickBot="1" x14ac:dyDescent="0.3">
      <c r="A31" s="57">
        <f t="shared" si="0"/>
        <v>21</v>
      </c>
      <c r="B31" s="419"/>
      <c r="C31" s="403" t="s">
        <v>137</v>
      </c>
      <c r="D31" s="403" t="s">
        <v>137</v>
      </c>
      <c r="E31" s="403" t="s">
        <v>137</v>
      </c>
      <c r="F31" s="403" t="s">
        <v>137</v>
      </c>
      <c r="G31" s="403" t="s">
        <v>137</v>
      </c>
      <c r="H31" s="403" t="s">
        <v>137</v>
      </c>
      <c r="I31" s="403" t="s">
        <v>137</v>
      </c>
      <c r="J31" s="57"/>
      <c r="K31" s="57">
        <f t="shared" si="1"/>
        <v>21</v>
      </c>
    </row>
    <row r="32" spans="1:11" ht="15.75" x14ac:dyDescent="0.25">
      <c r="A32" s="10">
        <f t="shared" si="0"/>
        <v>22</v>
      </c>
      <c r="B32" s="11"/>
      <c r="C32" s="10"/>
      <c r="D32" s="10"/>
      <c r="E32" s="10"/>
      <c r="F32" s="10"/>
      <c r="G32" s="10"/>
      <c r="H32" s="10"/>
      <c r="I32" s="10"/>
      <c r="J32" s="74"/>
      <c r="K32" s="10">
        <f t="shared" si="1"/>
        <v>22</v>
      </c>
    </row>
    <row r="33" spans="1:11" ht="15.75" x14ac:dyDescent="0.25">
      <c r="A33" s="10">
        <f t="shared" si="0"/>
        <v>23</v>
      </c>
      <c r="B33" s="11" t="s">
        <v>87</v>
      </c>
      <c r="C33" s="141">
        <f>C11*C$28</f>
        <v>-1454330.9541997272</v>
      </c>
      <c r="D33" s="141">
        <f t="shared" ref="D33:H33" si="3">D11*D$28</f>
        <v>-1880419.4844121221</v>
      </c>
      <c r="E33" s="141">
        <f t="shared" si="3"/>
        <v>-2266120.8949366463</v>
      </c>
      <c r="F33" s="141">
        <f t="shared" si="3"/>
        <v>-1595508.7242599698</v>
      </c>
      <c r="G33" s="141">
        <f t="shared" si="3"/>
        <v>-1422679.3437542936</v>
      </c>
      <c r="H33" s="141">
        <f t="shared" si="3"/>
        <v>-1648851.6379515426</v>
      </c>
      <c r="I33" s="141">
        <f>SUM('Stmt BG - Page 3'!C33:H33)+SUM('Stmt BG - Page 4'!C33:H33)</f>
        <v>-18530988.532192502</v>
      </c>
      <c r="J33" s="26" t="s">
        <v>138</v>
      </c>
      <c r="K33" s="10">
        <f t="shared" si="1"/>
        <v>23</v>
      </c>
    </row>
    <row r="34" spans="1:11" ht="15.75" x14ac:dyDescent="0.25">
      <c r="A34" s="10">
        <f t="shared" si="0"/>
        <v>24</v>
      </c>
      <c r="B34" s="11"/>
      <c r="C34" s="398"/>
      <c r="D34" s="398"/>
      <c r="E34" s="398"/>
      <c r="F34" s="398"/>
      <c r="G34" s="398"/>
      <c r="H34" s="398"/>
      <c r="I34" s="398"/>
      <c r="J34" s="404"/>
      <c r="K34" s="10">
        <f t="shared" si="1"/>
        <v>24</v>
      </c>
    </row>
    <row r="35" spans="1:11" ht="15.75" x14ac:dyDescent="0.25">
      <c r="A35" s="10">
        <f t="shared" si="0"/>
        <v>25</v>
      </c>
      <c r="B35" s="11" t="s">
        <v>128</v>
      </c>
      <c r="C35" s="44">
        <f>C13*C$28</f>
        <v>-493491.19920656813</v>
      </c>
      <c r="D35" s="44">
        <f t="shared" ref="D35:H35" si="4">D13*D$28</f>
        <v>-514570.38668267609</v>
      </c>
      <c r="E35" s="44">
        <f t="shared" si="4"/>
        <v>-543444.37664655934</v>
      </c>
      <c r="F35" s="44">
        <f t="shared" si="4"/>
        <v>-478810.48343641771</v>
      </c>
      <c r="G35" s="44">
        <f t="shared" si="4"/>
        <v>-444962.55174916412</v>
      </c>
      <c r="H35" s="44">
        <f t="shared" si="4"/>
        <v>-444575.23249683325</v>
      </c>
      <c r="I35" s="44">
        <f>SUM('Stmt BG - Page 3'!C35:H35)+SUM('Stmt BG - Page 4'!C35:H35)</f>
        <v>-5577094.0834676921</v>
      </c>
      <c r="J35" s="26" t="s">
        <v>139</v>
      </c>
      <c r="K35" s="10">
        <f t="shared" si="1"/>
        <v>25</v>
      </c>
    </row>
    <row r="36" spans="1:11" ht="15.75" x14ac:dyDescent="0.25">
      <c r="A36" s="10">
        <f t="shared" si="0"/>
        <v>26</v>
      </c>
      <c r="B36" s="385"/>
      <c r="C36" s="393"/>
      <c r="D36" s="393"/>
      <c r="E36" s="393"/>
      <c r="F36" s="393"/>
      <c r="G36" s="393"/>
      <c r="H36" s="393"/>
      <c r="I36" s="44"/>
      <c r="J36" s="26"/>
      <c r="K36" s="10">
        <f t="shared" si="1"/>
        <v>26</v>
      </c>
    </row>
    <row r="37" spans="1:11" ht="15.75" x14ac:dyDescent="0.25">
      <c r="A37" s="10">
        <f t="shared" si="0"/>
        <v>27</v>
      </c>
      <c r="B37" s="17" t="s">
        <v>93</v>
      </c>
      <c r="C37" s="44">
        <f>C15*C$28</f>
        <v>-2793109.0897409106</v>
      </c>
      <c r="D37" s="44">
        <f t="shared" ref="D37:H37" si="5">D15*D$28</f>
        <v>-2896896.7624249705</v>
      </c>
      <c r="E37" s="44">
        <f t="shared" si="5"/>
        <v>-3068169.8921034159</v>
      </c>
      <c r="F37" s="44">
        <f t="shared" si="5"/>
        <v>-2807096.7367122192</v>
      </c>
      <c r="G37" s="44">
        <f t="shared" si="5"/>
        <v>-2604799.0087526543</v>
      </c>
      <c r="H37" s="44">
        <f t="shared" si="5"/>
        <v>-2539631.7940713535</v>
      </c>
      <c r="I37" s="44">
        <f>SUM('Stmt BG - Page 3'!C37:H37)+SUM('Stmt BG - Page 4'!C37:H37)</f>
        <v>-31345687.144440845</v>
      </c>
      <c r="J37" s="26" t="s">
        <v>140</v>
      </c>
      <c r="K37" s="10">
        <f t="shared" si="1"/>
        <v>27</v>
      </c>
    </row>
    <row r="38" spans="1:11" ht="15.75" x14ac:dyDescent="0.25">
      <c r="A38" s="10">
        <f t="shared" si="0"/>
        <v>28</v>
      </c>
      <c r="B38" s="11"/>
      <c r="C38" s="44"/>
      <c r="D38" s="44"/>
      <c r="E38" s="44"/>
      <c r="F38" s="44"/>
      <c r="G38" s="44"/>
      <c r="H38" s="44"/>
      <c r="I38" s="44"/>
      <c r="J38" s="26"/>
      <c r="K38" s="10">
        <f t="shared" si="1"/>
        <v>28</v>
      </c>
    </row>
    <row r="39" spans="1:11" ht="15.75" x14ac:dyDescent="0.25">
      <c r="A39" s="10">
        <f t="shared" si="0"/>
        <v>29</v>
      </c>
      <c r="B39" s="11" t="s">
        <v>96</v>
      </c>
      <c r="C39" s="44">
        <f>C17*C$28</f>
        <v>-71824.558408469151</v>
      </c>
      <c r="D39" s="44">
        <f t="shared" ref="D39:H39" si="6">D17*D$28</f>
        <v>-77430.608093241623</v>
      </c>
      <c r="E39" s="44">
        <f t="shared" si="6"/>
        <v>-77390.341803023504</v>
      </c>
      <c r="F39" s="44">
        <f t="shared" si="6"/>
        <v>-69438.46627525521</v>
      </c>
      <c r="G39" s="44">
        <f t="shared" si="6"/>
        <v>-59463.344431759229</v>
      </c>
      <c r="H39" s="44">
        <f t="shared" si="6"/>
        <v>-53703.572576039296</v>
      </c>
      <c r="I39" s="44">
        <f>SUM('Stmt BG - Page 3'!C39:H39)+SUM('Stmt BG - Page 4'!C39:H39)</f>
        <v>-684335.14123821119</v>
      </c>
      <c r="J39" s="26" t="s">
        <v>141</v>
      </c>
      <c r="K39" s="10">
        <f t="shared" si="1"/>
        <v>29</v>
      </c>
    </row>
    <row r="40" spans="1:11" ht="15.75" x14ac:dyDescent="0.25">
      <c r="A40" s="10">
        <f t="shared" si="0"/>
        <v>30</v>
      </c>
      <c r="B40" s="11"/>
      <c r="C40" s="44"/>
      <c r="D40" s="44"/>
      <c r="E40" s="44"/>
      <c r="F40" s="44"/>
      <c r="G40" s="44"/>
      <c r="H40" s="44"/>
      <c r="I40" s="44"/>
      <c r="J40" s="26"/>
      <c r="K40" s="10">
        <f t="shared" si="1"/>
        <v>30</v>
      </c>
    </row>
    <row r="41" spans="1:11" ht="15.75" x14ac:dyDescent="0.25">
      <c r="A41" s="10">
        <f t="shared" si="0"/>
        <v>31</v>
      </c>
      <c r="B41" s="11" t="s">
        <v>99</v>
      </c>
      <c r="C41" s="44">
        <f>C19*C$28</f>
        <v>-51105.272999773595</v>
      </c>
      <c r="D41" s="44">
        <f t="shared" ref="D41:H41" si="7">D19*D$28</f>
        <v>-50780.388537331179</v>
      </c>
      <c r="E41" s="44">
        <f t="shared" si="7"/>
        <v>-50702.502120752288</v>
      </c>
      <c r="F41" s="44">
        <f t="shared" si="7"/>
        <v>-48363.872038074231</v>
      </c>
      <c r="G41" s="44">
        <f t="shared" si="7"/>
        <v>-44494.037121561676</v>
      </c>
      <c r="H41" s="44">
        <f t="shared" si="7"/>
        <v>-40189.613555189972</v>
      </c>
      <c r="I41" s="44">
        <f>SUM('Stmt BG - Page 3'!C41:H41)+SUM('Stmt BG - Page 4'!C41:H41)</f>
        <v>-534594.30641296436</v>
      </c>
      <c r="J41" s="26" t="s">
        <v>142</v>
      </c>
      <c r="K41" s="10">
        <f t="shared" si="1"/>
        <v>31</v>
      </c>
    </row>
    <row r="42" spans="1:11" ht="15.75" x14ac:dyDescent="0.25">
      <c r="A42" s="10">
        <f t="shared" si="0"/>
        <v>32</v>
      </c>
      <c r="B42" s="11"/>
      <c r="C42" s="44"/>
      <c r="D42" s="44"/>
      <c r="E42" s="44"/>
      <c r="F42" s="44"/>
      <c r="G42" s="44"/>
      <c r="H42" s="44"/>
      <c r="I42" s="44"/>
      <c r="J42" s="26"/>
      <c r="K42" s="10">
        <f t="shared" si="1"/>
        <v>32</v>
      </c>
    </row>
    <row r="43" spans="1:11" ht="15.75" x14ac:dyDescent="0.25">
      <c r="A43" s="10">
        <f t="shared" si="0"/>
        <v>33</v>
      </c>
      <c r="B43" s="11" t="s">
        <v>133</v>
      </c>
      <c r="C43" s="51">
        <f>C21*C$28</f>
        <v>-20248.150599443881</v>
      </c>
      <c r="D43" s="51">
        <f t="shared" ref="D43:H43" si="8">D21*D$28</f>
        <v>-21003.500601883676</v>
      </c>
      <c r="E43" s="51">
        <f t="shared" si="8"/>
        <v>-20161.592051571293</v>
      </c>
      <c r="F43" s="51">
        <f t="shared" si="8"/>
        <v>-21072.370102373272</v>
      </c>
      <c r="G43" s="51">
        <f t="shared" si="8"/>
        <v>-22118.640639849764</v>
      </c>
      <c r="H43" s="51">
        <f t="shared" si="8"/>
        <v>-22176.433189332864</v>
      </c>
      <c r="I43" s="44">
        <f>SUM('Stmt BG - Page 3'!C43:H43)+SUM('Stmt BG - Page 4'!C43:H43)</f>
        <v>-252472.60954357311</v>
      </c>
      <c r="J43" s="26" t="s">
        <v>143</v>
      </c>
      <c r="K43" s="10">
        <f t="shared" si="1"/>
        <v>33</v>
      </c>
    </row>
    <row r="44" spans="1:11" ht="15.75" x14ac:dyDescent="0.25">
      <c r="A44" s="10">
        <f t="shared" si="0"/>
        <v>34</v>
      </c>
      <c r="B44" s="11"/>
      <c r="C44" s="475"/>
      <c r="D44" s="475"/>
      <c r="E44" s="475"/>
      <c r="F44" s="475"/>
      <c r="G44" s="475"/>
      <c r="H44" s="475"/>
      <c r="I44" s="475"/>
      <c r="J44" s="26"/>
      <c r="K44" s="10">
        <f t="shared" si="1"/>
        <v>34</v>
      </c>
    </row>
    <row r="45" spans="1:11" ht="15.75" x14ac:dyDescent="0.25">
      <c r="A45" s="10">
        <f t="shared" si="0"/>
        <v>35</v>
      </c>
      <c r="B45" s="11" t="s">
        <v>153</v>
      </c>
      <c r="C45" s="513">
        <f>SUM(C33:C43)</f>
        <v>-4884109.2251548925</v>
      </c>
      <c r="D45" s="513">
        <f t="shared" ref="D45:I45" si="9">SUM(D33:D43)</f>
        <v>-5441101.1307522254</v>
      </c>
      <c r="E45" s="513">
        <f t="shared" si="9"/>
        <v>-6025989.5996619686</v>
      </c>
      <c r="F45" s="513">
        <f t="shared" si="9"/>
        <v>-5020290.6528243087</v>
      </c>
      <c r="G45" s="513">
        <f t="shared" si="9"/>
        <v>-4598516.9264492821</v>
      </c>
      <c r="H45" s="513">
        <f t="shared" si="9"/>
        <v>-4749128.2838402912</v>
      </c>
      <c r="I45" s="513">
        <f t="shared" si="9"/>
        <v>-56925171.81729579</v>
      </c>
      <c r="J45" s="405" t="s">
        <v>144</v>
      </c>
      <c r="K45" s="10">
        <f t="shared" si="1"/>
        <v>35</v>
      </c>
    </row>
    <row r="46" spans="1:11" ht="16.5" thickBot="1" x14ac:dyDescent="0.3">
      <c r="A46" s="57"/>
      <c r="B46" s="57"/>
      <c r="C46" s="820"/>
      <c r="D46" s="58"/>
      <c r="E46" s="58"/>
      <c r="F46" s="58"/>
      <c r="G46" s="58"/>
      <c r="H46" s="58"/>
      <c r="I46" s="58"/>
      <c r="J46" s="58"/>
      <c r="K46" s="57"/>
    </row>
    <row r="47" spans="1:11" ht="15.75" x14ac:dyDescent="0.25">
      <c r="A47" s="37"/>
      <c r="B47" s="390"/>
      <c r="C47" s="22"/>
      <c r="D47" s="22"/>
      <c r="E47" s="22"/>
      <c r="F47" s="22"/>
      <c r="G47" s="22"/>
      <c r="H47" s="22"/>
      <c r="I47" s="22"/>
      <c r="J47" s="22"/>
      <c r="K47" s="22"/>
    </row>
    <row r="48" spans="1:11" ht="18.75" x14ac:dyDescent="0.25">
      <c r="A48" s="69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15.75" x14ac:dyDescent="0.25">
      <c r="A49" s="821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5.75" x14ac:dyDescent="0.25">
      <c r="A50" s="821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5.75" x14ac:dyDescent="0.25">
      <c r="A51" s="37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5.75" x14ac:dyDescent="0.25">
      <c r="A52" s="37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5.75" x14ac:dyDescent="0.25">
      <c r="A53" s="37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5.75" x14ac:dyDescent="0.25">
      <c r="A54" s="37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5.75" x14ac:dyDescent="0.25">
      <c r="A55" s="37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5.75" x14ac:dyDescent="0.25">
      <c r="A56" s="37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5.75" x14ac:dyDescent="0.25">
      <c r="A57" s="37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5.75" x14ac:dyDescent="0.25">
      <c r="A58" s="37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5.75" x14ac:dyDescent="0.25">
      <c r="A59" s="37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5.75" x14ac:dyDescent="0.25">
      <c r="A60" s="37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5.75" x14ac:dyDescent="0.25">
      <c r="A61" s="37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5.75" x14ac:dyDescent="0.25">
      <c r="A62" s="37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.75" x14ac:dyDescent="0.25">
      <c r="A63" s="37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5.75" x14ac:dyDescent="0.25">
      <c r="A64" s="37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5.75" x14ac:dyDescent="0.25">
      <c r="A65" s="37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5.75" x14ac:dyDescent="0.25">
      <c r="A66" s="37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5.75" x14ac:dyDescent="0.25">
      <c r="A67" s="37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5.75" x14ac:dyDescent="0.25">
      <c r="A68" s="37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5.75" x14ac:dyDescent="0.25">
      <c r="A69" s="37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5.75" x14ac:dyDescent="0.25">
      <c r="A70" s="37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5.75" x14ac:dyDescent="0.25">
      <c r="A71" s="37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5.75" x14ac:dyDescent="0.25">
      <c r="A72" s="37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5.75" x14ac:dyDescent="0.25">
      <c r="A73" s="37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5.75" x14ac:dyDescent="0.25">
      <c r="A74" s="37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5.75" x14ac:dyDescent="0.25">
      <c r="A75" s="37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5.75" x14ac:dyDescent="0.25">
      <c r="A76" s="37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5.75" x14ac:dyDescent="0.25">
      <c r="A77" s="37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5.75" x14ac:dyDescent="0.25">
      <c r="A78" s="37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5.75" x14ac:dyDescent="0.25">
      <c r="A79" s="37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15.75" x14ac:dyDescent="0.25">
      <c r="A80" s="37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15.75" x14ac:dyDescent="0.25">
      <c r="A81" s="37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15.75" x14ac:dyDescent="0.25">
      <c r="A82" s="37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15.75" x14ac:dyDescent="0.25">
      <c r="A83" s="37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5.75" x14ac:dyDescent="0.25">
      <c r="A84" s="37"/>
      <c r="B84" s="22"/>
      <c r="C84" s="22"/>
      <c r="D84" s="22"/>
      <c r="E84" s="22"/>
      <c r="F84" s="22"/>
      <c r="G84" s="22"/>
      <c r="H84" s="22"/>
      <c r="I84" s="22"/>
      <c r="J84" s="22"/>
      <c r="K84" s="22"/>
    </row>
    <row r="85" spans="1:11" ht="15.75" x14ac:dyDescent="0.25">
      <c r="A85" s="37"/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6" spans="1:11" ht="15.75" x14ac:dyDescent="0.25">
      <c r="A86" s="37"/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ht="15.75" x14ac:dyDescent="0.25">
      <c r="A87" s="37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spans="1:11" ht="15.75" x14ac:dyDescent="0.25">
      <c r="A88" s="37"/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11" ht="15.75" x14ac:dyDescent="0.25">
      <c r="A89" s="37"/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pans="1:11" ht="15.75" x14ac:dyDescent="0.25">
      <c r="A90" s="37"/>
      <c r="B90" s="22"/>
      <c r="C90" s="22"/>
      <c r="D90" s="22"/>
      <c r="E90" s="22"/>
      <c r="F90" s="22"/>
      <c r="G90" s="22"/>
      <c r="H90" s="22"/>
      <c r="I90" s="22"/>
      <c r="J90" s="22"/>
      <c r="K90" s="22"/>
    </row>
    <row r="91" spans="1:11" ht="15.75" x14ac:dyDescent="0.25">
      <c r="A91" s="37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15.75" x14ac:dyDescent="0.25">
      <c r="A92" s="37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11" ht="15.75" x14ac:dyDescent="0.25">
      <c r="A93" s="37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11" ht="15.75" x14ac:dyDescent="0.25">
      <c r="A94" s="37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11" ht="15.75" x14ac:dyDescent="0.25">
      <c r="A95" s="37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ht="15.75" x14ac:dyDescent="0.25">
      <c r="A96" s="37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ht="15.75" x14ac:dyDescent="0.25">
      <c r="A97" s="37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ht="15.75" x14ac:dyDescent="0.25">
      <c r="A98" s="37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ht="15.75" x14ac:dyDescent="0.25">
      <c r="A99" s="37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ht="15.75" x14ac:dyDescent="0.25">
      <c r="A100" s="37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ht="15.75" x14ac:dyDescent="0.25">
      <c r="A101" s="37"/>
      <c r="B101" s="22"/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1" ht="15.75" x14ac:dyDescent="0.25">
      <c r="A102" s="37"/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ht="15.75" x14ac:dyDescent="0.25">
      <c r="A103" s="37"/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ht="15.75" x14ac:dyDescent="0.25">
      <c r="A104" s="37"/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ht="15.75" x14ac:dyDescent="0.25">
      <c r="A105" s="37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1:11" ht="15.75" x14ac:dyDescent="0.25">
      <c r="A106" s="37"/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ht="15.75" x14ac:dyDescent="0.25">
      <c r="A107" s="37"/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ht="15.75" x14ac:dyDescent="0.25">
      <c r="A108" s="37"/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1:11" ht="15.75" x14ac:dyDescent="0.25">
      <c r="A109" s="37"/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1" ht="15.75" x14ac:dyDescent="0.25">
      <c r="A110" s="37"/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1" ht="15.75" x14ac:dyDescent="0.25">
      <c r="A111" s="37"/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1" x14ac:dyDescent="0.2">
      <c r="A112" s="821"/>
    </row>
    <row r="113" spans="1:1" x14ac:dyDescent="0.2">
      <c r="A113" s="821"/>
    </row>
    <row r="114" spans="1:1" x14ac:dyDescent="0.2">
      <c r="A114" s="821"/>
    </row>
    <row r="115" spans="1:1" x14ac:dyDescent="0.2">
      <c r="A115" s="821"/>
    </row>
    <row r="116" spans="1:1" x14ac:dyDescent="0.2">
      <c r="A116" s="821"/>
    </row>
    <row r="117" spans="1:1" x14ac:dyDescent="0.2">
      <c r="A117" s="821"/>
    </row>
    <row r="118" spans="1:1" x14ac:dyDescent="0.2">
      <c r="A118" s="821"/>
    </row>
    <row r="119" spans="1:1" x14ac:dyDescent="0.2">
      <c r="A119" s="821"/>
    </row>
    <row r="120" spans="1:1" x14ac:dyDescent="0.2">
      <c r="A120" s="821"/>
    </row>
    <row r="121" spans="1:1" x14ac:dyDescent="0.2">
      <c r="A121" s="821"/>
    </row>
    <row r="122" spans="1:1" x14ac:dyDescent="0.2">
      <c r="A122" s="821"/>
    </row>
  </sheetData>
  <printOptions horizontalCentered="1"/>
  <pageMargins left="0.25" right="0.25" top="0.5" bottom="0.5" header="0.25" footer="0.25"/>
  <pageSetup scale="64" orientation="landscape" r:id="rId1"/>
  <headerFooter alignWithMargins="0">
    <oddFooter>&amp;L&amp;"Times New Roman,Regular"&amp;12&amp;F&amp;C&amp;"Times New Roman,Regular"&amp;12Page 4 of 4&amp;R&amp;"Times New Roman,Regular"&amp;12&amp;A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R143"/>
  <sheetViews>
    <sheetView zoomScale="80" zoomScaleNormal="80" workbookViewId="0">
      <selection activeCell="I31" sqref="I31"/>
    </sheetView>
  </sheetViews>
  <sheetFormatPr defaultColWidth="9.28515625" defaultRowHeight="15.75" x14ac:dyDescent="0.25"/>
  <cols>
    <col min="1" max="1" width="6" style="22" bestFit="1" customWidth="1"/>
    <col min="2" max="2" width="42" style="22" bestFit="1" customWidth="1"/>
    <col min="3" max="8" width="18" style="22" bestFit="1" customWidth="1"/>
    <col min="9" max="9" width="19.42578125" style="22" bestFit="1" customWidth="1"/>
    <col min="10" max="10" width="6" style="22" bestFit="1" customWidth="1"/>
    <col min="11" max="14" width="17.28515625" style="22" bestFit="1" customWidth="1"/>
    <col min="15" max="15" width="18.42578125" style="22" bestFit="1" customWidth="1"/>
    <col min="16" max="16" width="8.5703125" style="22" bestFit="1" customWidth="1"/>
    <col min="17" max="16384" width="9.28515625" style="22"/>
  </cols>
  <sheetData>
    <row r="2" spans="1:16" ht="18" customHeight="1" x14ac:dyDescent="0.25">
      <c r="A2" s="970" t="s">
        <v>154</v>
      </c>
      <c r="B2" s="970"/>
      <c r="C2" s="970"/>
      <c r="D2" s="970"/>
      <c r="E2" s="970"/>
      <c r="F2" s="970"/>
      <c r="G2" s="970"/>
      <c r="H2" s="970"/>
      <c r="I2" s="970"/>
      <c r="J2" s="970"/>
      <c r="K2" s="515"/>
      <c r="L2" s="515"/>
      <c r="M2" s="515"/>
      <c r="N2" s="515"/>
      <c r="O2" s="515"/>
      <c r="P2" s="515"/>
    </row>
    <row r="3" spans="1:16" ht="18" customHeight="1" x14ac:dyDescent="0.25">
      <c r="A3" s="970" t="s">
        <v>22</v>
      </c>
      <c r="B3" s="970"/>
      <c r="C3" s="970"/>
      <c r="D3" s="970"/>
      <c r="E3" s="970"/>
      <c r="F3" s="970"/>
      <c r="G3" s="970"/>
      <c r="H3" s="970"/>
      <c r="I3" s="970"/>
      <c r="J3" s="970"/>
      <c r="K3" s="516"/>
      <c r="L3" s="516"/>
      <c r="M3" s="516"/>
      <c r="N3" s="516"/>
      <c r="O3" s="516"/>
      <c r="P3" s="516"/>
    </row>
    <row r="4" spans="1:16" ht="18" customHeight="1" x14ac:dyDescent="0.25">
      <c r="A4" s="970" t="s">
        <v>511</v>
      </c>
      <c r="B4" s="970"/>
      <c r="C4" s="970"/>
      <c r="D4" s="970"/>
      <c r="E4" s="970"/>
      <c r="F4" s="970"/>
      <c r="G4" s="970"/>
      <c r="H4" s="970"/>
      <c r="I4" s="970"/>
      <c r="J4" s="970"/>
      <c r="K4" s="516"/>
      <c r="L4" s="516"/>
      <c r="M4" s="516"/>
      <c r="N4" s="516"/>
      <c r="O4" s="516"/>
      <c r="P4" s="516"/>
    </row>
    <row r="5" spans="1:16" ht="18" customHeight="1" x14ac:dyDescent="0.25">
      <c r="A5" s="971" t="str">
        <f>'Stmt BG - Page 1'!A6</f>
        <v>Rate Effective Period - Twelve Months Ending December 31, 2027</v>
      </c>
      <c r="B5" s="971"/>
      <c r="C5" s="971"/>
      <c r="D5" s="971"/>
      <c r="E5" s="971"/>
      <c r="F5" s="971"/>
      <c r="G5" s="971"/>
      <c r="H5" s="971"/>
      <c r="I5" s="971"/>
      <c r="J5" s="971"/>
      <c r="K5" s="516"/>
      <c r="L5" s="516"/>
      <c r="M5" s="516"/>
      <c r="N5" s="516"/>
      <c r="O5" s="516"/>
      <c r="P5" s="516"/>
    </row>
    <row r="6" spans="1:16" ht="16.5" thickBot="1" x14ac:dyDescent="0.3">
      <c r="A6" s="517"/>
      <c r="B6" s="517"/>
      <c r="C6" s="517"/>
      <c r="D6" s="517"/>
      <c r="E6" s="517"/>
      <c r="F6" s="517"/>
      <c r="G6" s="517"/>
      <c r="H6" s="517"/>
      <c r="I6" s="517"/>
      <c r="J6" s="517"/>
      <c r="K6" s="41"/>
      <c r="L6" s="41"/>
      <c r="M6" s="41"/>
      <c r="N6" s="41"/>
      <c r="O6" s="41"/>
      <c r="P6" s="41"/>
    </row>
    <row r="7" spans="1:16" x14ac:dyDescent="0.25">
      <c r="A7" s="551" t="s">
        <v>7</v>
      </c>
      <c r="B7" s="540"/>
      <c r="C7" s="552" t="s">
        <v>3</v>
      </c>
      <c r="D7" s="552" t="s">
        <v>4</v>
      </c>
      <c r="E7" s="554" t="s">
        <v>107</v>
      </c>
      <c r="F7" s="552" t="s">
        <v>108</v>
      </c>
      <c r="G7" s="552" t="s">
        <v>109</v>
      </c>
      <c r="H7" s="554" t="s">
        <v>110</v>
      </c>
      <c r="I7" s="552" t="s">
        <v>111</v>
      </c>
      <c r="J7" s="553" t="s">
        <v>7</v>
      </c>
    </row>
    <row r="8" spans="1:16" ht="16.5" thickBot="1" x14ac:dyDescent="0.3">
      <c r="A8" s="563" t="s">
        <v>10</v>
      </c>
      <c r="B8" s="153" t="s">
        <v>82</v>
      </c>
      <c r="C8" s="685">
        <f>'Stmt BG - Page 2'!C8</f>
        <v>46388</v>
      </c>
      <c r="D8" s="685">
        <f>'Stmt BG - Page 2'!D8</f>
        <v>46419</v>
      </c>
      <c r="E8" s="685">
        <f>'Stmt BG - Page 2'!E8</f>
        <v>46447</v>
      </c>
      <c r="F8" s="685">
        <f>'Stmt BG - Page 2'!F8</f>
        <v>46478</v>
      </c>
      <c r="G8" s="685">
        <f>'Stmt BG - Page 2'!G8</f>
        <v>46508</v>
      </c>
      <c r="H8" s="685">
        <f>'Stmt BG - Page 2'!H8</f>
        <v>46539</v>
      </c>
      <c r="I8" s="471"/>
      <c r="J8" s="564" t="s">
        <v>10</v>
      </c>
    </row>
    <row r="9" spans="1:16" x14ac:dyDescent="0.25">
      <c r="A9" s="262"/>
      <c r="B9" s="10"/>
      <c r="C9" s="10"/>
      <c r="D9" s="10"/>
      <c r="E9" s="10"/>
      <c r="F9" s="10"/>
      <c r="G9" s="10"/>
      <c r="H9" s="10"/>
      <c r="I9" s="17"/>
      <c r="J9" s="263"/>
    </row>
    <row r="10" spans="1:16" ht="18.75" x14ac:dyDescent="0.25">
      <c r="A10" s="262">
        <v>1</v>
      </c>
      <c r="B10" s="17" t="s">
        <v>112</v>
      </c>
      <c r="C10" s="19">
        <f>'Stmt BH - Page 2'!C33</f>
        <v>-1769131.2344072077</v>
      </c>
      <c r="D10" s="19">
        <f>'Stmt BH - Page 2'!D33</f>
        <v>-1497798.8178644639</v>
      </c>
      <c r="E10" s="19">
        <f>'Stmt BH - Page 2'!E33</f>
        <v>-1302800.6685204841</v>
      </c>
      <c r="F10" s="19">
        <f>'Stmt BH - Page 2'!F33</f>
        <v>-1067487.1201738457</v>
      </c>
      <c r="G10" s="19">
        <f>'Stmt BH - Page 2'!G33</f>
        <v>-1002572.4052571867</v>
      </c>
      <c r="H10" s="19">
        <f>'Stmt BH - Page 2'!H33</f>
        <v>-1089365.3161588807</v>
      </c>
      <c r="I10" s="17"/>
      <c r="J10" s="263">
        <v>1</v>
      </c>
    </row>
    <row r="11" spans="1:16" x14ac:dyDescent="0.25">
      <c r="A11" s="262">
        <f>A10+1</f>
        <v>2</v>
      </c>
      <c r="B11" s="11"/>
      <c r="C11" s="392"/>
      <c r="D11" s="392"/>
      <c r="E11" s="392"/>
      <c r="F11" s="392"/>
      <c r="G11" s="392"/>
      <c r="H11" s="392"/>
      <c r="I11" s="17"/>
      <c r="J11" s="263">
        <f>J10+1</f>
        <v>2</v>
      </c>
    </row>
    <row r="12" spans="1:16" ht="18.75" x14ac:dyDescent="0.25">
      <c r="A12" s="262">
        <f t="shared" ref="A12:A22" si="0">A11+1</f>
        <v>3</v>
      </c>
      <c r="B12" s="17" t="s">
        <v>113</v>
      </c>
      <c r="C12" s="31">
        <f>'Stmt BH - Page 2'!C35</f>
        <v>-438086.38415905315</v>
      </c>
      <c r="D12" s="31">
        <f>'Stmt BH - Page 2'!D35</f>
        <v>-420349.44244412798</v>
      </c>
      <c r="E12" s="31">
        <f>'Stmt BH - Page 2'!E35</f>
        <v>-409103.7270152077</v>
      </c>
      <c r="F12" s="31">
        <f>'Stmt BH - Page 2'!F35</f>
        <v>-400567.23256256914</v>
      </c>
      <c r="G12" s="31">
        <f>'Stmt BH - Page 2'!G35</f>
        <v>-400251.62264575594</v>
      </c>
      <c r="H12" s="31">
        <f>'Stmt BH - Page 2'!H35</f>
        <v>-417182.86928971723</v>
      </c>
      <c r="I12" s="17"/>
      <c r="J12" s="263">
        <f t="shared" ref="J12:J22" si="1">J11+1</f>
        <v>3</v>
      </c>
    </row>
    <row r="13" spans="1:16" x14ac:dyDescent="0.25">
      <c r="A13" s="262">
        <f t="shared" si="0"/>
        <v>4</v>
      </c>
      <c r="B13" s="385"/>
      <c r="C13" s="393"/>
      <c r="D13" s="393"/>
      <c r="E13" s="393"/>
      <c r="F13" s="393"/>
      <c r="G13" s="393"/>
      <c r="H13" s="393"/>
      <c r="I13" s="17"/>
      <c r="J13" s="263">
        <f t="shared" si="1"/>
        <v>4</v>
      </c>
    </row>
    <row r="14" spans="1:16" ht="18.75" x14ac:dyDescent="0.25">
      <c r="A14" s="262">
        <f t="shared" si="0"/>
        <v>5</v>
      </c>
      <c r="B14" s="17" t="s">
        <v>114</v>
      </c>
      <c r="C14" s="31">
        <f>'Stmt BH - Page 2'!C37</f>
        <v>-2327745.4577844292</v>
      </c>
      <c r="D14" s="31">
        <f>'Stmt BH - Page 2'!D37</f>
        <v>-2218121.4914156077</v>
      </c>
      <c r="E14" s="31">
        <f>'Stmt BH - Page 2'!E37</f>
        <v>-2235421.4207937801</v>
      </c>
      <c r="F14" s="31">
        <f>'Stmt BH - Page 2'!F37</f>
        <v>-2240320.2400457016</v>
      </c>
      <c r="G14" s="31">
        <f>'Stmt BH - Page 2'!G37</f>
        <v>-2280563.7728185053</v>
      </c>
      <c r="H14" s="31">
        <f>'Stmt BH - Page 2'!H37</f>
        <v>-2388101.7513977857</v>
      </c>
      <c r="I14" s="17"/>
      <c r="J14" s="263">
        <f t="shared" si="1"/>
        <v>5</v>
      </c>
    </row>
    <row r="15" spans="1:16" x14ac:dyDescent="0.25">
      <c r="A15" s="262">
        <f t="shared" si="0"/>
        <v>6</v>
      </c>
      <c r="B15" s="17"/>
      <c r="C15" s="31"/>
      <c r="D15" s="31"/>
      <c r="E15" s="31"/>
      <c r="F15" s="31"/>
      <c r="G15" s="31"/>
      <c r="H15" s="31"/>
      <c r="I15" s="17"/>
      <c r="J15" s="263">
        <f t="shared" si="1"/>
        <v>6</v>
      </c>
    </row>
    <row r="16" spans="1:16" ht="18.75" x14ac:dyDescent="0.25">
      <c r="A16" s="262">
        <f t="shared" si="0"/>
        <v>7</v>
      </c>
      <c r="B16" s="56" t="s">
        <v>115</v>
      </c>
      <c r="C16" s="31">
        <f>'Stmt BH - Page 2'!C39</f>
        <v>-39799.23689138842</v>
      </c>
      <c r="D16" s="31">
        <f>'Stmt BH - Page 2'!D39</f>
        <v>-34920.152473106718</v>
      </c>
      <c r="E16" s="31">
        <f>'Stmt BH - Page 2'!E39</f>
        <v>-32627.39323615715</v>
      </c>
      <c r="F16" s="31">
        <f>'Stmt BH - Page 2'!F39</f>
        <v>-37507.736351751679</v>
      </c>
      <c r="G16" s="31">
        <f>'Stmt BH - Page 2'!G39</f>
        <v>-53319.768148896546</v>
      </c>
      <c r="H16" s="31">
        <f>'Stmt BH - Page 2'!H39</f>
        <v>-59135.287956326079</v>
      </c>
      <c r="I16" s="17"/>
      <c r="J16" s="263">
        <f t="shared" si="1"/>
        <v>7</v>
      </c>
    </row>
    <row r="17" spans="1:18" x14ac:dyDescent="0.25">
      <c r="A17" s="262">
        <f t="shared" si="0"/>
        <v>8</v>
      </c>
      <c r="B17" s="17"/>
      <c r="C17" s="31"/>
      <c r="D17" s="31"/>
      <c r="E17" s="31"/>
      <c r="F17" s="31"/>
      <c r="G17" s="31"/>
      <c r="H17" s="31"/>
      <c r="I17" s="17"/>
      <c r="J17" s="263">
        <f t="shared" si="1"/>
        <v>8</v>
      </c>
    </row>
    <row r="18" spans="1:18" ht="18.75" x14ac:dyDescent="0.25">
      <c r="A18" s="262">
        <f t="shared" si="0"/>
        <v>9</v>
      </c>
      <c r="B18" s="56" t="s">
        <v>116</v>
      </c>
      <c r="C18" s="31">
        <f>'Stmt BH - Page 2'!C41</f>
        <v>-38904.27782498068</v>
      </c>
      <c r="D18" s="31">
        <f>'Stmt BH - Page 2'!D41</f>
        <v>-37076.076089677197</v>
      </c>
      <c r="E18" s="31">
        <f>'Stmt BH - Page 2'!E41</f>
        <v>-34715.712508275952</v>
      </c>
      <c r="F18" s="31">
        <f>'Stmt BH - Page 2'!F41</f>
        <v>-35985.639802845319</v>
      </c>
      <c r="G18" s="31">
        <f>'Stmt BH - Page 2'!G41</f>
        <v>-42395.021720878671</v>
      </c>
      <c r="H18" s="31">
        <f>'Stmt BH - Page 2'!H41</f>
        <v>-43795.335106405539</v>
      </c>
      <c r="I18" s="17"/>
      <c r="J18" s="263">
        <f t="shared" si="1"/>
        <v>9</v>
      </c>
    </row>
    <row r="19" spans="1:18" x14ac:dyDescent="0.25">
      <c r="A19" s="262">
        <f t="shared" si="0"/>
        <v>10</v>
      </c>
      <c r="B19" s="17"/>
      <c r="C19" s="31"/>
      <c r="D19" s="31"/>
      <c r="E19" s="31"/>
      <c r="F19" s="31"/>
      <c r="G19" s="31"/>
      <c r="H19" s="31"/>
      <c r="I19" s="17"/>
      <c r="J19" s="263">
        <f t="shared" si="1"/>
        <v>10</v>
      </c>
    </row>
    <row r="20" spans="1:18" ht="18.75" x14ac:dyDescent="0.25">
      <c r="A20" s="262">
        <f t="shared" si="0"/>
        <v>11</v>
      </c>
      <c r="B20" s="17" t="s">
        <v>117</v>
      </c>
      <c r="C20" s="38">
        <f>'Stmt BH - Page 2'!C43</f>
        <v>-20522.367841558858</v>
      </c>
      <c r="D20" s="38">
        <f>'Stmt BH - Page 2'!D43</f>
        <v>-20103.33263101058</v>
      </c>
      <c r="E20" s="38">
        <f>'Stmt BH - Page 2'!E43</f>
        <v>-19610.434946465164</v>
      </c>
      <c r="F20" s="38">
        <f>'Stmt BH - Page 2'!F43</f>
        <v>-19073.944217974389</v>
      </c>
      <c r="G20" s="38">
        <f>'Stmt BH - Page 2'!G43</f>
        <v>-19068.63169705648</v>
      </c>
      <c r="H20" s="38">
        <f>'Stmt BH - Page 2'!H43</f>
        <v>-19191.579118771413</v>
      </c>
      <c r="I20" s="17"/>
      <c r="J20" s="263">
        <f t="shared" si="1"/>
        <v>11</v>
      </c>
    </row>
    <row r="21" spans="1:18" x14ac:dyDescent="0.25">
      <c r="A21" s="262">
        <f t="shared" si="0"/>
        <v>12</v>
      </c>
      <c r="B21" s="17"/>
      <c r="C21" s="31"/>
      <c r="D21" s="31"/>
      <c r="E21" s="31"/>
      <c r="F21" s="31"/>
      <c r="G21" s="31"/>
      <c r="H21" s="31"/>
      <c r="I21" s="7"/>
      <c r="J21" s="263">
        <f t="shared" si="1"/>
        <v>12</v>
      </c>
    </row>
    <row r="22" spans="1:18" x14ac:dyDescent="0.25">
      <c r="A22" s="262">
        <f t="shared" si="0"/>
        <v>13</v>
      </c>
      <c r="B22" s="11" t="s">
        <v>118</v>
      </c>
      <c r="C22" s="518">
        <f t="shared" ref="C22:H22" si="2">SUM(C10:C20)</f>
        <v>-4634188.9589086175</v>
      </c>
      <c r="D22" s="518">
        <f t="shared" si="2"/>
        <v>-4228369.3129179934</v>
      </c>
      <c r="E22" s="518">
        <f t="shared" si="2"/>
        <v>-4034279.3570203702</v>
      </c>
      <c r="F22" s="518">
        <f t="shared" si="2"/>
        <v>-3800941.9131546877</v>
      </c>
      <c r="G22" s="518">
        <f t="shared" si="2"/>
        <v>-3798171.2222882798</v>
      </c>
      <c r="H22" s="518">
        <f t="shared" si="2"/>
        <v>-4016772.139027887</v>
      </c>
      <c r="I22" s="12"/>
      <c r="J22" s="263">
        <f t="shared" si="1"/>
        <v>13</v>
      </c>
    </row>
    <row r="23" spans="1:18" ht="16.5" thickBot="1" x14ac:dyDescent="0.3">
      <c r="A23" s="300"/>
      <c r="B23" s="555"/>
      <c r="C23" s="556"/>
      <c r="D23" s="684"/>
      <c r="E23" s="557"/>
      <c r="F23" s="684"/>
      <c r="G23" s="557"/>
      <c r="H23" s="684"/>
      <c r="I23" s="558"/>
      <c r="J23" s="406"/>
      <c r="R23" s="143"/>
    </row>
    <row r="24" spans="1:18" ht="16.5" thickBot="1" x14ac:dyDescent="0.3">
      <c r="A24" s="37"/>
      <c r="B24" s="395"/>
      <c r="C24" s="395"/>
      <c r="D24" s="395"/>
      <c r="E24" s="395"/>
      <c r="F24" s="395"/>
      <c r="G24" s="395"/>
      <c r="H24" s="395"/>
      <c r="I24" s="395"/>
      <c r="J24" s="395"/>
      <c r="K24" s="395"/>
      <c r="L24" s="395"/>
      <c r="M24" s="395"/>
      <c r="N24" s="395"/>
      <c r="O24" s="395"/>
    </row>
    <row r="25" spans="1:18" x14ac:dyDescent="0.25">
      <c r="A25" s="754" t="s">
        <v>7</v>
      </c>
      <c r="B25" s="455"/>
      <c r="C25" s="552" t="str">
        <f t="shared" ref="C25:I25" si="3">C7</f>
        <v>(A)</v>
      </c>
      <c r="D25" s="552" t="str">
        <f t="shared" si="3"/>
        <v>(B)</v>
      </c>
      <c r="E25" s="552" t="str">
        <f t="shared" si="3"/>
        <v>(C)</v>
      </c>
      <c r="F25" s="552" t="str">
        <f t="shared" si="3"/>
        <v>(D)</v>
      </c>
      <c r="G25" s="552" t="str">
        <f t="shared" si="3"/>
        <v>(E)</v>
      </c>
      <c r="H25" s="552" t="str">
        <f t="shared" si="3"/>
        <v>(F)</v>
      </c>
      <c r="I25" s="552" t="str">
        <f t="shared" si="3"/>
        <v>(G)</v>
      </c>
      <c r="J25" s="755" t="s">
        <v>7</v>
      </c>
      <c r="K25" s="395"/>
      <c r="L25" s="395"/>
      <c r="M25" s="395"/>
      <c r="N25" s="395"/>
      <c r="O25" s="395"/>
    </row>
    <row r="26" spans="1:18" ht="16.5" thickBot="1" x14ac:dyDescent="0.3">
      <c r="A26" s="756" t="s">
        <v>10</v>
      </c>
      <c r="B26" s="153" t="s">
        <v>82</v>
      </c>
      <c r="C26" s="685">
        <f>'Stmt BG - Page 2'!C26</f>
        <v>46569</v>
      </c>
      <c r="D26" s="685">
        <f>'Stmt BG - Page 2'!D26</f>
        <v>46600</v>
      </c>
      <c r="E26" s="685">
        <f>'Stmt BG - Page 2'!E26</f>
        <v>46631</v>
      </c>
      <c r="F26" s="685">
        <f>'Stmt BG - Page 2'!F26</f>
        <v>46661</v>
      </c>
      <c r="G26" s="685">
        <f>'Stmt BG - Page 2'!G26</f>
        <v>46692</v>
      </c>
      <c r="H26" s="685">
        <f>'Stmt BG - Page 2'!H26</f>
        <v>46722</v>
      </c>
      <c r="I26" s="577"/>
      <c r="J26" s="566" t="s">
        <v>10</v>
      </c>
      <c r="K26" s="395"/>
      <c r="L26" s="395"/>
      <c r="M26" s="395"/>
      <c r="N26" s="395"/>
      <c r="O26" s="395"/>
    </row>
    <row r="27" spans="1:18" x14ac:dyDescent="0.25">
      <c r="A27" s="262"/>
      <c r="B27" s="10"/>
      <c r="C27" s="10"/>
      <c r="D27" s="10"/>
      <c r="E27" s="10"/>
      <c r="F27" s="10"/>
      <c r="G27" s="10"/>
      <c r="H27" s="10"/>
      <c r="I27" s="10"/>
      <c r="J27" s="263"/>
      <c r="K27" s="395"/>
      <c r="L27" s="395"/>
      <c r="M27" s="395"/>
      <c r="N27" s="395"/>
      <c r="O27" s="395"/>
    </row>
    <row r="28" spans="1:18" ht="18.75" x14ac:dyDescent="0.25">
      <c r="A28" s="262">
        <f>A22+1</f>
        <v>14</v>
      </c>
      <c r="B28" s="17" t="s">
        <v>112</v>
      </c>
      <c r="C28" s="19">
        <f>'Stmt BH - Page 3'!C33</f>
        <v>-1360358.8002360526</v>
      </c>
      <c r="D28" s="19">
        <f>'Stmt BH - Page 3'!D33</f>
        <v>-1758915.4561885698</v>
      </c>
      <c r="E28" s="19">
        <f>'Stmt BH - Page 3'!E33</f>
        <v>-2119694.6217253553</v>
      </c>
      <c r="F28" s="19">
        <f>'Stmt BH - Page 3'!F33</f>
        <v>-1492414.3143847103</v>
      </c>
      <c r="G28" s="19">
        <f>'Stmt BH - Page 3'!G33</f>
        <v>-1330752.370773247</v>
      </c>
      <c r="H28" s="19">
        <f>'Stmt BH - Page 3'!H33</f>
        <v>-1542310.4551915969</v>
      </c>
      <c r="I28" s="19">
        <f>SUM(C10:H10,C28:H28)</f>
        <v>-17333601.580881596</v>
      </c>
      <c r="J28" s="263">
        <f>J22+1</f>
        <v>14</v>
      </c>
      <c r="K28" s="395"/>
      <c r="L28" s="395"/>
      <c r="M28" s="395"/>
      <c r="N28" s="395"/>
      <c r="O28" s="395"/>
    </row>
    <row r="29" spans="1:18" x14ac:dyDescent="0.25">
      <c r="A29" s="262">
        <f>A28+1</f>
        <v>15</v>
      </c>
      <c r="B29" s="11"/>
      <c r="C29" s="392"/>
      <c r="D29" s="392"/>
      <c r="E29" s="392"/>
      <c r="F29" s="392"/>
      <c r="G29" s="392"/>
      <c r="H29" s="392"/>
      <c r="I29" s="392"/>
      <c r="J29" s="263">
        <f>J28+1</f>
        <v>15</v>
      </c>
      <c r="K29" s="395"/>
      <c r="L29" s="395"/>
      <c r="M29" s="395"/>
      <c r="N29" s="395"/>
      <c r="O29" s="395"/>
    </row>
    <row r="30" spans="1:18" ht="18.75" x14ac:dyDescent="0.25">
      <c r="A30" s="262">
        <f t="shared" ref="A30:A40" si="4">A29+1</f>
        <v>16</v>
      </c>
      <c r="B30" s="17" t="s">
        <v>113</v>
      </c>
      <c r="C30" s="31">
        <f>'Stmt BH - Page 3'!C35</f>
        <v>-461604.07556552836</v>
      </c>
      <c r="D30" s="31">
        <f>'Stmt BH - Page 3'!D35</f>
        <v>-481321.22323548782</v>
      </c>
      <c r="E30" s="31">
        <f>'Stmt BH - Page 3'!E35</f>
        <v>-508329.50923247403</v>
      </c>
      <c r="F30" s="31">
        <f>'Stmt BH - Page 3'!F35</f>
        <v>-447871.95989129541</v>
      </c>
      <c r="G30" s="31">
        <f>'Stmt BH - Page 3'!G35</f>
        <v>-416211.12532844895</v>
      </c>
      <c r="H30" s="31">
        <f>'Stmt BH - Page 3'!H35</f>
        <v>-415848.83285857638</v>
      </c>
      <c r="I30" s="19">
        <f>SUM(C12:H12,C30:H30)</f>
        <v>-5216728.0042282427</v>
      </c>
      <c r="J30" s="263">
        <f t="shared" ref="J30:J40" si="5">J29+1</f>
        <v>16</v>
      </c>
      <c r="K30" s="395"/>
      <c r="L30" s="395"/>
      <c r="M30" s="395"/>
      <c r="N30" s="395"/>
      <c r="O30" s="395"/>
    </row>
    <row r="31" spans="1:18" x14ac:dyDescent="0.25">
      <c r="A31" s="262">
        <f t="shared" si="4"/>
        <v>17</v>
      </c>
      <c r="B31" s="385"/>
      <c r="C31" s="393"/>
      <c r="D31" s="393"/>
      <c r="E31" s="393"/>
      <c r="F31" s="393"/>
      <c r="G31" s="393"/>
      <c r="H31" s="393"/>
      <c r="I31" s="31"/>
      <c r="J31" s="263">
        <f t="shared" si="5"/>
        <v>17</v>
      </c>
      <c r="K31" s="395"/>
      <c r="L31" s="395"/>
      <c r="M31" s="395"/>
      <c r="N31" s="395"/>
      <c r="O31" s="395"/>
    </row>
    <row r="32" spans="1:18" ht="18.75" x14ac:dyDescent="0.25">
      <c r="A32" s="262">
        <f t="shared" si="4"/>
        <v>18</v>
      </c>
      <c r="B32" s="17" t="s">
        <v>114</v>
      </c>
      <c r="C32" s="31">
        <f>'Stmt BH - Page 3'!C37</f>
        <v>-2612631.271634575</v>
      </c>
      <c r="D32" s="31">
        <f>'Stmt BH - Page 3'!D37</f>
        <v>-2709712.6639298187</v>
      </c>
      <c r="E32" s="31">
        <f>'Stmt BH - Page 3'!E37</f>
        <v>-2869918.9144598106</v>
      </c>
      <c r="F32" s="31">
        <f>'Stmt BH - Page 3'!F37</f>
        <v>-2625715.1014169683</v>
      </c>
      <c r="G32" s="31">
        <f>'Stmt BH - Page 3'!G37</f>
        <v>-2436488.9189563291</v>
      </c>
      <c r="H32" s="31">
        <f>'Stmt BH - Page 3'!H37</f>
        <v>-2375532.5089159738</v>
      </c>
      <c r="I32" s="19">
        <f>SUM(C14:H14,C32:H32)</f>
        <v>-29320273.513569288</v>
      </c>
      <c r="J32" s="263">
        <f t="shared" si="5"/>
        <v>18</v>
      </c>
      <c r="K32" s="395"/>
      <c r="L32" s="395"/>
      <c r="M32" s="395"/>
      <c r="N32" s="395"/>
      <c r="O32" s="395"/>
    </row>
    <row r="33" spans="1:15" x14ac:dyDescent="0.25">
      <c r="A33" s="262">
        <f t="shared" si="4"/>
        <v>19</v>
      </c>
      <c r="B33" s="17"/>
      <c r="C33" s="31"/>
      <c r="D33" s="31"/>
      <c r="E33" s="31"/>
      <c r="F33" s="31"/>
      <c r="G33" s="31"/>
      <c r="H33" s="31"/>
      <c r="I33" s="31"/>
      <c r="J33" s="263">
        <f t="shared" si="5"/>
        <v>19</v>
      </c>
      <c r="K33" s="395"/>
      <c r="L33" s="395"/>
      <c r="M33" s="395"/>
      <c r="N33" s="395"/>
      <c r="O33" s="395"/>
    </row>
    <row r="34" spans="1:15" ht="18.75" x14ac:dyDescent="0.25">
      <c r="A34" s="262">
        <f t="shared" si="4"/>
        <v>20</v>
      </c>
      <c r="B34" s="56" t="s">
        <v>115</v>
      </c>
      <c r="C34" s="31">
        <f>'Stmt BH - Page 3'!C39</f>
        <v>-67183.586942075766</v>
      </c>
      <c r="D34" s="31">
        <f>'Stmt BH - Page 3'!D39</f>
        <v>-72427.39957029371</v>
      </c>
      <c r="E34" s="31">
        <f>'Stmt BH - Page 3'!E39</f>
        <v>-72389.735101905069</v>
      </c>
      <c r="F34" s="31">
        <f>'Stmt BH - Page 3'!F39</f>
        <v>-64951.673069777185</v>
      </c>
      <c r="G34" s="31">
        <f>'Stmt BH - Page 3'!G39</f>
        <v>-55621.097560784023</v>
      </c>
      <c r="H34" s="31">
        <f>'Stmt BH - Page 3'!H39</f>
        <v>-50233.495578818307</v>
      </c>
      <c r="I34" s="19">
        <f>SUM(C16:H16,C34:H34)</f>
        <v>-640116.56288128067</v>
      </c>
      <c r="J34" s="263">
        <f t="shared" si="5"/>
        <v>20</v>
      </c>
      <c r="K34" s="395"/>
      <c r="L34" s="395"/>
      <c r="M34" s="395"/>
      <c r="N34" s="395"/>
      <c r="O34" s="395"/>
    </row>
    <row r="35" spans="1:15" x14ac:dyDescent="0.25">
      <c r="A35" s="262">
        <f t="shared" si="4"/>
        <v>21</v>
      </c>
      <c r="B35" s="17"/>
      <c r="C35" s="31"/>
      <c r="D35" s="31"/>
      <c r="E35" s="31"/>
      <c r="F35" s="31"/>
      <c r="G35" s="31"/>
      <c r="H35" s="31"/>
      <c r="I35" s="31"/>
      <c r="J35" s="263">
        <f t="shared" si="5"/>
        <v>21</v>
      </c>
      <c r="K35" s="395"/>
      <c r="L35" s="395"/>
      <c r="M35" s="395"/>
      <c r="N35" s="395"/>
      <c r="O35" s="395"/>
    </row>
    <row r="36" spans="1:15" ht="18.75" x14ac:dyDescent="0.25">
      <c r="A36" s="262">
        <f t="shared" si="4"/>
        <v>22</v>
      </c>
      <c r="B36" s="56" t="s">
        <v>116</v>
      </c>
      <c r="C36" s="31">
        <f>'Stmt BH - Page 3'!C41</f>
        <v>-47803.086129019001</v>
      </c>
      <c r="D36" s="31">
        <f>'Stmt BH - Page 3'!D41</f>
        <v>-47499.19420107286</v>
      </c>
      <c r="E36" s="31">
        <f>'Stmt BH - Page 3'!E41</f>
        <v>-47426.340445257534</v>
      </c>
      <c r="F36" s="31">
        <f>'Stmt BH - Page 3'!F41</f>
        <v>-45238.821844844824</v>
      </c>
      <c r="G36" s="31">
        <f>'Stmt BH - Page 3'!G41</f>
        <v>-41619.037799860773</v>
      </c>
      <c r="H36" s="31">
        <f>'Stmt BH - Page 3'!H41</f>
        <v>-37592.746217777698</v>
      </c>
      <c r="I36" s="19">
        <f>SUM(C18:H18,C36:H36)</f>
        <v>-500051.28969089605</v>
      </c>
      <c r="J36" s="263">
        <f t="shared" si="5"/>
        <v>22</v>
      </c>
      <c r="K36" s="395"/>
      <c r="L36" s="395"/>
      <c r="M36" s="395"/>
      <c r="N36" s="395"/>
      <c r="O36" s="395"/>
    </row>
    <row r="37" spans="1:15" x14ac:dyDescent="0.25">
      <c r="A37" s="262">
        <f t="shared" si="4"/>
        <v>23</v>
      </c>
      <c r="B37" s="17"/>
      <c r="C37" s="31"/>
      <c r="D37" s="31"/>
      <c r="E37" s="31"/>
      <c r="F37" s="31"/>
      <c r="G37" s="31"/>
      <c r="H37" s="31"/>
      <c r="I37" s="31"/>
      <c r="J37" s="263">
        <f t="shared" si="5"/>
        <v>23</v>
      </c>
      <c r="K37" s="395"/>
      <c r="L37" s="395"/>
      <c r="M37" s="395"/>
      <c r="N37" s="395"/>
      <c r="O37" s="395"/>
    </row>
    <row r="38" spans="1:15" ht="18.75" x14ac:dyDescent="0.25">
      <c r="A38" s="262">
        <f t="shared" si="4"/>
        <v>24</v>
      </c>
      <c r="B38" s="17" t="s">
        <v>117</v>
      </c>
      <c r="C38" s="38">
        <f>'Stmt BH - Page 3'!C43</f>
        <v>-18939.80856071059</v>
      </c>
      <c r="D38" s="38">
        <f>'Stmt BH - Page 3'!D43</f>
        <v>-19646.351332223505</v>
      </c>
      <c r="E38" s="38">
        <f>'Stmt BH - Page 3'!E43</f>
        <v>-18858.843026700535</v>
      </c>
      <c r="F38" s="38">
        <f>'Stmt BH - Page 3'!F43</f>
        <v>-19710.770803450694</v>
      </c>
      <c r="G38" s="38">
        <f>'Stmt BH - Page 3'!G43</f>
        <v>-20689.4361677364</v>
      </c>
      <c r="H38" s="38">
        <f>'Stmt BH - Page 3'!H43</f>
        <v>-20743.494429406743</v>
      </c>
      <c r="I38" s="14">
        <f>SUM(C20:H20,C38:H38)</f>
        <v>-236158.99477306535</v>
      </c>
      <c r="J38" s="263">
        <f t="shared" si="5"/>
        <v>24</v>
      </c>
      <c r="K38" s="395"/>
      <c r="L38" s="395"/>
      <c r="M38" s="395"/>
      <c r="N38" s="395"/>
      <c r="O38" s="395"/>
    </row>
    <row r="39" spans="1:15" x14ac:dyDescent="0.25">
      <c r="A39" s="262">
        <f t="shared" si="4"/>
        <v>25</v>
      </c>
      <c r="B39" s="17"/>
      <c r="C39" s="31"/>
      <c r="D39" s="31"/>
      <c r="E39" s="31"/>
      <c r="F39" s="31"/>
      <c r="G39" s="31"/>
      <c r="H39" s="31"/>
      <c r="I39" s="31"/>
      <c r="J39" s="263">
        <f t="shared" si="5"/>
        <v>25</v>
      </c>
      <c r="K39" s="395"/>
      <c r="L39" s="395"/>
      <c r="M39" s="395"/>
      <c r="N39" s="395"/>
      <c r="O39" s="395"/>
    </row>
    <row r="40" spans="1:15" x14ac:dyDescent="0.25">
      <c r="A40" s="262">
        <f t="shared" si="4"/>
        <v>26</v>
      </c>
      <c r="B40" s="11" t="s">
        <v>118</v>
      </c>
      <c r="C40" s="518">
        <f t="shared" ref="C40:I40" si="6">SUM(C28:C38)</f>
        <v>-4568520.6290679611</v>
      </c>
      <c r="D40" s="518">
        <f t="shared" si="6"/>
        <v>-5089522.2884574663</v>
      </c>
      <c r="E40" s="518">
        <f t="shared" si="6"/>
        <v>-5636617.9639915032</v>
      </c>
      <c r="F40" s="518">
        <f t="shared" si="6"/>
        <v>-4695902.6414110465</v>
      </c>
      <c r="G40" s="518">
        <f t="shared" si="6"/>
        <v>-4301381.9865864059</v>
      </c>
      <c r="H40" s="518">
        <f t="shared" si="6"/>
        <v>-4442261.5331921494</v>
      </c>
      <c r="I40" s="518">
        <f t="shared" si="6"/>
        <v>-53246929.946024373</v>
      </c>
      <c r="J40" s="263">
        <f t="shared" si="5"/>
        <v>26</v>
      </c>
      <c r="K40" s="395"/>
      <c r="L40" s="395"/>
      <c r="M40" s="395"/>
      <c r="N40" s="395"/>
      <c r="O40" s="395"/>
    </row>
    <row r="41" spans="1:15" ht="16.5" thickBot="1" x14ac:dyDescent="0.3">
      <c r="A41" s="300"/>
      <c r="B41" s="555"/>
      <c r="C41" s="557"/>
      <c r="D41" s="557"/>
      <c r="E41" s="557"/>
      <c r="F41" s="557"/>
      <c r="G41" s="557"/>
      <c r="H41" s="557"/>
      <c r="I41" s="260"/>
      <c r="J41" s="406"/>
      <c r="K41" s="395"/>
      <c r="L41" s="395"/>
      <c r="M41" s="395"/>
      <c r="N41" s="395"/>
      <c r="O41" s="395"/>
    </row>
    <row r="42" spans="1:15" x14ac:dyDescent="0.25">
      <c r="A42" s="50"/>
      <c r="B42" s="395"/>
      <c r="C42" s="395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6"/>
    </row>
    <row r="43" spans="1:15" ht="18.75" x14ac:dyDescent="0.25">
      <c r="A43" s="83" t="s">
        <v>119</v>
      </c>
      <c r="B43" s="22" t="s">
        <v>155</v>
      </c>
      <c r="C43" s="242"/>
      <c r="D43" s="242"/>
      <c r="F43" s="519">
        <v>4</v>
      </c>
      <c r="G43" s="22" t="s">
        <v>156</v>
      </c>
    </row>
    <row r="44" spans="1:15" ht="18.75" x14ac:dyDescent="0.25">
      <c r="A44" s="83">
        <v>2</v>
      </c>
      <c r="B44" s="22" t="s">
        <v>157</v>
      </c>
      <c r="C44" s="822"/>
      <c r="D44" s="822"/>
      <c r="F44" s="519">
        <v>5</v>
      </c>
      <c r="G44" s="22" t="s">
        <v>158</v>
      </c>
    </row>
    <row r="45" spans="1:15" ht="18.75" x14ac:dyDescent="0.25">
      <c r="A45" s="83">
        <v>3</v>
      </c>
      <c r="B45" s="22" t="s">
        <v>159</v>
      </c>
      <c r="C45" s="242"/>
      <c r="D45" s="242"/>
      <c r="F45" s="519">
        <v>6</v>
      </c>
      <c r="G45" s="22" t="s">
        <v>160</v>
      </c>
    </row>
    <row r="46" spans="1:15" x14ac:dyDescent="0.25">
      <c r="C46" s="242"/>
      <c r="D46" s="242"/>
    </row>
    <row r="47" spans="1:15" x14ac:dyDescent="0.25">
      <c r="C47" s="242"/>
      <c r="D47" s="242"/>
    </row>
    <row r="48" spans="1:15" x14ac:dyDescent="0.25">
      <c r="C48" s="242"/>
      <c r="D48" s="242"/>
    </row>
    <row r="49" spans="1:1" x14ac:dyDescent="0.25">
      <c r="A49" s="37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  <row r="53" spans="1:1" x14ac:dyDescent="0.25">
      <c r="A53" s="37"/>
    </row>
    <row r="54" spans="1:1" x14ac:dyDescent="0.25">
      <c r="A54" s="37"/>
    </row>
    <row r="55" spans="1:1" x14ac:dyDescent="0.25">
      <c r="A55" s="37"/>
    </row>
    <row r="56" spans="1:1" x14ac:dyDescent="0.25">
      <c r="A56" s="37"/>
    </row>
    <row r="57" spans="1:1" x14ac:dyDescent="0.25">
      <c r="A57" s="37"/>
    </row>
    <row r="58" spans="1:1" x14ac:dyDescent="0.25">
      <c r="A58" s="37"/>
    </row>
    <row r="59" spans="1:1" x14ac:dyDescent="0.25">
      <c r="A59" s="37"/>
    </row>
    <row r="60" spans="1:1" x14ac:dyDescent="0.25">
      <c r="A60" s="37"/>
    </row>
    <row r="61" spans="1:1" x14ac:dyDescent="0.25">
      <c r="A61" s="37"/>
    </row>
    <row r="62" spans="1:1" x14ac:dyDescent="0.25">
      <c r="A62" s="37"/>
    </row>
    <row r="63" spans="1:1" x14ac:dyDescent="0.25">
      <c r="A63" s="37"/>
    </row>
    <row r="64" spans="1:1" x14ac:dyDescent="0.25">
      <c r="A64" s="37"/>
    </row>
    <row r="65" spans="1:1" x14ac:dyDescent="0.25">
      <c r="A65" s="37"/>
    </row>
    <row r="66" spans="1:1" x14ac:dyDescent="0.25">
      <c r="A66" s="37"/>
    </row>
    <row r="67" spans="1:1" x14ac:dyDescent="0.25">
      <c r="A67" s="37"/>
    </row>
    <row r="68" spans="1:1" x14ac:dyDescent="0.25">
      <c r="A68" s="37"/>
    </row>
    <row r="69" spans="1:1" x14ac:dyDescent="0.25">
      <c r="A69" s="37"/>
    </row>
    <row r="70" spans="1:1" x14ac:dyDescent="0.25">
      <c r="A70" s="37"/>
    </row>
    <row r="71" spans="1:1" x14ac:dyDescent="0.25">
      <c r="A71" s="37"/>
    </row>
    <row r="72" spans="1:1" x14ac:dyDescent="0.25">
      <c r="A72" s="37"/>
    </row>
    <row r="73" spans="1:1" x14ac:dyDescent="0.25">
      <c r="A73" s="37"/>
    </row>
    <row r="74" spans="1:1" x14ac:dyDescent="0.25">
      <c r="A74" s="37"/>
    </row>
    <row r="75" spans="1:1" x14ac:dyDescent="0.25">
      <c r="A75" s="37"/>
    </row>
    <row r="76" spans="1:1" x14ac:dyDescent="0.25">
      <c r="A76" s="37"/>
    </row>
    <row r="77" spans="1:1" x14ac:dyDescent="0.25">
      <c r="A77" s="37"/>
    </row>
    <row r="78" spans="1:1" x14ac:dyDescent="0.25">
      <c r="A78" s="37"/>
    </row>
    <row r="79" spans="1:1" x14ac:dyDescent="0.25">
      <c r="A79" s="37"/>
    </row>
    <row r="80" spans="1:1" x14ac:dyDescent="0.25">
      <c r="A80" s="37"/>
    </row>
    <row r="81" spans="1:1" x14ac:dyDescent="0.25">
      <c r="A81" s="37"/>
    </row>
    <row r="82" spans="1:1" x14ac:dyDescent="0.25">
      <c r="A82" s="37"/>
    </row>
    <row r="83" spans="1:1" x14ac:dyDescent="0.25">
      <c r="A83" s="37"/>
    </row>
    <row r="84" spans="1:1" x14ac:dyDescent="0.25">
      <c r="A84" s="37"/>
    </row>
    <row r="85" spans="1:1" x14ac:dyDescent="0.25">
      <c r="A85" s="37"/>
    </row>
    <row r="86" spans="1:1" x14ac:dyDescent="0.25">
      <c r="A86" s="37"/>
    </row>
    <row r="87" spans="1:1" x14ac:dyDescent="0.25">
      <c r="A87" s="37"/>
    </row>
    <row r="88" spans="1:1" x14ac:dyDescent="0.25">
      <c r="A88" s="37"/>
    </row>
    <row r="89" spans="1:1" x14ac:dyDescent="0.25">
      <c r="A89" s="37"/>
    </row>
    <row r="90" spans="1:1" x14ac:dyDescent="0.25">
      <c r="A90" s="37"/>
    </row>
    <row r="91" spans="1:1" x14ac:dyDescent="0.25">
      <c r="A91" s="37"/>
    </row>
    <row r="92" spans="1:1" x14ac:dyDescent="0.25">
      <c r="A92" s="37"/>
    </row>
    <row r="93" spans="1:1" x14ac:dyDescent="0.25">
      <c r="A93" s="37"/>
    </row>
    <row r="94" spans="1:1" x14ac:dyDescent="0.25">
      <c r="A94" s="37"/>
    </row>
    <row r="95" spans="1:1" x14ac:dyDescent="0.25">
      <c r="A95" s="37"/>
    </row>
    <row r="96" spans="1:1" x14ac:dyDescent="0.25">
      <c r="A96" s="37"/>
    </row>
    <row r="97" spans="1:1" x14ac:dyDescent="0.25">
      <c r="A97" s="37"/>
    </row>
    <row r="98" spans="1:1" x14ac:dyDescent="0.25">
      <c r="A98" s="37"/>
    </row>
    <row r="99" spans="1:1" x14ac:dyDescent="0.25">
      <c r="A99" s="37"/>
    </row>
    <row r="100" spans="1:1" x14ac:dyDescent="0.25">
      <c r="A100" s="37"/>
    </row>
    <row r="101" spans="1:1" x14ac:dyDescent="0.25">
      <c r="A101" s="37"/>
    </row>
    <row r="102" spans="1:1" x14ac:dyDescent="0.25">
      <c r="A102" s="37"/>
    </row>
    <row r="103" spans="1:1" x14ac:dyDescent="0.25">
      <c r="A103" s="37"/>
    </row>
    <row r="104" spans="1:1" x14ac:dyDescent="0.25">
      <c r="A104" s="37"/>
    </row>
    <row r="105" spans="1:1" x14ac:dyDescent="0.25">
      <c r="A105" s="37"/>
    </row>
    <row r="106" spans="1:1" x14ac:dyDescent="0.25">
      <c r="A106" s="37"/>
    </row>
    <row r="107" spans="1:1" x14ac:dyDescent="0.25">
      <c r="A107" s="37"/>
    </row>
    <row r="108" spans="1:1" x14ac:dyDescent="0.25">
      <c r="A108" s="37"/>
    </row>
    <row r="109" spans="1:1" x14ac:dyDescent="0.25">
      <c r="A109" s="37"/>
    </row>
    <row r="110" spans="1:1" x14ac:dyDescent="0.25">
      <c r="A110" s="37"/>
    </row>
    <row r="111" spans="1:1" x14ac:dyDescent="0.25">
      <c r="A111" s="37"/>
    </row>
    <row r="112" spans="1:1" x14ac:dyDescent="0.25">
      <c r="A112" s="37"/>
    </row>
    <row r="113" spans="1:1" x14ac:dyDescent="0.25">
      <c r="A113" s="37"/>
    </row>
    <row r="114" spans="1:1" x14ac:dyDescent="0.25">
      <c r="A114" s="37"/>
    </row>
    <row r="115" spans="1:1" x14ac:dyDescent="0.25">
      <c r="A115" s="37"/>
    </row>
    <row r="116" spans="1:1" x14ac:dyDescent="0.25">
      <c r="A116" s="37"/>
    </row>
    <row r="117" spans="1:1" x14ac:dyDescent="0.25">
      <c r="A117" s="37"/>
    </row>
    <row r="118" spans="1:1" x14ac:dyDescent="0.25">
      <c r="A118" s="37"/>
    </row>
    <row r="119" spans="1:1" x14ac:dyDescent="0.25">
      <c r="A119" s="37"/>
    </row>
    <row r="120" spans="1:1" x14ac:dyDescent="0.25">
      <c r="A120" s="37"/>
    </row>
    <row r="121" spans="1:1" x14ac:dyDescent="0.25">
      <c r="A121" s="37"/>
    </row>
    <row r="122" spans="1:1" x14ac:dyDescent="0.25">
      <c r="A122" s="37"/>
    </row>
    <row r="123" spans="1:1" x14ac:dyDescent="0.25">
      <c r="A123" s="37"/>
    </row>
    <row r="124" spans="1:1" x14ac:dyDescent="0.25">
      <c r="A124" s="37"/>
    </row>
    <row r="125" spans="1:1" x14ac:dyDescent="0.25">
      <c r="A125" s="37"/>
    </row>
    <row r="126" spans="1:1" x14ac:dyDescent="0.25">
      <c r="A126" s="37"/>
    </row>
    <row r="127" spans="1:1" x14ac:dyDescent="0.25">
      <c r="A127" s="37"/>
    </row>
    <row r="128" spans="1:1" x14ac:dyDescent="0.25">
      <c r="A128" s="37"/>
    </row>
    <row r="129" spans="1:1" x14ac:dyDescent="0.25">
      <c r="A129" s="37"/>
    </row>
    <row r="130" spans="1:1" x14ac:dyDescent="0.25">
      <c r="A130" s="37"/>
    </row>
    <row r="131" spans="1:1" x14ac:dyDescent="0.25">
      <c r="A131" s="37"/>
    </row>
    <row r="132" spans="1:1" x14ac:dyDescent="0.25">
      <c r="A132" s="37"/>
    </row>
    <row r="133" spans="1:1" x14ac:dyDescent="0.25">
      <c r="A133" s="37"/>
    </row>
    <row r="134" spans="1:1" x14ac:dyDescent="0.25">
      <c r="A134" s="37"/>
    </row>
    <row r="135" spans="1:1" x14ac:dyDescent="0.25">
      <c r="A135" s="37"/>
    </row>
    <row r="136" spans="1:1" x14ac:dyDescent="0.25">
      <c r="A136" s="37"/>
    </row>
    <row r="137" spans="1:1" x14ac:dyDescent="0.25">
      <c r="A137" s="37"/>
    </row>
    <row r="138" spans="1:1" x14ac:dyDescent="0.25">
      <c r="A138" s="37"/>
    </row>
    <row r="139" spans="1:1" x14ac:dyDescent="0.25">
      <c r="A139" s="37"/>
    </row>
    <row r="140" spans="1:1" x14ac:dyDescent="0.25">
      <c r="A140" s="37"/>
    </row>
    <row r="141" spans="1:1" x14ac:dyDescent="0.25">
      <c r="A141" s="37"/>
    </row>
    <row r="142" spans="1:1" x14ac:dyDescent="0.25">
      <c r="A142" s="37"/>
    </row>
    <row r="143" spans="1:1" x14ac:dyDescent="0.25">
      <c r="A143" s="37"/>
    </row>
  </sheetData>
  <mergeCells count="4">
    <mergeCell ref="A2:J2"/>
    <mergeCell ref="A3:J3"/>
    <mergeCell ref="A4:J4"/>
    <mergeCell ref="A5:J5"/>
  </mergeCells>
  <printOptions horizontalCentered="1"/>
  <pageMargins left="0.25" right="0.25" top="0.5" bottom="0.5" header="0.25" footer="0.25"/>
  <pageSetup scale="71" orientation="landscape" r:id="rId1"/>
  <headerFooter alignWithMargins="0">
    <oddFooter>&amp;L&amp;"Times New Roman,Regular"&amp;12&amp;F&amp;C&amp;"Times New Roman,Regular"&amp;12Page 1 of 3&amp;R&amp;"Times New Roman,Regular"&amp;12Stmt BH - Page 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J122"/>
  <sheetViews>
    <sheetView zoomScale="80" zoomScaleNormal="80" workbookViewId="0">
      <selection activeCell="L31" sqref="L31"/>
    </sheetView>
  </sheetViews>
  <sheetFormatPr defaultColWidth="9.28515625" defaultRowHeight="12.75" x14ac:dyDescent="0.2"/>
  <cols>
    <col min="1" max="1" width="5.5703125" style="242" customWidth="1"/>
    <col min="2" max="2" width="49.5703125" style="242" customWidth="1"/>
    <col min="3" max="8" width="15.5703125" style="242" customWidth="1"/>
    <col min="9" max="9" width="40.5703125" style="242" customWidth="1"/>
    <col min="10" max="10" width="5.5703125" style="242" customWidth="1"/>
    <col min="11" max="16384" width="9.28515625" style="242"/>
  </cols>
  <sheetData>
    <row r="2" spans="1:10" ht="15.75" x14ac:dyDescent="0.2">
      <c r="A2" s="5" t="s">
        <v>154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">
      <c r="A3" s="418" t="s">
        <v>46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">
      <c r="A4" s="970" t="str">
        <f>'Stmt BH - Page 1'!A4:J4</f>
        <v>Transmission Revenue Balancing Account Adjustment (TRBAA) Revenue Data To Reflect Present Rates per ER26-336</v>
      </c>
      <c r="B4" s="970"/>
      <c r="C4" s="970"/>
      <c r="D4" s="970"/>
      <c r="E4" s="970"/>
      <c r="F4" s="970"/>
      <c r="G4" s="970"/>
      <c r="H4" s="970"/>
      <c r="I4" s="970"/>
      <c r="J4" s="970"/>
    </row>
    <row r="5" spans="1:10" ht="15.75" x14ac:dyDescent="0.2">
      <c r="A5" s="418" t="str">
        <f>'Stmt BH - Page 1'!A5</f>
        <v>Rate Effective Period - Twelve Months Ending December 31, 2027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16.5" thickBo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</row>
    <row r="7" spans="1:10" ht="15.75" x14ac:dyDescent="0.25">
      <c r="A7" s="75"/>
      <c r="B7" s="75"/>
      <c r="C7" s="567" t="s">
        <v>3</v>
      </c>
      <c r="D7" s="567" t="s">
        <v>4</v>
      </c>
      <c r="E7" s="567" t="s">
        <v>107</v>
      </c>
      <c r="F7" s="567" t="s">
        <v>108</v>
      </c>
      <c r="G7" s="567" t="s">
        <v>109</v>
      </c>
      <c r="H7" s="567" t="s">
        <v>110</v>
      </c>
      <c r="I7" s="567" t="s">
        <v>110</v>
      </c>
      <c r="J7" s="75"/>
    </row>
    <row r="8" spans="1:10" ht="15.75" x14ac:dyDescent="0.25">
      <c r="A8" s="75" t="s">
        <v>7</v>
      </c>
      <c r="B8" s="75"/>
      <c r="C8" s="568">
        <f>'Stmt BH - Page 1'!C8</f>
        <v>46388</v>
      </c>
      <c r="D8" s="568">
        <f>'Stmt BH - Page 1'!D8</f>
        <v>46419</v>
      </c>
      <c r="E8" s="568">
        <f>'Stmt BH - Page 1'!E8</f>
        <v>46447</v>
      </c>
      <c r="F8" s="568">
        <f>'Stmt BH - Page 1'!F8</f>
        <v>46478</v>
      </c>
      <c r="G8" s="568">
        <f>'Stmt BH - Page 1'!G8</f>
        <v>46508</v>
      </c>
      <c r="H8" s="568">
        <f>'Stmt BH - Page 1'!H8</f>
        <v>46539</v>
      </c>
      <c r="I8" s="562"/>
      <c r="J8" s="75" t="s">
        <v>7</v>
      </c>
    </row>
    <row r="9" spans="1:10" ht="16.5" thickBot="1" x14ac:dyDescent="0.3">
      <c r="A9" s="153" t="s">
        <v>10</v>
      </c>
      <c r="B9" s="153" t="s">
        <v>82</v>
      </c>
      <c r="C9" s="153" t="s">
        <v>126</v>
      </c>
      <c r="D9" s="153" t="s">
        <v>126</v>
      </c>
      <c r="E9" s="153" t="s">
        <v>126</v>
      </c>
      <c r="F9" s="153" t="s">
        <v>126</v>
      </c>
      <c r="G9" s="153" t="s">
        <v>126</v>
      </c>
      <c r="H9" s="153" t="s">
        <v>126</v>
      </c>
      <c r="I9" s="153" t="s">
        <v>15</v>
      </c>
      <c r="J9" s="153" t="s">
        <v>10</v>
      </c>
    </row>
    <row r="10" spans="1:10" ht="15.75" x14ac:dyDescent="0.25">
      <c r="A10" s="10"/>
      <c r="B10" s="10"/>
      <c r="C10" s="74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10">
        <v>1</v>
      </c>
      <c r="B11" s="11" t="s">
        <v>87</v>
      </c>
      <c r="C11" s="31">
        <f>'WP 1.2 Forecast Sales'!C6*1000</f>
        <v>581951063.94973934</v>
      </c>
      <c r="D11" s="31">
        <f>'WP 1.2 Forecast Sales'!D6*1000</f>
        <v>492696979.5606789</v>
      </c>
      <c r="E11" s="31">
        <f>'WP 1.2 Forecast Sales'!E6*1000</f>
        <v>428552851.48700136</v>
      </c>
      <c r="F11" s="31">
        <f>'WP 1.2 Forecast Sales'!F6*1000</f>
        <v>351147079.00455445</v>
      </c>
      <c r="G11" s="31">
        <f>'WP 1.2 Forecast Sales'!G6*1000</f>
        <v>329793554.36091667</v>
      </c>
      <c r="H11" s="31">
        <f>'WP 1.2 Forecast Sales'!H6*1000</f>
        <v>358343853.99963176</v>
      </c>
      <c r="I11" s="240" t="s">
        <v>127</v>
      </c>
      <c r="J11" s="10">
        <v>1</v>
      </c>
    </row>
    <row r="12" spans="1:10" ht="15.75" x14ac:dyDescent="0.25">
      <c r="A12" s="10">
        <f>A11+1</f>
        <v>2</v>
      </c>
      <c r="B12" s="11"/>
      <c r="C12" s="398"/>
      <c r="D12" s="398"/>
      <c r="E12" s="398"/>
      <c r="F12" s="398"/>
      <c r="G12" s="398"/>
      <c r="H12" s="398"/>
      <c r="I12" s="399"/>
      <c r="J12" s="10">
        <f>J11+1</f>
        <v>2</v>
      </c>
    </row>
    <row r="13" spans="1:10" ht="15.75" x14ac:dyDescent="0.25">
      <c r="A13" s="10">
        <f t="shared" ref="A13:A45" si="0">A12+1</f>
        <v>3</v>
      </c>
      <c r="B13" s="11" t="s">
        <v>128</v>
      </c>
      <c r="C13" s="31">
        <f>'WP 1.2 Forecast Sales'!C7*1000</f>
        <v>144107363.21021485</v>
      </c>
      <c r="D13" s="31">
        <f>'WP 1.2 Forecast Sales'!D7*1000</f>
        <v>138272842.90925261</v>
      </c>
      <c r="E13" s="31">
        <f>'WP 1.2 Forecast Sales'!E7*1000</f>
        <v>134573594.41289726</v>
      </c>
      <c r="F13" s="31">
        <f>'WP 1.2 Forecast Sales'!F7*1000</f>
        <v>131765537.0271609</v>
      </c>
      <c r="G13" s="31">
        <f>'WP 1.2 Forecast Sales'!G7*1000</f>
        <v>131661717.97557761</v>
      </c>
      <c r="H13" s="31">
        <f>'WP 1.2 Forecast Sales'!H7*1000</f>
        <v>137231207.00319645</v>
      </c>
      <c r="I13" s="240" t="s">
        <v>129</v>
      </c>
      <c r="J13" s="10">
        <f t="shared" ref="J13:J45" si="1">J12+1</f>
        <v>3</v>
      </c>
    </row>
    <row r="14" spans="1:10" ht="15.75" x14ac:dyDescent="0.25">
      <c r="A14" s="10">
        <f t="shared" si="0"/>
        <v>4</v>
      </c>
      <c r="B14" s="385"/>
      <c r="C14" s="393"/>
      <c r="D14" s="393"/>
      <c r="E14" s="393"/>
      <c r="F14" s="393"/>
      <c r="G14" s="393"/>
      <c r="H14" s="393"/>
      <c r="I14" s="400"/>
      <c r="J14" s="10">
        <f t="shared" si="1"/>
        <v>4</v>
      </c>
    </row>
    <row r="15" spans="1:10" ht="15.75" x14ac:dyDescent="0.25">
      <c r="A15" s="10">
        <f t="shared" si="0"/>
        <v>5</v>
      </c>
      <c r="B15" s="17" t="s">
        <v>93</v>
      </c>
      <c r="C15" s="31">
        <f>'WP 1.2 Forecast Sales'!C8*1000</f>
        <v>765705742.69224644</v>
      </c>
      <c r="D15" s="31">
        <f>'WP 1.2 Forecast Sales'!D8*1000</f>
        <v>729645227.43934464</v>
      </c>
      <c r="E15" s="31">
        <f>'WP 1.2 Forecast Sales'!E8*1000</f>
        <v>735335993.68216443</v>
      </c>
      <c r="F15" s="31">
        <f>'WP 1.2 Forecast Sales'!F8*1000</f>
        <v>736947447.38345444</v>
      </c>
      <c r="G15" s="31">
        <f>'WP 1.2 Forecast Sales'!G8*1000</f>
        <v>750185451.58503461</v>
      </c>
      <c r="H15" s="31">
        <f>'WP 1.2 Forecast Sales'!H8*1000</f>
        <v>785559786.6440084</v>
      </c>
      <c r="I15" s="240" t="s">
        <v>130</v>
      </c>
      <c r="J15" s="10">
        <f t="shared" si="1"/>
        <v>5</v>
      </c>
    </row>
    <row r="16" spans="1:10" ht="15.75" x14ac:dyDescent="0.25">
      <c r="A16" s="10">
        <f t="shared" si="0"/>
        <v>6</v>
      </c>
      <c r="B16" s="11"/>
      <c r="C16" s="31"/>
      <c r="D16" s="31"/>
      <c r="E16" s="31"/>
      <c r="F16" s="31"/>
      <c r="G16" s="31"/>
      <c r="H16" s="31"/>
      <c r="I16" s="401"/>
      <c r="J16" s="10">
        <f t="shared" si="1"/>
        <v>6</v>
      </c>
    </row>
    <row r="17" spans="1:10" ht="15.75" x14ac:dyDescent="0.25">
      <c r="A17" s="10">
        <f t="shared" si="0"/>
        <v>7</v>
      </c>
      <c r="B17" s="11" t="s">
        <v>96</v>
      </c>
      <c r="C17" s="31">
        <f>'WP 1.2 Forecast Sales'!C10*1000</f>
        <v>13091854.240588294</v>
      </c>
      <c r="D17" s="31">
        <f>'WP 1.2 Forecast Sales'!D10*1000</f>
        <v>11486892.260890368</v>
      </c>
      <c r="E17" s="31">
        <f>'WP 1.2 Forecast Sales'!E10*1000</f>
        <v>10732695.143472746</v>
      </c>
      <c r="F17" s="31">
        <f>'WP 1.2 Forecast Sales'!F10*1000</f>
        <v>12338071.168339368</v>
      </c>
      <c r="G17" s="31">
        <f>'WP 1.2 Forecast Sales'!G10*1000</f>
        <v>17539397.417400178</v>
      </c>
      <c r="H17" s="31">
        <f>'WP 1.2 Forecast Sales'!H10*1000</f>
        <v>19452397.35405463</v>
      </c>
      <c r="I17" s="240" t="s">
        <v>131</v>
      </c>
      <c r="J17" s="10">
        <f t="shared" si="1"/>
        <v>7</v>
      </c>
    </row>
    <row r="18" spans="1:10" ht="15.75" x14ac:dyDescent="0.25">
      <c r="A18" s="10">
        <f t="shared" si="0"/>
        <v>8</v>
      </c>
      <c r="B18" s="11"/>
      <c r="C18" s="31"/>
      <c r="D18" s="31"/>
      <c r="E18" s="31"/>
      <c r="F18" s="31"/>
      <c r="G18" s="31"/>
      <c r="H18" s="31"/>
      <c r="I18" s="401"/>
      <c r="J18" s="10">
        <f t="shared" si="1"/>
        <v>8</v>
      </c>
    </row>
    <row r="19" spans="1:10" ht="15.75" x14ac:dyDescent="0.25">
      <c r="A19" s="10">
        <f t="shared" si="0"/>
        <v>9</v>
      </c>
      <c r="B19" s="11" t="s">
        <v>99</v>
      </c>
      <c r="C19" s="31">
        <f>'WP 1.2 Forecast Sales'!C11*1000</f>
        <v>12797459.810848907</v>
      </c>
      <c r="D19" s="31">
        <f>'WP 1.2 Forecast Sales'!D11*1000</f>
        <v>12196077.661078025</v>
      </c>
      <c r="E19" s="31">
        <f>'WP 1.2 Forecast Sales'!E11*1000</f>
        <v>11419642.272459194</v>
      </c>
      <c r="F19" s="31">
        <f>'WP 1.2 Forecast Sales'!F11*1000</f>
        <v>11837381.514093854</v>
      </c>
      <c r="G19" s="31">
        <f>'WP 1.2 Forecast Sales'!G11*1000</f>
        <v>13945730.829236403</v>
      </c>
      <c r="H19" s="31">
        <f>'WP 1.2 Forecast Sales'!H11*1000</f>
        <v>14406360.232370242</v>
      </c>
      <c r="I19" s="240" t="s">
        <v>132</v>
      </c>
      <c r="J19" s="10">
        <f t="shared" si="1"/>
        <v>9</v>
      </c>
    </row>
    <row r="20" spans="1:10" ht="15.75" x14ac:dyDescent="0.25">
      <c r="A20" s="10">
        <f t="shared" si="0"/>
        <v>10</v>
      </c>
      <c r="B20" s="11"/>
      <c r="C20" s="31"/>
      <c r="D20" s="31"/>
      <c r="E20" s="31"/>
      <c r="F20" s="31"/>
      <c r="G20" s="31"/>
      <c r="H20" s="31"/>
      <c r="I20" s="401"/>
      <c r="J20" s="10">
        <f t="shared" si="1"/>
        <v>10</v>
      </c>
    </row>
    <row r="21" spans="1:10" ht="15.75" x14ac:dyDescent="0.25">
      <c r="A21" s="10">
        <f t="shared" si="0"/>
        <v>11</v>
      </c>
      <c r="B21" s="11" t="s">
        <v>133</v>
      </c>
      <c r="C21" s="38">
        <f>'WP 1.2 Forecast Sales'!C12*1000</f>
        <v>6750778.8952496238</v>
      </c>
      <c r="D21" s="38">
        <f>'WP 1.2 Forecast Sales'!D12*1000</f>
        <v>6612938.3654640066</v>
      </c>
      <c r="E21" s="38">
        <f>'WP 1.2 Forecast Sales'!E12*1000</f>
        <v>6450800.9692319613</v>
      </c>
      <c r="F21" s="38">
        <f>'WP 1.2 Forecast Sales'!F12*1000</f>
        <v>6274323.755912628</v>
      </c>
      <c r="G21" s="38">
        <f>'WP 1.2 Forecast Sales'!G12*1000</f>
        <v>6272576.2161369994</v>
      </c>
      <c r="H21" s="38">
        <f>'WP 1.2 Forecast Sales'!H12*1000</f>
        <v>6313019.4469642797</v>
      </c>
      <c r="I21" s="240" t="s">
        <v>134</v>
      </c>
      <c r="J21" s="10">
        <f t="shared" si="1"/>
        <v>11</v>
      </c>
    </row>
    <row r="22" spans="1:10" ht="15.75" x14ac:dyDescent="0.25">
      <c r="A22" s="10">
        <f t="shared" si="0"/>
        <v>12</v>
      </c>
      <c r="B22" s="11"/>
      <c r="C22" s="31"/>
      <c r="D22" s="31"/>
      <c r="E22" s="31"/>
      <c r="F22" s="31"/>
      <c r="G22" s="31"/>
      <c r="H22" s="31"/>
      <c r="I22" s="162"/>
      <c r="J22" s="10">
        <f t="shared" si="1"/>
        <v>12</v>
      </c>
    </row>
    <row r="23" spans="1:10" ht="16.5" thickBot="1" x14ac:dyDescent="0.3">
      <c r="A23" s="10">
        <f t="shared" si="0"/>
        <v>13</v>
      </c>
      <c r="B23" s="11" t="s">
        <v>118</v>
      </c>
      <c r="C23" s="474">
        <f>SUM(C11:C21)</f>
        <v>1524404262.7988873</v>
      </c>
      <c r="D23" s="474">
        <f t="shared" ref="D23:H23" si="2">SUM(D11:D21)</f>
        <v>1390910958.1967084</v>
      </c>
      <c r="E23" s="474">
        <f t="shared" si="2"/>
        <v>1327065577.967227</v>
      </c>
      <c r="F23" s="474">
        <f t="shared" si="2"/>
        <v>1250309839.8535154</v>
      </c>
      <c r="G23" s="474">
        <f t="shared" si="2"/>
        <v>1249398428.3843024</v>
      </c>
      <c r="H23" s="474">
        <f t="shared" si="2"/>
        <v>1321306624.6802258</v>
      </c>
      <c r="I23" s="399" t="s">
        <v>135</v>
      </c>
      <c r="J23" s="10">
        <f t="shared" si="1"/>
        <v>13</v>
      </c>
    </row>
    <row r="24" spans="1:10" ht="17.25" thickTop="1" thickBot="1" x14ac:dyDescent="0.3">
      <c r="A24" s="57">
        <f t="shared" si="0"/>
        <v>14</v>
      </c>
      <c r="B24" s="419"/>
      <c r="C24" s="820"/>
      <c r="D24" s="58"/>
      <c r="E24" s="58"/>
      <c r="F24" s="58"/>
      <c r="G24" s="58"/>
      <c r="H24" s="58"/>
      <c r="I24" s="58"/>
      <c r="J24" s="57">
        <f t="shared" si="1"/>
        <v>14</v>
      </c>
    </row>
    <row r="25" spans="1:10" ht="15.75" x14ac:dyDescent="0.25">
      <c r="A25" s="10">
        <f t="shared" si="0"/>
        <v>15</v>
      </c>
      <c r="B25" s="420"/>
      <c r="C25" s="408"/>
      <c r="D25" s="408"/>
      <c r="E25" s="408"/>
      <c r="F25" s="408"/>
      <c r="G25" s="408"/>
      <c r="H25" s="408"/>
      <c r="I25" s="17"/>
      <c r="J25" s="10">
        <f t="shared" si="1"/>
        <v>15</v>
      </c>
    </row>
    <row r="26" spans="1:10" ht="16.5" thickBot="1" x14ac:dyDescent="0.3">
      <c r="A26" s="57">
        <f>A25+1</f>
        <v>16</v>
      </c>
      <c r="B26" s="419"/>
      <c r="C26" s="57" t="s">
        <v>136</v>
      </c>
      <c r="D26" s="57" t="s">
        <v>136</v>
      </c>
      <c r="E26" s="57" t="s">
        <v>136</v>
      </c>
      <c r="F26" s="57" t="s">
        <v>136</v>
      </c>
      <c r="G26" s="57" t="s">
        <v>136</v>
      </c>
      <c r="H26" s="57" t="s">
        <v>136</v>
      </c>
      <c r="I26" s="57"/>
      <c r="J26" s="57">
        <f>J25+1</f>
        <v>16</v>
      </c>
    </row>
    <row r="27" spans="1:10" ht="15.75" x14ac:dyDescent="0.25">
      <c r="A27" s="10">
        <f t="shared" si="0"/>
        <v>17</v>
      </c>
      <c r="B27" s="448"/>
      <c r="C27" s="75"/>
      <c r="D27" s="10"/>
      <c r="E27" s="10"/>
      <c r="F27" s="10"/>
      <c r="G27" s="10"/>
      <c r="H27" s="10"/>
      <c r="I27" s="409" t="s">
        <v>536</v>
      </c>
      <c r="J27" s="10">
        <f t="shared" si="1"/>
        <v>17</v>
      </c>
    </row>
    <row r="28" spans="1:10" ht="15.75" x14ac:dyDescent="0.25">
      <c r="A28" s="10">
        <f t="shared" si="0"/>
        <v>18</v>
      </c>
      <c r="B28" s="11" t="s">
        <v>538</v>
      </c>
      <c r="C28" s="384">
        <v>-3.0400000000000002E-3</v>
      </c>
      <c r="D28" s="384">
        <f>$C28</f>
        <v>-3.0400000000000002E-3</v>
      </c>
      <c r="E28" s="384">
        <f>$C28</f>
        <v>-3.0400000000000002E-3</v>
      </c>
      <c r="F28" s="384">
        <f>$C28</f>
        <v>-3.0400000000000002E-3</v>
      </c>
      <c r="G28" s="384">
        <f>$C28</f>
        <v>-3.0400000000000002E-3</v>
      </c>
      <c r="H28" s="384">
        <f>$C28</f>
        <v>-3.0400000000000002E-3</v>
      </c>
      <c r="I28" s="399" t="s">
        <v>513</v>
      </c>
      <c r="J28" s="10">
        <f t="shared" si="1"/>
        <v>18</v>
      </c>
    </row>
    <row r="29" spans="1:10" ht="16.5" thickBot="1" x14ac:dyDescent="0.3">
      <c r="A29" s="57">
        <f>A28+1</f>
        <v>19</v>
      </c>
      <c r="B29" s="419"/>
      <c r="C29" s="58"/>
      <c r="D29" s="58"/>
      <c r="E29" s="58"/>
      <c r="F29" s="58"/>
      <c r="G29" s="58"/>
      <c r="H29" s="58"/>
      <c r="I29" s="410"/>
      <c r="J29" s="57">
        <f>J28+1</f>
        <v>19</v>
      </c>
    </row>
    <row r="30" spans="1:10" ht="15.75" x14ac:dyDescent="0.25">
      <c r="A30" s="10">
        <f t="shared" si="0"/>
        <v>20</v>
      </c>
      <c r="B30" s="11"/>
      <c r="C30" s="17"/>
      <c r="D30" s="17"/>
      <c r="E30" s="17"/>
      <c r="F30" s="17"/>
      <c r="G30" s="17"/>
      <c r="H30" s="17"/>
      <c r="I30" s="17"/>
      <c r="J30" s="10">
        <f t="shared" si="1"/>
        <v>20</v>
      </c>
    </row>
    <row r="31" spans="1:10" ht="34.5" customHeight="1" thickBot="1" x14ac:dyDescent="0.3">
      <c r="A31" s="57">
        <f t="shared" si="0"/>
        <v>21</v>
      </c>
      <c r="B31" s="419"/>
      <c r="C31" s="403" t="s">
        <v>161</v>
      </c>
      <c r="D31" s="403" t="s">
        <v>161</v>
      </c>
      <c r="E31" s="403" t="s">
        <v>161</v>
      </c>
      <c r="F31" s="403" t="s">
        <v>161</v>
      </c>
      <c r="G31" s="403" t="s">
        <v>161</v>
      </c>
      <c r="H31" s="403" t="s">
        <v>161</v>
      </c>
      <c r="I31" s="57"/>
      <c r="J31" s="57">
        <f t="shared" si="1"/>
        <v>21</v>
      </c>
    </row>
    <row r="32" spans="1:10" ht="15.75" x14ac:dyDescent="0.25">
      <c r="A32" s="10">
        <f t="shared" si="0"/>
        <v>22</v>
      </c>
      <c r="B32" s="11"/>
      <c r="C32" s="10"/>
      <c r="D32" s="10"/>
      <c r="E32" s="10"/>
      <c r="F32" s="10"/>
      <c r="G32" s="10"/>
      <c r="H32" s="10"/>
      <c r="I32" s="74"/>
      <c r="J32" s="10">
        <f t="shared" si="1"/>
        <v>22</v>
      </c>
    </row>
    <row r="33" spans="1:10" ht="15.75" x14ac:dyDescent="0.25">
      <c r="A33" s="10">
        <f t="shared" si="0"/>
        <v>23</v>
      </c>
      <c r="B33" s="11" t="s">
        <v>87</v>
      </c>
      <c r="C33" s="141">
        <f>C11*C$28</f>
        <v>-1769131.2344072077</v>
      </c>
      <c r="D33" s="141">
        <f t="shared" ref="D33:H33" si="3">D11*D$28</f>
        <v>-1497798.8178644639</v>
      </c>
      <c r="E33" s="141">
        <f t="shared" si="3"/>
        <v>-1302800.6685204841</v>
      </c>
      <c r="F33" s="141">
        <f t="shared" si="3"/>
        <v>-1067487.1201738457</v>
      </c>
      <c r="G33" s="141">
        <f t="shared" si="3"/>
        <v>-1002572.4052571867</v>
      </c>
      <c r="H33" s="141">
        <f t="shared" si="3"/>
        <v>-1089365.3161588807</v>
      </c>
      <c r="I33" s="26" t="s">
        <v>138</v>
      </c>
      <c r="J33" s="10">
        <f t="shared" si="1"/>
        <v>23</v>
      </c>
    </row>
    <row r="34" spans="1:10" ht="15.75" x14ac:dyDescent="0.25">
      <c r="A34" s="10">
        <f t="shared" si="0"/>
        <v>24</v>
      </c>
      <c r="B34" s="11"/>
      <c r="C34" s="398"/>
      <c r="D34" s="398"/>
      <c r="E34" s="398"/>
      <c r="F34" s="398"/>
      <c r="G34" s="398"/>
      <c r="H34" s="398"/>
      <c r="I34" s="404"/>
      <c r="J34" s="10">
        <f t="shared" si="1"/>
        <v>24</v>
      </c>
    </row>
    <row r="35" spans="1:10" ht="15.75" x14ac:dyDescent="0.25">
      <c r="A35" s="10">
        <f t="shared" si="0"/>
        <v>25</v>
      </c>
      <c r="B35" s="11" t="s">
        <v>128</v>
      </c>
      <c r="C35" s="44">
        <f>C13*C$28</f>
        <v>-438086.38415905315</v>
      </c>
      <c r="D35" s="44">
        <f t="shared" ref="D35:H35" si="4">D13*D$28</f>
        <v>-420349.44244412798</v>
      </c>
      <c r="E35" s="44">
        <f t="shared" si="4"/>
        <v>-409103.7270152077</v>
      </c>
      <c r="F35" s="44">
        <f t="shared" si="4"/>
        <v>-400567.23256256914</v>
      </c>
      <c r="G35" s="44">
        <f t="shared" si="4"/>
        <v>-400251.62264575594</v>
      </c>
      <c r="H35" s="44">
        <f t="shared" si="4"/>
        <v>-417182.86928971723</v>
      </c>
      <c r="I35" s="26" t="s">
        <v>139</v>
      </c>
      <c r="J35" s="10">
        <f t="shared" si="1"/>
        <v>25</v>
      </c>
    </row>
    <row r="36" spans="1:10" ht="15.75" x14ac:dyDescent="0.25">
      <c r="A36" s="10">
        <f t="shared" si="0"/>
        <v>26</v>
      </c>
      <c r="B36" s="385"/>
      <c r="C36" s="393"/>
      <c r="D36" s="393"/>
      <c r="E36" s="393"/>
      <c r="F36" s="393"/>
      <c r="G36" s="393"/>
      <c r="H36" s="393"/>
      <c r="I36" s="26"/>
      <c r="J36" s="10">
        <f t="shared" si="1"/>
        <v>26</v>
      </c>
    </row>
    <row r="37" spans="1:10" ht="15.75" x14ac:dyDescent="0.25">
      <c r="A37" s="10">
        <f t="shared" si="0"/>
        <v>27</v>
      </c>
      <c r="B37" s="17" t="s">
        <v>93</v>
      </c>
      <c r="C37" s="44">
        <f>C15*C$28</f>
        <v>-2327745.4577844292</v>
      </c>
      <c r="D37" s="44">
        <f t="shared" ref="D37:H37" si="5">D15*D$28</f>
        <v>-2218121.4914156077</v>
      </c>
      <c r="E37" s="44">
        <f t="shared" si="5"/>
        <v>-2235421.4207937801</v>
      </c>
      <c r="F37" s="44">
        <f t="shared" si="5"/>
        <v>-2240320.2400457016</v>
      </c>
      <c r="G37" s="44">
        <f t="shared" si="5"/>
        <v>-2280563.7728185053</v>
      </c>
      <c r="H37" s="44">
        <f t="shared" si="5"/>
        <v>-2388101.7513977857</v>
      </c>
      <c r="I37" s="26" t="s">
        <v>140</v>
      </c>
      <c r="J37" s="10">
        <f t="shared" si="1"/>
        <v>27</v>
      </c>
    </row>
    <row r="38" spans="1:10" ht="15.75" x14ac:dyDescent="0.25">
      <c r="A38" s="10">
        <f t="shared" si="0"/>
        <v>28</v>
      </c>
      <c r="B38" s="11"/>
      <c r="C38" s="44"/>
      <c r="D38" s="44"/>
      <c r="E38" s="44"/>
      <c r="F38" s="44"/>
      <c r="G38" s="44"/>
      <c r="H38" s="44"/>
      <c r="I38" s="26"/>
      <c r="J38" s="10">
        <f t="shared" si="1"/>
        <v>28</v>
      </c>
    </row>
    <row r="39" spans="1:10" ht="15.75" x14ac:dyDescent="0.25">
      <c r="A39" s="10">
        <f t="shared" si="0"/>
        <v>29</v>
      </c>
      <c r="B39" s="11" t="s">
        <v>96</v>
      </c>
      <c r="C39" s="44">
        <f>C17*C$28</f>
        <v>-39799.23689138842</v>
      </c>
      <c r="D39" s="44">
        <f t="shared" ref="D39:H39" si="6">D17*D$28</f>
        <v>-34920.152473106718</v>
      </c>
      <c r="E39" s="44">
        <f t="shared" si="6"/>
        <v>-32627.39323615715</v>
      </c>
      <c r="F39" s="44">
        <f t="shared" si="6"/>
        <v>-37507.736351751679</v>
      </c>
      <c r="G39" s="44">
        <f t="shared" si="6"/>
        <v>-53319.768148896546</v>
      </c>
      <c r="H39" s="44">
        <f t="shared" si="6"/>
        <v>-59135.287956326079</v>
      </c>
      <c r="I39" s="26" t="s">
        <v>141</v>
      </c>
      <c r="J39" s="10">
        <f t="shared" si="1"/>
        <v>29</v>
      </c>
    </row>
    <row r="40" spans="1:10" ht="15.75" x14ac:dyDescent="0.25">
      <c r="A40" s="10">
        <f t="shared" si="0"/>
        <v>30</v>
      </c>
      <c r="B40" s="11"/>
      <c r="C40" s="44"/>
      <c r="D40" s="44"/>
      <c r="E40" s="44"/>
      <c r="F40" s="44"/>
      <c r="G40" s="44"/>
      <c r="H40" s="44"/>
      <c r="I40" s="26"/>
      <c r="J40" s="10">
        <f t="shared" si="1"/>
        <v>30</v>
      </c>
    </row>
    <row r="41" spans="1:10" ht="15.75" x14ac:dyDescent="0.25">
      <c r="A41" s="10">
        <f t="shared" si="0"/>
        <v>31</v>
      </c>
      <c r="B41" s="11" t="s">
        <v>99</v>
      </c>
      <c r="C41" s="44">
        <f>C19*C$28</f>
        <v>-38904.27782498068</v>
      </c>
      <c r="D41" s="44">
        <f t="shared" ref="D41:H41" si="7">D19*D$28</f>
        <v>-37076.076089677197</v>
      </c>
      <c r="E41" s="44">
        <f t="shared" si="7"/>
        <v>-34715.712508275952</v>
      </c>
      <c r="F41" s="44">
        <f t="shared" si="7"/>
        <v>-35985.639802845319</v>
      </c>
      <c r="G41" s="44">
        <f t="shared" si="7"/>
        <v>-42395.021720878671</v>
      </c>
      <c r="H41" s="44">
        <f t="shared" si="7"/>
        <v>-43795.335106405539</v>
      </c>
      <c r="I41" s="26" t="s">
        <v>142</v>
      </c>
      <c r="J41" s="10">
        <f t="shared" si="1"/>
        <v>31</v>
      </c>
    </row>
    <row r="42" spans="1:10" ht="15.75" x14ac:dyDescent="0.25">
      <c r="A42" s="10">
        <f t="shared" si="0"/>
        <v>32</v>
      </c>
      <c r="B42" s="11"/>
      <c r="C42" s="44"/>
      <c r="D42" s="44"/>
      <c r="E42" s="44"/>
      <c r="F42" s="44"/>
      <c r="G42" s="44"/>
      <c r="H42" s="44"/>
      <c r="I42" s="26"/>
      <c r="J42" s="10">
        <f t="shared" si="1"/>
        <v>32</v>
      </c>
    </row>
    <row r="43" spans="1:10" ht="15.75" x14ac:dyDescent="0.25">
      <c r="A43" s="10">
        <f t="shared" si="0"/>
        <v>33</v>
      </c>
      <c r="B43" s="11" t="s">
        <v>133</v>
      </c>
      <c r="C43" s="51">
        <f>C21*C$28</f>
        <v>-20522.367841558858</v>
      </c>
      <c r="D43" s="51">
        <f t="shared" ref="D43:H43" si="8">D21*D$28</f>
        <v>-20103.33263101058</v>
      </c>
      <c r="E43" s="51">
        <f t="shared" si="8"/>
        <v>-19610.434946465164</v>
      </c>
      <c r="F43" s="51">
        <f t="shared" si="8"/>
        <v>-19073.944217974389</v>
      </c>
      <c r="G43" s="51">
        <f t="shared" si="8"/>
        <v>-19068.63169705648</v>
      </c>
      <c r="H43" s="51">
        <f t="shared" si="8"/>
        <v>-19191.579118771413</v>
      </c>
      <c r="I43" s="26" t="s">
        <v>143</v>
      </c>
      <c r="J43" s="10">
        <f t="shared" si="1"/>
        <v>33</v>
      </c>
    </row>
    <row r="44" spans="1:10" ht="15.75" x14ac:dyDescent="0.25">
      <c r="A44" s="10">
        <f t="shared" si="0"/>
        <v>34</v>
      </c>
      <c r="B44" s="11"/>
      <c r="C44" s="138"/>
      <c r="D44" s="138"/>
      <c r="E44" s="138"/>
      <c r="F44" s="138"/>
      <c r="G44" s="138"/>
      <c r="H44" s="138"/>
      <c r="I44" s="26"/>
      <c r="J44" s="10">
        <f t="shared" si="1"/>
        <v>34</v>
      </c>
    </row>
    <row r="45" spans="1:10" ht="16.5" thickBot="1" x14ac:dyDescent="0.3">
      <c r="A45" s="10">
        <f t="shared" si="0"/>
        <v>35</v>
      </c>
      <c r="B45" s="11" t="s">
        <v>118</v>
      </c>
      <c r="C45" s="394">
        <f>SUM(C33:C43)</f>
        <v>-4634188.9589086175</v>
      </c>
      <c r="D45" s="394">
        <f t="shared" ref="D45:H45" si="9">SUM(D33:D43)</f>
        <v>-4228369.3129179934</v>
      </c>
      <c r="E45" s="394">
        <f t="shared" si="9"/>
        <v>-4034279.3570203702</v>
      </c>
      <c r="F45" s="394">
        <f t="shared" si="9"/>
        <v>-3800941.9131546877</v>
      </c>
      <c r="G45" s="394">
        <f t="shared" si="9"/>
        <v>-3798171.2222882798</v>
      </c>
      <c r="H45" s="394">
        <f t="shared" si="9"/>
        <v>-4016772.139027887</v>
      </c>
      <c r="I45" s="405" t="s">
        <v>144</v>
      </c>
      <c r="J45" s="10">
        <f t="shared" si="1"/>
        <v>35</v>
      </c>
    </row>
    <row r="46" spans="1:10" ht="17.25" thickTop="1" thickBot="1" x14ac:dyDescent="0.3">
      <c r="A46" s="57"/>
      <c r="B46" s="57"/>
      <c r="C46" s="820"/>
      <c r="D46" s="58"/>
      <c r="E46" s="58"/>
      <c r="F46" s="58"/>
      <c r="G46" s="58"/>
      <c r="H46" s="58"/>
      <c r="I46" s="58"/>
      <c r="J46" s="57"/>
    </row>
    <row r="47" spans="1:10" ht="15.75" x14ac:dyDescent="0.25">
      <c r="A47" s="37"/>
      <c r="B47" s="390"/>
      <c r="C47" s="22"/>
      <c r="D47" s="22"/>
      <c r="E47" s="22"/>
      <c r="F47" s="22"/>
      <c r="G47" s="22"/>
      <c r="H47" s="22"/>
      <c r="I47" s="22"/>
      <c r="J47" s="22"/>
    </row>
    <row r="48" spans="1:10" ht="18.75" x14ac:dyDescent="0.25">
      <c r="A48" s="69"/>
      <c r="B48" s="22"/>
      <c r="C48" s="397"/>
      <c r="D48" s="22"/>
      <c r="E48" s="22"/>
      <c r="F48" s="22"/>
      <c r="G48" s="22"/>
      <c r="H48" s="22"/>
      <c r="I48" s="22"/>
      <c r="J48" s="22"/>
    </row>
    <row r="49" spans="1:10" ht="15.75" x14ac:dyDescent="0.25">
      <c r="A49" s="821"/>
      <c r="B49" s="22"/>
      <c r="D49" s="22"/>
      <c r="E49" s="22"/>
      <c r="F49" s="22"/>
      <c r="G49" s="22"/>
      <c r="H49" s="22"/>
      <c r="I49" s="22"/>
      <c r="J49" s="22"/>
    </row>
    <row r="50" spans="1:10" ht="15.75" x14ac:dyDescent="0.25">
      <c r="A50" s="821"/>
      <c r="B50" s="22"/>
      <c r="C50" s="822"/>
      <c r="D50" s="22"/>
      <c r="E50" s="22"/>
      <c r="F50" s="22"/>
      <c r="G50" s="22"/>
      <c r="H50" s="22"/>
      <c r="I50" s="22"/>
      <c r="J50" s="22"/>
    </row>
    <row r="51" spans="1:10" ht="15.75" x14ac:dyDescent="0.25">
      <c r="A51" s="821"/>
      <c r="D51" s="22"/>
      <c r="E51" s="22"/>
      <c r="F51" s="22"/>
      <c r="G51" s="22"/>
      <c r="H51" s="22"/>
      <c r="I51" s="22"/>
      <c r="J51" s="22"/>
    </row>
    <row r="52" spans="1:10" ht="15.75" x14ac:dyDescent="0.25">
      <c r="A52" s="37"/>
      <c r="B52" s="22"/>
      <c r="C52" s="22"/>
      <c r="D52" s="22"/>
      <c r="E52" s="22"/>
      <c r="F52" s="22"/>
      <c r="G52" s="22"/>
      <c r="H52" s="22"/>
      <c r="I52" s="22"/>
      <c r="J52" s="22"/>
    </row>
    <row r="53" spans="1:10" ht="15.75" x14ac:dyDescent="0.25">
      <c r="A53" s="37"/>
      <c r="B53" s="22"/>
      <c r="C53" s="22"/>
      <c r="D53" s="22"/>
      <c r="E53" s="22"/>
      <c r="F53" s="22"/>
      <c r="G53" s="22"/>
      <c r="H53" s="22"/>
      <c r="I53" s="22"/>
      <c r="J53" s="22"/>
    </row>
    <row r="54" spans="1:10" ht="15.75" x14ac:dyDescent="0.25">
      <c r="A54" s="37"/>
      <c r="B54" s="22"/>
      <c r="C54" s="22"/>
      <c r="D54" s="22"/>
      <c r="E54" s="22"/>
      <c r="F54" s="22"/>
      <c r="G54" s="22"/>
      <c r="H54" s="22"/>
      <c r="I54" s="22"/>
      <c r="J54" s="22"/>
    </row>
    <row r="55" spans="1:10" ht="15.75" x14ac:dyDescent="0.25">
      <c r="A55" s="37"/>
      <c r="B55" s="22"/>
      <c r="C55" s="22"/>
      <c r="D55" s="22"/>
      <c r="E55" s="22"/>
      <c r="F55" s="22"/>
      <c r="G55" s="22"/>
      <c r="H55" s="22"/>
      <c r="I55" s="22"/>
      <c r="J55" s="22"/>
    </row>
    <row r="56" spans="1:10" ht="15.75" x14ac:dyDescent="0.25">
      <c r="A56" s="37"/>
      <c r="B56" s="22"/>
      <c r="C56" s="22"/>
      <c r="D56" s="22"/>
      <c r="E56" s="22"/>
      <c r="F56" s="22"/>
      <c r="G56" s="22"/>
      <c r="H56" s="22"/>
      <c r="I56" s="22"/>
      <c r="J56" s="22"/>
    </row>
    <row r="57" spans="1:10" ht="15.75" x14ac:dyDescent="0.25">
      <c r="A57" s="37"/>
      <c r="B57" s="22"/>
      <c r="C57" s="22"/>
      <c r="D57" s="22"/>
      <c r="E57" s="22"/>
      <c r="F57" s="22"/>
      <c r="G57" s="22"/>
      <c r="H57" s="22"/>
      <c r="I57" s="22"/>
      <c r="J57" s="22"/>
    </row>
    <row r="58" spans="1:10" ht="15.75" x14ac:dyDescent="0.25">
      <c r="A58" s="37"/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15.75" x14ac:dyDescent="0.25">
      <c r="A59" s="37"/>
      <c r="B59" s="22"/>
      <c r="C59" s="22"/>
      <c r="D59" s="22"/>
      <c r="E59" s="22"/>
      <c r="F59" s="22"/>
      <c r="G59" s="22"/>
      <c r="H59" s="22"/>
      <c r="I59" s="22"/>
      <c r="J59" s="22"/>
    </row>
    <row r="60" spans="1:10" ht="15.75" x14ac:dyDescent="0.25">
      <c r="A60" s="37"/>
      <c r="B60" s="22"/>
      <c r="C60" s="22"/>
      <c r="D60" s="22"/>
      <c r="E60" s="22"/>
      <c r="F60" s="22"/>
      <c r="G60" s="22"/>
      <c r="H60" s="22"/>
      <c r="I60" s="22"/>
      <c r="J60" s="22"/>
    </row>
    <row r="61" spans="1:10" ht="15.75" x14ac:dyDescent="0.25">
      <c r="A61" s="37"/>
      <c r="B61" s="22"/>
      <c r="C61" s="22"/>
      <c r="D61" s="22"/>
      <c r="E61" s="22"/>
      <c r="F61" s="22"/>
      <c r="G61" s="22"/>
      <c r="H61" s="22"/>
      <c r="I61" s="22"/>
      <c r="J61" s="22"/>
    </row>
    <row r="62" spans="1:10" ht="15.75" x14ac:dyDescent="0.25">
      <c r="A62" s="37"/>
      <c r="B62" s="22"/>
      <c r="C62" s="22"/>
      <c r="D62" s="22"/>
      <c r="E62" s="22"/>
      <c r="F62" s="22"/>
      <c r="G62" s="22"/>
      <c r="H62" s="22"/>
      <c r="I62" s="22"/>
      <c r="J62" s="22"/>
    </row>
    <row r="63" spans="1:10" ht="15.75" x14ac:dyDescent="0.25">
      <c r="A63" s="37"/>
      <c r="B63" s="22"/>
      <c r="C63" s="22"/>
      <c r="D63" s="22"/>
      <c r="E63" s="22"/>
      <c r="F63" s="22"/>
      <c r="G63" s="22"/>
      <c r="H63" s="22"/>
      <c r="I63" s="22"/>
      <c r="J63" s="22"/>
    </row>
    <row r="64" spans="1:10" ht="15.75" x14ac:dyDescent="0.25">
      <c r="A64" s="37"/>
      <c r="B64" s="22"/>
      <c r="C64" s="22"/>
      <c r="D64" s="22"/>
      <c r="E64" s="22"/>
      <c r="F64" s="22"/>
      <c r="G64" s="22"/>
      <c r="H64" s="22"/>
      <c r="I64" s="22"/>
      <c r="J64" s="22"/>
    </row>
    <row r="65" spans="1:10" ht="15.75" x14ac:dyDescent="0.25">
      <c r="A65" s="37"/>
      <c r="B65" s="22"/>
      <c r="C65" s="22"/>
      <c r="D65" s="22"/>
      <c r="E65" s="22"/>
      <c r="F65" s="22"/>
      <c r="G65" s="22"/>
      <c r="H65" s="22"/>
      <c r="I65" s="22"/>
      <c r="J65" s="22"/>
    </row>
    <row r="66" spans="1:10" ht="15.75" x14ac:dyDescent="0.25">
      <c r="A66" s="37"/>
      <c r="B66" s="22"/>
      <c r="C66" s="22"/>
      <c r="D66" s="22"/>
      <c r="E66" s="22"/>
      <c r="F66" s="22"/>
      <c r="G66" s="22"/>
      <c r="H66" s="22"/>
      <c r="I66" s="22"/>
      <c r="J66" s="22"/>
    </row>
    <row r="67" spans="1:10" ht="15.75" x14ac:dyDescent="0.25">
      <c r="A67" s="37"/>
      <c r="B67" s="22"/>
      <c r="C67" s="22"/>
      <c r="D67" s="22"/>
      <c r="E67" s="22"/>
      <c r="F67" s="22"/>
      <c r="G67" s="22"/>
      <c r="H67" s="22"/>
      <c r="I67" s="22"/>
      <c r="J67" s="22"/>
    </row>
    <row r="68" spans="1:10" ht="15.75" x14ac:dyDescent="0.25">
      <c r="A68" s="37"/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5.75" x14ac:dyDescent="0.25">
      <c r="A69" s="37"/>
      <c r="B69" s="22"/>
      <c r="C69" s="22"/>
      <c r="D69" s="22"/>
      <c r="E69" s="22"/>
      <c r="F69" s="22"/>
      <c r="G69" s="22"/>
      <c r="H69" s="22"/>
      <c r="I69" s="22"/>
      <c r="J69" s="22"/>
    </row>
    <row r="70" spans="1:10" ht="15.75" x14ac:dyDescent="0.25">
      <c r="A70" s="37"/>
      <c r="B70" s="22"/>
      <c r="C70" s="22"/>
      <c r="D70" s="22"/>
      <c r="E70" s="22"/>
      <c r="F70" s="22"/>
      <c r="G70" s="22"/>
      <c r="H70" s="22"/>
      <c r="I70" s="22"/>
      <c r="J70" s="22"/>
    </row>
    <row r="71" spans="1:10" ht="15.75" x14ac:dyDescent="0.25">
      <c r="A71" s="37"/>
      <c r="B71" s="22"/>
      <c r="C71" s="22"/>
      <c r="D71" s="22"/>
      <c r="E71" s="22"/>
      <c r="F71" s="22"/>
      <c r="G71" s="22"/>
      <c r="H71" s="22"/>
      <c r="I71" s="22"/>
      <c r="J71" s="22"/>
    </row>
    <row r="72" spans="1:10" ht="15.75" x14ac:dyDescent="0.25">
      <c r="A72" s="37"/>
      <c r="B72" s="22"/>
      <c r="C72" s="22"/>
      <c r="D72" s="22"/>
      <c r="E72" s="22"/>
      <c r="F72" s="22"/>
      <c r="G72" s="22"/>
      <c r="H72" s="22"/>
      <c r="I72" s="22"/>
      <c r="J72" s="22"/>
    </row>
    <row r="73" spans="1:10" ht="15.75" x14ac:dyDescent="0.25">
      <c r="A73" s="37"/>
      <c r="B73" s="22"/>
      <c r="C73" s="22"/>
      <c r="D73" s="22"/>
      <c r="E73" s="22"/>
      <c r="F73" s="22"/>
      <c r="G73" s="22"/>
      <c r="H73" s="22"/>
      <c r="I73" s="22"/>
      <c r="J73" s="22"/>
    </row>
    <row r="74" spans="1:10" ht="15.75" x14ac:dyDescent="0.25">
      <c r="A74" s="37"/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5.75" x14ac:dyDescent="0.25">
      <c r="A75" s="37"/>
      <c r="B75" s="22"/>
      <c r="C75" s="22"/>
      <c r="D75" s="22"/>
      <c r="E75" s="22"/>
      <c r="F75" s="22"/>
      <c r="G75" s="22"/>
      <c r="H75" s="22"/>
      <c r="I75" s="22"/>
      <c r="J75" s="22"/>
    </row>
    <row r="76" spans="1:10" ht="15.75" x14ac:dyDescent="0.25">
      <c r="A76" s="37"/>
      <c r="B76" s="22"/>
      <c r="C76" s="22"/>
      <c r="D76" s="22"/>
      <c r="E76" s="22"/>
      <c r="F76" s="22"/>
      <c r="G76" s="22"/>
      <c r="H76" s="22"/>
      <c r="I76" s="22"/>
      <c r="J76" s="22"/>
    </row>
    <row r="77" spans="1:10" ht="15.75" x14ac:dyDescent="0.25">
      <c r="A77" s="37"/>
      <c r="B77" s="22"/>
      <c r="C77" s="22"/>
      <c r="D77" s="22"/>
      <c r="E77" s="22"/>
      <c r="F77" s="22"/>
      <c r="G77" s="22"/>
      <c r="H77" s="22"/>
      <c r="I77" s="22"/>
      <c r="J77" s="22"/>
    </row>
    <row r="78" spans="1:10" ht="15.75" x14ac:dyDescent="0.25">
      <c r="A78" s="37"/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2">
      <c r="A79" s="821"/>
    </row>
    <row r="80" spans="1:10" x14ac:dyDescent="0.2">
      <c r="A80" s="821"/>
    </row>
    <row r="81" spans="1:1" x14ac:dyDescent="0.2">
      <c r="A81" s="821"/>
    </row>
    <row r="82" spans="1:1" x14ac:dyDescent="0.2">
      <c r="A82" s="821"/>
    </row>
    <row r="83" spans="1:1" x14ac:dyDescent="0.2">
      <c r="A83" s="821"/>
    </row>
    <row r="84" spans="1:1" x14ac:dyDescent="0.2">
      <c r="A84" s="821"/>
    </row>
    <row r="85" spans="1:1" x14ac:dyDescent="0.2">
      <c r="A85" s="821"/>
    </row>
    <row r="86" spans="1:1" x14ac:dyDescent="0.2">
      <c r="A86" s="821"/>
    </row>
    <row r="87" spans="1:1" x14ac:dyDescent="0.2">
      <c r="A87" s="821"/>
    </row>
    <row r="88" spans="1:1" x14ac:dyDescent="0.2">
      <c r="A88" s="821"/>
    </row>
    <row r="89" spans="1:1" x14ac:dyDescent="0.2">
      <c r="A89" s="821"/>
    </row>
    <row r="90" spans="1:1" x14ac:dyDescent="0.2">
      <c r="A90" s="821"/>
    </row>
    <row r="91" spans="1:1" x14ac:dyDescent="0.2">
      <c r="A91" s="821"/>
    </row>
    <row r="92" spans="1:1" x14ac:dyDescent="0.2">
      <c r="A92" s="821"/>
    </row>
    <row r="93" spans="1:1" x14ac:dyDescent="0.2">
      <c r="A93" s="821"/>
    </row>
    <row r="94" spans="1:1" x14ac:dyDescent="0.2">
      <c r="A94" s="821"/>
    </row>
    <row r="95" spans="1:1" x14ac:dyDescent="0.2">
      <c r="A95" s="821"/>
    </row>
    <row r="96" spans="1:1" x14ac:dyDescent="0.2">
      <c r="A96" s="821"/>
    </row>
    <row r="97" spans="1:1" x14ac:dyDescent="0.2">
      <c r="A97" s="821"/>
    </row>
    <row r="98" spans="1:1" x14ac:dyDescent="0.2">
      <c r="A98" s="821"/>
    </row>
    <row r="99" spans="1:1" x14ac:dyDescent="0.2">
      <c r="A99" s="821"/>
    </row>
    <row r="100" spans="1:1" x14ac:dyDescent="0.2">
      <c r="A100" s="821"/>
    </row>
    <row r="101" spans="1:1" x14ac:dyDescent="0.2">
      <c r="A101" s="821"/>
    </row>
    <row r="102" spans="1:1" x14ac:dyDescent="0.2">
      <c r="A102" s="821"/>
    </row>
    <row r="103" spans="1:1" x14ac:dyDescent="0.2">
      <c r="A103" s="821"/>
    </row>
    <row r="104" spans="1:1" x14ac:dyDescent="0.2">
      <c r="A104" s="821"/>
    </row>
    <row r="105" spans="1:1" x14ac:dyDescent="0.2">
      <c r="A105" s="821"/>
    </row>
    <row r="106" spans="1:1" x14ac:dyDescent="0.2">
      <c r="A106" s="821"/>
    </row>
    <row r="107" spans="1:1" x14ac:dyDescent="0.2">
      <c r="A107" s="821"/>
    </row>
    <row r="108" spans="1:1" x14ac:dyDescent="0.2">
      <c r="A108" s="821"/>
    </row>
    <row r="109" spans="1:1" x14ac:dyDescent="0.2">
      <c r="A109" s="821"/>
    </row>
    <row r="110" spans="1:1" x14ac:dyDescent="0.2">
      <c r="A110" s="821"/>
    </row>
    <row r="111" spans="1:1" x14ac:dyDescent="0.2">
      <c r="A111" s="821"/>
    </row>
    <row r="112" spans="1:1" x14ac:dyDescent="0.2">
      <c r="A112" s="821"/>
    </row>
    <row r="113" spans="1:1" x14ac:dyDescent="0.2">
      <c r="A113" s="821"/>
    </row>
    <row r="114" spans="1:1" x14ac:dyDescent="0.2">
      <c r="A114" s="821"/>
    </row>
    <row r="115" spans="1:1" x14ac:dyDescent="0.2">
      <c r="A115" s="821"/>
    </row>
    <row r="116" spans="1:1" x14ac:dyDescent="0.2">
      <c r="A116" s="821"/>
    </row>
    <row r="117" spans="1:1" x14ac:dyDescent="0.2">
      <c r="A117" s="821"/>
    </row>
    <row r="118" spans="1:1" x14ac:dyDescent="0.2">
      <c r="A118" s="821"/>
    </row>
    <row r="119" spans="1:1" x14ac:dyDescent="0.2">
      <c r="A119" s="821"/>
    </row>
    <row r="120" spans="1:1" x14ac:dyDescent="0.2">
      <c r="A120" s="821"/>
    </row>
    <row r="121" spans="1:1" x14ac:dyDescent="0.2">
      <c r="A121" s="821"/>
    </row>
    <row r="122" spans="1:1" x14ac:dyDescent="0.2">
      <c r="A122" s="821"/>
    </row>
  </sheetData>
  <mergeCells count="1">
    <mergeCell ref="A4:J4"/>
  </mergeCells>
  <printOptions horizontalCentered="1"/>
  <pageMargins left="0.25" right="0.25" top="0.5" bottom="0.5" header="0.25" footer="0.25"/>
  <pageSetup scale="70" orientation="landscape" r:id="rId1"/>
  <headerFooter alignWithMargins="0">
    <oddFooter>&amp;L&amp;"Times New Roman,Regular"&amp;12&amp;F&amp;C&amp;"Times New Roman,Regular"&amp;12Page 2 of 3&amp;R&amp;"Times New Roman,Regular"&amp;12&amp;A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K122"/>
  <sheetViews>
    <sheetView zoomScale="80" zoomScaleNormal="80" workbookViewId="0">
      <selection activeCell="I45" sqref="I45"/>
    </sheetView>
  </sheetViews>
  <sheetFormatPr defaultColWidth="9.28515625" defaultRowHeight="12.75" x14ac:dyDescent="0.2"/>
  <cols>
    <col min="1" max="1" width="5.5703125" style="242" customWidth="1"/>
    <col min="2" max="2" width="45.5703125" style="242" customWidth="1"/>
    <col min="3" max="8" width="15.5703125" style="242" customWidth="1"/>
    <col min="9" max="9" width="17.5703125" style="242" customWidth="1"/>
    <col min="10" max="10" width="40.5703125" style="242" customWidth="1"/>
    <col min="11" max="11" width="5.5703125" style="242" customWidth="1"/>
    <col min="12" max="16384" width="9.28515625" style="242"/>
  </cols>
  <sheetData>
    <row r="2" spans="1:11" ht="15.75" x14ac:dyDescent="0.2">
      <c r="A2" s="5" t="s">
        <v>154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5.75" x14ac:dyDescent="0.2">
      <c r="A3" s="5" t="s">
        <v>46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.75" x14ac:dyDescent="0.2">
      <c r="A4" s="970" t="str">
        <f>'Stmt BH - Page 1'!A4:J4</f>
        <v>Transmission Revenue Balancing Account Adjustment (TRBAA) Revenue Data To Reflect Present Rates per ER26-336</v>
      </c>
      <c r="B4" s="970"/>
      <c r="C4" s="970"/>
      <c r="D4" s="970"/>
      <c r="E4" s="970"/>
      <c r="F4" s="970"/>
      <c r="G4" s="970"/>
      <c r="H4" s="970"/>
      <c r="I4" s="970"/>
      <c r="J4" s="970"/>
      <c r="K4" s="970"/>
    </row>
    <row r="5" spans="1:11" ht="15.75" x14ac:dyDescent="0.2">
      <c r="A5" s="418" t="str">
        <f>'Stmt BH - Page 1'!A5</f>
        <v>Rate Effective Period - Twelve Months Ending December 31, 2027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6.5" thickBo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15.75" x14ac:dyDescent="0.25">
      <c r="A7" s="75"/>
      <c r="B7" s="75"/>
      <c r="C7" s="569" t="s">
        <v>111</v>
      </c>
      <c r="D7" s="569" t="s">
        <v>145</v>
      </c>
      <c r="E7" s="569" t="s">
        <v>146</v>
      </c>
      <c r="F7" s="569" t="s">
        <v>147</v>
      </c>
      <c r="G7" s="569" t="s">
        <v>148</v>
      </c>
      <c r="H7" s="569" t="s">
        <v>149</v>
      </c>
      <c r="I7" s="569" t="s">
        <v>150</v>
      </c>
      <c r="J7" s="569" t="s">
        <v>150</v>
      </c>
      <c r="K7" s="75"/>
    </row>
    <row r="8" spans="1:11" ht="15.75" x14ac:dyDescent="0.25">
      <c r="A8" s="75" t="s">
        <v>7</v>
      </c>
      <c r="B8" s="75"/>
      <c r="C8" s="561">
        <f>'Stmt BH - Page 1'!C26</f>
        <v>46569</v>
      </c>
      <c r="D8" s="561">
        <f>'Stmt BH - Page 1'!D26</f>
        <v>46600</v>
      </c>
      <c r="E8" s="561">
        <f>'Stmt BH - Page 1'!E26</f>
        <v>46631</v>
      </c>
      <c r="F8" s="561">
        <f>'Stmt BH - Page 1'!F26</f>
        <v>46661</v>
      </c>
      <c r="G8" s="561">
        <f>'Stmt BH - Page 1'!G26</f>
        <v>46692</v>
      </c>
      <c r="H8" s="561">
        <f>'Stmt BH - Page 1'!H26</f>
        <v>46722</v>
      </c>
      <c r="I8" s="561" t="s">
        <v>17</v>
      </c>
      <c r="J8" s="562"/>
      <c r="K8" s="75" t="s">
        <v>7</v>
      </c>
    </row>
    <row r="9" spans="1:11" ht="16.5" thickBot="1" x14ac:dyDescent="0.3">
      <c r="A9" s="153" t="s">
        <v>10</v>
      </c>
      <c r="B9" s="153" t="s">
        <v>82</v>
      </c>
      <c r="C9" s="153" t="s">
        <v>126</v>
      </c>
      <c r="D9" s="153" t="s">
        <v>126</v>
      </c>
      <c r="E9" s="153" t="s">
        <v>126</v>
      </c>
      <c r="F9" s="153" t="s">
        <v>126</v>
      </c>
      <c r="G9" s="153" t="s">
        <v>126</v>
      </c>
      <c r="H9" s="153" t="s">
        <v>126</v>
      </c>
      <c r="I9" s="153" t="s">
        <v>126</v>
      </c>
      <c r="J9" s="153" t="s">
        <v>15</v>
      </c>
      <c r="K9" s="153" t="s">
        <v>10</v>
      </c>
    </row>
    <row r="10" spans="1:11" ht="15.75" x14ac:dyDescent="0.25">
      <c r="A10" s="10"/>
      <c r="B10" s="10"/>
      <c r="C10" s="74"/>
      <c r="D10" s="10"/>
      <c r="E10" s="10"/>
      <c r="F10" s="10"/>
      <c r="G10" s="10"/>
      <c r="H10" s="10"/>
      <c r="I10" s="10"/>
      <c r="J10" s="10"/>
      <c r="K10" s="10"/>
    </row>
    <row r="11" spans="1:11" ht="15.75" x14ac:dyDescent="0.25">
      <c r="A11" s="10">
        <v>1</v>
      </c>
      <c r="B11" s="11" t="s">
        <v>87</v>
      </c>
      <c r="C11" s="31">
        <f>'WP 1.2 Forecast Sales'!I6*1000</f>
        <v>447486447.4460699</v>
      </c>
      <c r="D11" s="31">
        <f>'WP 1.2 Forecast Sales'!J6*1000</f>
        <v>578590610.58834529</v>
      </c>
      <c r="E11" s="31">
        <f>'WP 1.2 Forecast Sales'!K6*1000</f>
        <v>697267967.67281425</v>
      </c>
      <c r="F11" s="31">
        <f>'WP 1.2 Forecast Sales'!L6*1000</f>
        <v>490925761.31075996</v>
      </c>
      <c r="G11" s="31">
        <f>'WP 1.2 Forecast Sales'!M6*1000</f>
        <v>437747490.3859365</v>
      </c>
      <c r="H11" s="31">
        <f>'WP 1.2 Forecast Sales'!N6*1000</f>
        <v>507338965.52355158</v>
      </c>
      <c r="I11" s="31">
        <f>SUM(C11:H11)+SUM('Stmt BH - Page 2'!C11:H11)</f>
        <v>5701842625.29</v>
      </c>
      <c r="J11" s="240" t="s">
        <v>127</v>
      </c>
      <c r="K11" s="10">
        <v>1</v>
      </c>
    </row>
    <row r="12" spans="1:11" ht="15.75" x14ac:dyDescent="0.25">
      <c r="A12" s="10">
        <f>A11+1</f>
        <v>2</v>
      </c>
      <c r="B12" s="11"/>
      <c r="C12" s="398"/>
      <c r="D12" s="398"/>
      <c r="E12" s="398"/>
      <c r="F12" s="398"/>
      <c r="G12" s="398"/>
      <c r="H12" s="398"/>
      <c r="I12" s="398"/>
      <c r="J12" s="399"/>
      <c r="K12" s="10">
        <f>K11+1</f>
        <v>2</v>
      </c>
    </row>
    <row r="13" spans="1:11" ht="15.75" x14ac:dyDescent="0.25">
      <c r="A13" s="10">
        <f t="shared" ref="A13:A25" si="0">A12+1</f>
        <v>3</v>
      </c>
      <c r="B13" s="11" t="s">
        <v>128</v>
      </c>
      <c r="C13" s="31">
        <f>'WP 1.2 Forecast Sales'!I7*1000</f>
        <v>151843445.90971327</v>
      </c>
      <c r="D13" s="31">
        <f>'WP 1.2 Forecast Sales'!J7*1000</f>
        <v>158329349.74851573</v>
      </c>
      <c r="E13" s="31">
        <f>'WP 1.2 Forecast Sales'!K7*1000</f>
        <v>167213654.35278749</v>
      </c>
      <c r="F13" s="31">
        <f>'WP 1.2 Forecast Sales'!L7*1000</f>
        <v>147326302.59582084</v>
      </c>
      <c r="G13" s="31">
        <f>'WP 1.2 Forecast Sales'!M7*1000</f>
        <v>136911554.3843582</v>
      </c>
      <c r="H13" s="31">
        <f>'WP 1.2 Forecast Sales'!N7*1000</f>
        <v>136792379.22979486</v>
      </c>
      <c r="I13" s="31">
        <f>SUM(C13:H13)+SUM('Stmt BH - Page 2'!C13:H13)</f>
        <v>1716028948.75929</v>
      </c>
      <c r="J13" s="240" t="s">
        <v>129</v>
      </c>
      <c r="K13" s="10">
        <f t="shared" ref="K13:K25" si="1">K12+1</f>
        <v>3</v>
      </c>
    </row>
    <row r="14" spans="1:11" ht="15.75" x14ac:dyDescent="0.25">
      <c r="A14" s="10">
        <f t="shared" si="0"/>
        <v>4</v>
      </c>
      <c r="B14" s="385"/>
      <c r="C14" s="393"/>
      <c r="D14" s="393"/>
      <c r="E14" s="393"/>
      <c r="F14" s="393"/>
      <c r="G14" s="393"/>
      <c r="H14" s="393"/>
      <c r="I14" s="31"/>
      <c r="J14" s="400"/>
      <c r="K14" s="10">
        <f t="shared" si="1"/>
        <v>4</v>
      </c>
    </row>
    <row r="15" spans="1:11" ht="15.75" x14ac:dyDescent="0.25">
      <c r="A15" s="10">
        <f t="shared" si="0"/>
        <v>5</v>
      </c>
      <c r="B15" s="17" t="s">
        <v>93</v>
      </c>
      <c r="C15" s="31">
        <f>'WP 1.2 Forecast Sales'!I8*1000</f>
        <v>859418181.45874178</v>
      </c>
      <c r="D15" s="31">
        <f>'WP 1.2 Forecast Sales'!J8*1000</f>
        <v>891352849.97691405</v>
      </c>
      <c r="E15" s="31">
        <f>'WP 1.2 Forecast Sales'!K8*1000</f>
        <v>944052274.49335873</v>
      </c>
      <c r="F15" s="31">
        <f>'WP 1.2 Forecast Sales'!L8*1000</f>
        <v>863722072.83452904</v>
      </c>
      <c r="G15" s="31">
        <f>'WP 1.2 Forecast Sales'!M8*1000</f>
        <v>801476618.07773983</v>
      </c>
      <c r="H15" s="31">
        <f>'WP 1.2 Forecast Sales'!N8*1000</f>
        <v>781425167.40657032</v>
      </c>
      <c r="I15" s="31">
        <f>SUM(C15:H15)+SUM('Stmt BH - Page 2'!C15:H15)</f>
        <v>9644826813.6741066</v>
      </c>
      <c r="J15" s="240" t="s">
        <v>130</v>
      </c>
      <c r="K15" s="10">
        <f t="shared" si="1"/>
        <v>5</v>
      </c>
    </row>
    <row r="16" spans="1:11" ht="15.75" x14ac:dyDescent="0.25">
      <c r="A16" s="10">
        <f t="shared" si="0"/>
        <v>6</v>
      </c>
      <c r="B16" s="11"/>
      <c r="C16" s="31"/>
      <c r="D16" s="31"/>
      <c r="E16" s="31"/>
      <c r="F16" s="31"/>
      <c r="G16" s="31"/>
      <c r="H16" s="31"/>
      <c r="I16" s="31"/>
      <c r="J16" s="401"/>
      <c r="K16" s="10">
        <f t="shared" si="1"/>
        <v>6</v>
      </c>
    </row>
    <row r="17" spans="1:11" ht="15.75" x14ac:dyDescent="0.25">
      <c r="A17" s="10">
        <f t="shared" si="0"/>
        <v>7</v>
      </c>
      <c r="B17" s="11" t="s">
        <v>96</v>
      </c>
      <c r="C17" s="31">
        <f>'WP 1.2 Forecast Sales'!I10*1000</f>
        <v>22099864.125682816</v>
      </c>
      <c r="D17" s="31">
        <f>'WP 1.2 Forecast Sales'!J10*1000</f>
        <v>23824802.490228191</v>
      </c>
      <c r="E17" s="31">
        <f>'WP 1.2 Forecast Sales'!K10*1000</f>
        <v>23812412.862468772</v>
      </c>
      <c r="F17" s="31">
        <f>'WP 1.2 Forecast Sales'!L10*1000</f>
        <v>21365681.930847757</v>
      </c>
      <c r="G17" s="31">
        <f>'WP 1.2 Forecast Sales'!M10*1000</f>
        <v>18296413.671310533</v>
      </c>
      <c r="H17" s="31">
        <f>'WP 1.2 Forecast Sales'!N10*1000</f>
        <v>16524176.177242862</v>
      </c>
      <c r="I17" s="31">
        <f>SUM(C17:H17)+SUM('Stmt BH - Page 2'!C17:H17)</f>
        <v>210564658.84252653</v>
      </c>
      <c r="J17" s="240" t="s">
        <v>131</v>
      </c>
      <c r="K17" s="10">
        <f t="shared" si="1"/>
        <v>7</v>
      </c>
    </row>
    <row r="18" spans="1:11" ht="15.75" x14ac:dyDescent="0.25">
      <c r="A18" s="10">
        <f t="shared" si="0"/>
        <v>8</v>
      </c>
      <c r="B18" s="11"/>
      <c r="C18" s="31"/>
      <c r="D18" s="31"/>
      <c r="E18" s="31"/>
      <c r="F18" s="31"/>
      <c r="G18" s="31"/>
      <c r="H18" s="31"/>
      <c r="I18" s="31"/>
      <c r="J18" s="401"/>
      <c r="K18" s="10">
        <f t="shared" si="1"/>
        <v>8</v>
      </c>
    </row>
    <row r="19" spans="1:11" ht="15.75" x14ac:dyDescent="0.25">
      <c r="A19" s="10">
        <f t="shared" si="0"/>
        <v>9</v>
      </c>
      <c r="B19" s="11" t="s">
        <v>99</v>
      </c>
      <c r="C19" s="31">
        <f>'WP 1.2 Forecast Sales'!I11*1000</f>
        <v>15724699.384545723</v>
      </c>
      <c r="D19" s="31">
        <f>'WP 1.2 Forecast Sales'!J11*1000</f>
        <v>15624734.934563439</v>
      </c>
      <c r="E19" s="31">
        <f>'WP 1.2 Forecast Sales'!K11*1000</f>
        <v>15600769.883308398</v>
      </c>
      <c r="F19" s="31">
        <f>'WP 1.2 Forecast Sales'!L11*1000</f>
        <v>14881191.396330534</v>
      </c>
      <c r="G19" s="31">
        <f>'WP 1.2 Forecast Sales'!M11*1000</f>
        <v>13690472.960480517</v>
      </c>
      <c r="H19" s="31">
        <f>'WP 1.2 Forecast Sales'!N11*1000</f>
        <v>12366034.940058453</v>
      </c>
      <c r="I19" s="31">
        <f>SUM(C19:H19)+SUM('Stmt BH - Page 2'!C19:H19)</f>
        <v>164490555.8193737</v>
      </c>
      <c r="J19" s="240" t="s">
        <v>132</v>
      </c>
      <c r="K19" s="10">
        <f t="shared" si="1"/>
        <v>9</v>
      </c>
    </row>
    <row r="20" spans="1:11" ht="15.75" x14ac:dyDescent="0.25">
      <c r="A20" s="10">
        <f t="shared" si="0"/>
        <v>10</v>
      </c>
      <c r="B20" s="11"/>
      <c r="C20" s="31"/>
      <c r="D20" s="31"/>
      <c r="E20" s="31"/>
      <c r="F20" s="31"/>
      <c r="G20" s="31"/>
      <c r="H20" s="31"/>
      <c r="I20" s="31"/>
      <c r="J20" s="401"/>
      <c r="K20" s="10">
        <f t="shared" si="1"/>
        <v>10</v>
      </c>
    </row>
    <row r="21" spans="1:11" ht="15.75" x14ac:dyDescent="0.25">
      <c r="A21" s="10">
        <f t="shared" si="0"/>
        <v>11</v>
      </c>
      <c r="B21" s="11" t="s">
        <v>133</v>
      </c>
      <c r="C21" s="38">
        <f>'WP 1.2 Forecast Sales'!I12*1000</f>
        <v>6230200.184444272</v>
      </c>
      <c r="D21" s="38">
        <f>'WP 1.2 Forecast Sales'!J12*1000</f>
        <v>6462615.5698103625</v>
      </c>
      <c r="E21" s="38">
        <f>'WP 1.2 Forecast Sales'!K12*1000</f>
        <v>6203566.78509886</v>
      </c>
      <c r="F21" s="38">
        <f>'WP 1.2 Forecast Sales'!L12*1000</f>
        <v>6483806.1853456227</v>
      </c>
      <c r="G21" s="38">
        <f>'WP 1.2 Forecast Sales'!M12*1000</f>
        <v>6805735.5814922359</v>
      </c>
      <c r="H21" s="38">
        <f>'WP 1.2 Forecast Sales'!N12*1000</f>
        <v>6823517.9044101126</v>
      </c>
      <c r="I21" s="38">
        <f>SUM(C21:H21)+SUM('Stmt BH - Page 2'!C21:H21)</f>
        <v>77683879.859560966</v>
      </c>
      <c r="J21" s="240" t="s">
        <v>134</v>
      </c>
      <c r="K21" s="10">
        <f t="shared" si="1"/>
        <v>11</v>
      </c>
    </row>
    <row r="22" spans="1:11" ht="15.75" x14ac:dyDescent="0.25">
      <c r="A22" s="10">
        <f t="shared" si="0"/>
        <v>12</v>
      </c>
      <c r="B22" s="11"/>
      <c r="C22" s="31"/>
      <c r="D22" s="31"/>
      <c r="E22" s="31"/>
      <c r="F22" s="31"/>
      <c r="G22" s="31"/>
      <c r="H22" s="31"/>
      <c r="I22" s="31"/>
      <c r="J22" s="31"/>
      <c r="K22" s="10">
        <f t="shared" si="1"/>
        <v>12</v>
      </c>
    </row>
    <row r="23" spans="1:11" ht="16.5" thickBot="1" x14ac:dyDescent="0.3">
      <c r="A23" s="10">
        <f t="shared" si="0"/>
        <v>13</v>
      </c>
      <c r="B23" s="11" t="s">
        <v>118</v>
      </c>
      <c r="C23" s="474">
        <f>SUM(C11:C21)</f>
        <v>1502802838.509198</v>
      </c>
      <c r="D23" s="474">
        <f t="shared" ref="D23:I23" si="2">SUM(D11:D21)</f>
        <v>1674184963.308377</v>
      </c>
      <c r="E23" s="474">
        <f t="shared" si="2"/>
        <v>1854150646.0498364</v>
      </c>
      <c r="F23" s="474">
        <f t="shared" si="2"/>
        <v>1544704816.2536337</v>
      </c>
      <c r="G23" s="474">
        <f t="shared" si="2"/>
        <v>1414928285.0613174</v>
      </c>
      <c r="H23" s="474">
        <f t="shared" si="2"/>
        <v>1461270241.1816282</v>
      </c>
      <c r="I23" s="474">
        <f t="shared" si="2"/>
        <v>17515437482.244858</v>
      </c>
      <c r="J23" s="404" t="s">
        <v>135</v>
      </c>
      <c r="K23" s="10">
        <f t="shared" si="1"/>
        <v>13</v>
      </c>
    </row>
    <row r="24" spans="1:11" ht="17.25" thickTop="1" thickBot="1" x14ac:dyDescent="0.3">
      <c r="A24" s="57">
        <f t="shared" si="0"/>
        <v>14</v>
      </c>
      <c r="B24" s="419"/>
      <c r="C24" s="820"/>
      <c r="D24" s="58"/>
      <c r="E24" s="58"/>
      <c r="F24" s="58"/>
      <c r="G24" s="58"/>
      <c r="H24" s="58"/>
      <c r="I24" s="58"/>
      <c r="J24" s="58"/>
      <c r="K24" s="57">
        <f t="shared" si="1"/>
        <v>14</v>
      </c>
    </row>
    <row r="25" spans="1:11" ht="15.75" x14ac:dyDescent="0.25">
      <c r="A25" s="10">
        <f t="shared" si="0"/>
        <v>15</v>
      </c>
      <c r="B25" s="420"/>
      <c r="C25" s="408"/>
      <c r="D25" s="408"/>
      <c r="E25" s="408"/>
      <c r="F25" s="408"/>
      <c r="G25" s="408"/>
      <c r="H25" s="408"/>
      <c r="I25" s="17"/>
      <c r="J25" s="17"/>
      <c r="K25" s="10">
        <f t="shared" si="1"/>
        <v>15</v>
      </c>
    </row>
    <row r="26" spans="1:11" ht="16.5" thickBot="1" x14ac:dyDescent="0.3">
      <c r="A26" s="57">
        <f>A25+1</f>
        <v>16</v>
      </c>
      <c r="B26" s="419"/>
      <c r="C26" s="57" t="s">
        <v>136</v>
      </c>
      <c r="D26" s="57" t="s">
        <v>136</v>
      </c>
      <c r="E26" s="57" t="s">
        <v>136</v>
      </c>
      <c r="F26" s="57" t="s">
        <v>136</v>
      </c>
      <c r="G26" s="57" t="s">
        <v>136</v>
      </c>
      <c r="H26" s="57" t="s">
        <v>136</v>
      </c>
      <c r="I26" s="57"/>
      <c r="J26" s="57"/>
      <c r="K26" s="57">
        <f>K25+1</f>
        <v>16</v>
      </c>
    </row>
    <row r="27" spans="1:11" ht="15.75" x14ac:dyDescent="0.25">
      <c r="A27" s="9">
        <f>A26+1</f>
        <v>17</v>
      </c>
      <c r="B27" s="8"/>
      <c r="C27" s="75"/>
      <c r="D27" s="9"/>
      <c r="E27" s="9"/>
      <c r="F27" s="9"/>
      <c r="G27" s="9"/>
      <c r="H27" s="9"/>
      <c r="I27" s="9"/>
      <c r="J27" s="409" t="str">
        <f>'Stmt BH - Page 2'!I27</f>
        <v>Statement BL (Non-CAISO); Page 1; Line 27</v>
      </c>
      <c r="K27" s="9">
        <f>K26+1</f>
        <v>17</v>
      </c>
    </row>
    <row r="28" spans="1:11" ht="15.75" x14ac:dyDescent="0.25">
      <c r="A28" s="10">
        <f>A27+1</f>
        <v>18</v>
      </c>
      <c r="B28" s="11" t="str">
        <f>'Stmt BH - Page 2'!B28</f>
        <v>Non-CAISO TRBAA Rate ($/kWh) @ Present Rate</v>
      </c>
      <c r="C28" s="384">
        <f>'Stmt BH - Page 2'!C28</f>
        <v>-3.0400000000000002E-3</v>
      </c>
      <c r="D28" s="384">
        <f>$C28</f>
        <v>-3.0400000000000002E-3</v>
      </c>
      <c r="E28" s="384">
        <f>$C28</f>
        <v>-3.0400000000000002E-3</v>
      </c>
      <c r="F28" s="384">
        <f>$C28</f>
        <v>-3.0400000000000002E-3</v>
      </c>
      <c r="G28" s="384">
        <f>$C28</f>
        <v>-3.0400000000000002E-3</v>
      </c>
      <c r="H28" s="384">
        <f>$C28</f>
        <v>-3.0400000000000002E-3</v>
      </c>
      <c r="I28" s="31"/>
      <c r="J28" s="399" t="str">
        <f>'Stmt BH - Page 2'!I28</f>
        <v>FERC Docket No. ER26-336-000</v>
      </c>
      <c r="K28" s="10">
        <f>K27+1</f>
        <v>18</v>
      </c>
    </row>
    <row r="29" spans="1:11" ht="16.5" thickBot="1" x14ac:dyDescent="0.3">
      <c r="A29" s="57">
        <f>A28+1</f>
        <v>19</v>
      </c>
      <c r="B29" s="419"/>
      <c r="C29" s="58"/>
      <c r="D29" s="58"/>
      <c r="E29" s="58"/>
      <c r="F29" s="58"/>
      <c r="G29" s="58"/>
      <c r="H29" s="58"/>
      <c r="I29" s="58"/>
      <c r="J29" s="410"/>
      <c r="K29" s="57">
        <f>K28+1</f>
        <v>19</v>
      </c>
    </row>
    <row r="30" spans="1:11" ht="15.75" x14ac:dyDescent="0.25">
      <c r="A30" s="10">
        <f t="shared" ref="A30:A45" si="3">A29+1</f>
        <v>20</v>
      </c>
      <c r="B30" s="11"/>
      <c r="C30" s="247"/>
      <c r="D30" s="247"/>
      <c r="E30" s="247"/>
      <c r="F30" s="247"/>
      <c r="G30" s="247"/>
      <c r="H30" s="247"/>
      <c r="I30" s="31"/>
      <c r="J30" s="17"/>
      <c r="K30" s="10">
        <f t="shared" ref="K30:K45" si="4">K29+1</f>
        <v>20</v>
      </c>
    </row>
    <row r="31" spans="1:11" ht="34.5" customHeight="1" thickBot="1" x14ac:dyDescent="0.3">
      <c r="A31" s="57">
        <f t="shared" si="3"/>
        <v>21</v>
      </c>
      <c r="B31" s="419"/>
      <c r="C31" s="411" t="s">
        <v>161</v>
      </c>
      <c r="D31" s="411" t="s">
        <v>161</v>
      </c>
      <c r="E31" s="411" t="s">
        <v>161</v>
      </c>
      <c r="F31" s="411" t="s">
        <v>161</v>
      </c>
      <c r="G31" s="411" t="s">
        <v>161</v>
      </c>
      <c r="H31" s="411" t="s">
        <v>161</v>
      </c>
      <c r="I31" s="411" t="s">
        <v>161</v>
      </c>
      <c r="J31" s="57"/>
      <c r="K31" s="57">
        <f t="shared" si="4"/>
        <v>21</v>
      </c>
    </row>
    <row r="32" spans="1:11" ht="15.75" x14ac:dyDescent="0.25">
      <c r="A32" s="10">
        <f t="shared" si="3"/>
        <v>22</v>
      </c>
      <c r="B32" s="11"/>
      <c r="C32" s="10"/>
      <c r="D32" s="10"/>
      <c r="E32" s="10"/>
      <c r="F32" s="10"/>
      <c r="G32" s="10"/>
      <c r="H32" s="10"/>
      <c r="I32" s="10"/>
      <c r="J32" s="74"/>
      <c r="K32" s="10">
        <f t="shared" si="4"/>
        <v>22</v>
      </c>
    </row>
    <row r="33" spans="1:11" ht="15.75" x14ac:dyDescent="0.25">
      <c r="A33" s="10">
        <f t="shared" si="3"/>
        <v>23</v>
      </c>
      <c r="B33" s="11" t="s">
        <v>87</v>
      </c>
      <c r="C33" s="141">
        <f>C11*C$28</f>
        <v>-1360358.8002360526</v>
      </c>
      <c r="D33" s="141">
        <f t="shared" ref="D33:H33" si="5">D11*D$28</f>
        <v>-1758915.4561885698</v>
      </c>
      <c r="E33" s="141">
        <f t="shared" si="5"/>
        <v>-2119694.6217253553</v>
      </c>
      <c r="F33" s="141">
        <f t="shared" si="5"/>
        <v>-1492414.3143847103</v>
      </c>
      <c r="G33" s="141">
        <f t="shared" si="5"/>
        <v>-1330752.370773247</v>
      </c>
      <c r="H33" s="141">
        <f t="shared" si="5"/>
        <v>-1542310.4551915969</v>
      </c>
      <c r="I33" s="141">
        <f>SUM('Stmt BH - Page 2'!C33:H33)+SUM('Stmt BH - Page 3'!C33:H33)</f>
        <v>-17333601.580881603</v>
      </c>
      <c r="J33" s="26" t="s">
        <v>138</v>
      </c>
      <c r="K33" s="10">
        <f t="shared" si="4"/>
        <v>23</v>
      </c>
    </row>
    <row r="34" spans="1:11" ht="15.75" x14ac:dyDescent="0.25">
      <c r="A34" s="10">
        <f t="shared" si="3"/>
        <v>24</v>
      </c>
      <c r="B34" s="11"/>
      <c r="C34" s="398"/>
      <c r="D34" s="398"/>
      <c r="E34" s="398"/>
      <c r="F34" s="398"/>
      <c r="G34" s="398"/>
      <c r="H34" s="398"/>
      <c r="I34" s="398"/>
      <c r="J34" s="404"/>
      <c r="K34" s="10">
        <f t="shared" si="4"/>
        <v>24</v>
      </c>
    </row>
    <row r="35" spans="1:11" ht="15.75" x14ac:dyDescent="0.25">
      <c r="A35" s="10">
        <f t="shared" si="3"/>
        <v>25</v>
      </c>
      <c r="B35" s="11" t="s">
        <v>128</v>
      </c>
      <c r="C35" s="44">
        <f>C13*C$28</f>
        <v>-461604.07556552836</v>
      </c>
      <c r="D35" s="44">
        <f t="shared" ref="D35:H35" si="6">D13*D$28</f>
        <v>-481321.22323548782</v>
      </c>
      <c r="E35" s="44">
        <f t="shared" si="6"/>
        <v>-508329.50923247403</v>
      </c>
      <c r="F35" s="44">
        <f t="shared" si="6"/>
        <v>-447871.95989129541</v>
      </c>
      <c r="G35" s="44">
        <f t="shared" si="6"/>
        <v>-416211.12532844895</v>
      </c>
      <c r="H35" s="44">
        <f t="shared" si="6"/>
        <v>-415848.83285857638</v>
      </c>
      <c r="I35" s="44">
        <f>SUM('Stmt BH - Page 2'!C35:H35)+SUM('Stmt BH - Page 3'!C35:H35)</f>
        <v>-5216728.0042282427</v>
      </c>
      <c r="J35" s="26" t="s">
        <v>139</v>
      </c>
      <c r="K35" s="10">
        <f t="shared" si="4"/>
        <v>25</v>
      </c>
    </row>
    <row r="36" spans="1:11" ht="15.75" x14ac:dyDescent="0.25">
      <c r="A36" s="10">
        <f t="shared" si="3"/>
        <v>26</v>
      </c>
      <c r="B36" s="385"/>
      <c r="C36" s="393"/>
      <c r="D36" s="393"/>
      <c r="E36" s="393"/>
      <c r="F36" s="393"/>
      <c r="G36" s="393"/>
      <c r="H36" s="393"/>
      <c r="I36" s="44"/>
      <c r="J36" s="26"/>
      <c r="K36" s="10">
        <f t="shared" si="4"/>
        <v>26</v>
      </c>
    </row>
    <row r="37" spans="1:11" ht="15.75" x14ac:dyDescent="0.25">
      <c r="A37" s="10">
        <f t="shared" si="3"/>
        <v>27</v>
      </c>
      <c r="B37" s="17" t="s">
        <v>93</v>
      </c>
      <c r="C37" s="44">
        <f>C15*C$28</f>
        <v>-2612631.271634575</v>
      </c>
      <c r="D37" s="44">
        <f t="shared" ref="D37:H37" si="7">D15*D$28</f>
        <v>-2709712.6639298187</v>
      </c>
      <c r="E37" s="44">
        <f t="shared" si="7"/>
        <v>-2869918.9144598106</v>
      </c>
      <c r="F37" s="44">
        <f t="shared" si="7"/>
        <v>-2625715.1014169683</v>
      </c>
      <c r="G37" s="44">
        <f t="shared" si="7"/>
        <v>-2436488.9189563291</v>
      </c>
      <c r="H37" s="44">
        <f t="shared" si="7"/>
        <v>-2375532.5089159738</v>
      </c>
      <c r="I37" s="44">
        <f>SUM('Stmt BH - Page 2'!C37:H37)+SUM('Stmt BH - Page 3'!C37:H37)</f>
        <v>-29320273.513569288</v>
      </c>
      <c r="J37" s="26" t="s">
        <v>140</v>
      </c>
      <c r="K37" s="10">
        <f t="shared" si="4"/>
        <v>27</v>
      </c>
    </row>
    <row r="38" spans="1:11" ht="15.75" x14ac:dyDescent="0.25">
      <c r="A38" s="10">
        <f t="shared" si="3"/>
        <v>28</v>
      </c>
      <c r="B38" s="11"/>
      <c r="C38" s="44"/>
      <c r="D38" s="44"/>
      <c r="E38" s="44"/>
      <c r="F38" s="44"/>
      <c r="G38" s="44"/>
      <c r="H38" s="44"/>
      <c r="I38" s="44"/>
      <c r="J38" s="26"/>
      <c r="K38" s="10">
        <f t="shared" si="4"/>
        <v>28</v>
      </c>
    </row>
    <row r="39" spans="1:11" ht="15.75" x14ac:dyDescent="0.25">
      <c r="A39" s="10">
        <f t="shared" si="3"/>
        <v>29</v>
      </c>
      <c r="B39" s="11" t="s">
        <v>96</v>
      </c>
      <c r="C39" s="44">
        <f>C17*C$28</f>
        <v>-67183.586942075766</v>
      </c>
      <c r="D39" s="44">
        <f t="shared" ref="D39:H39" si="8">D17*D$28</f>
        <v>-72427.39957029371</v>
      </c>
      <c r="E39" s="44">
        <f t="shared" si="8"/>
        <v>-72389.735101905069</v>
      </c>
      <c r="F39" s="44">
        <f t="shared" si="8"/>
        <v>-64951.673069777185</v>
      </c>
      <c r="G39" s="44">
        <f t="shared" si="8"/>
        <v>-55621.097560784023</v>
      </c>
      <c r="H39" s="44">
        <f t="shared" si="8"/>
        <v>-50233.495578818307</v>
      </c>
      <c r="I39" s="44">
        <f>SUM('Stmt BH - Page 2'!C39:H39)+SUM('Stmt BH - Page 3'!C39:H39)</f>
        <v>-640116.56288128067</v>
      </c>
      <c r="J39" s="26" t="s">
        <v>141</v>
      </c>
      <c r="K39" s="10">
        <f t="shared" si="4"/>
        <v>29</v>
      </c>
    </row>
    <row r="40" spans="1:11" ht="15.75" x14ac:dyDescent="0.25">
      <c r="A40" s="10">
        <f t="shared" si="3"/>
        <v>30</v>
      </c>
      <c r="B40" s="11"/>
      <c r="C40" s="44"/>
      <c r="D40" s="44"/>
      <c r="E40" s="44"/>
      <c r="F40" s="44"/>
      <c r="G40" s="44"/>
      <c r="H40" s="44"/>
      <c r="I40" s="44"/>
      <c r="J40" s="26"/>
      <c r="K40" s="10">
        <f t="shared" si="4"/>
        <v>30</v>
      </c>
    </row>
    <row r="41" spans="1:11" ht="15.75" x14ac:dyDescent="0.25">
      <c r="A41" s="10">
        <f t="shared" si="3"/>
        <v>31</v>
      </c>
      <c r="B41" s="11" t="s">
        <v>99</v>
      </c>
      <c r="C41" s="44">
        <f>C19*C$28</f>
        <v>-47803.086129019001</v>
      </c>
      <c r="D41" s="44">
        <f t="shared" ref="D41:H41" si="9">D19*D$28</f>
        <v>-47499.19420107286</v>
      </c>
      <c r="E41" s="44">
        <f t="shared" si="9"/>
        <v>-47426.340445257534</v>
      </c>
      <c r="F41" s="44">
        <f t="shared" si="9"/>
        <v>-45238.821844844824</v>
      </c>
      <c r="G41" s="44">
        <f t="shared" si="9"/>
        <v>-41619.037799860773</v>
      </c>
      <c r="H41" s="44">
        <f t="shared" si="9"/>
        <v>-37592.746217777698</v>
      </c>
      <c r="I41" s="44">
        <f>SUM('Stmt BH - Page 2'!C41:H41)+SUM('Stmt BH - Page 3'!C41:H41)</f>
        <v>-500051.28969089605</v>
      </c>
      <c r="J41" s="26" t="s">
        <v>142</v>
      </c>
      <c r="K41" s="10">
        <f t="shared" si="4"/>
        <v>31</v>
      </c>
    </row>
    <row r="42" spans="1:11" ht="15.75" x14ac:dyDescent="0.25">
      <c r="A42" s="10">
        <f t="shared" si="3"/>
        <v>32</v>
      </c>
      <c r="B42" s="11"/>
      <c r="C42" s="44"/>
      <c r="D42" s="44"/>
      <c r="E42" s="44"/>
      <c r="F42" s="44"/>
      <c r="G42" s="44"/>
      <c r="H42" s="44"/>
      <c r="I42" s="44"/>
      <c r="J42" s="26"/>
      <c r="K42" s="10">
        <f t="shared" si="4"/>
        <v>32</v>
      </c>
    </row>
    <row r="43" spans="1:11" ht="15.75" x14ac:dyDescent="0.25">
      <c r="A43" s="10">
        <f t="shared" si="3"/>
        <v>33</v>
      </c>
      <c r="B43" s="11" t="s">
        <v>133</v>
      </c>
      <c r="C43" s="51">
        <f>C21*C$28</f>
        <v>-18939.80856071059</v>
      </c>
      <c r="D43" s="51">
        <f t="shared" ref="D43:H43" si="10">D21*D$28</f>
        <v>-19646.351332223505</v>
      </c>
      <c r="E43" s="51">
        <f t="shared" si="10"/>
        <v>-18858.843026700535</v>
      </c>
      <c r="F43" s="51">
        <f t="shared" si="10"/>
        <v>-19710.770803450694</v>
      </c>
      <c r="G43" s="51">
        <f t="shared" si="10"/>
        <v>-20689.4361677364</v>
      </c>
      <c r="H43" s="51">
        <f t="shared" si="10"/>
        <v>-20743.494429406743</v>
      </c>
      <c r="I43" s="44">
        <f>SUM('Stmt BH - Page 2'!C43:H43)+SUM('Stmt BH - Page 3'!C43:H43)</f>
        <v>-236158.99477306535</v>
      </c>
      <c r="J43" s="26" t="s">
        <v>143</v>
      </c>
      <c r="K43" s="10">
        <f t="shared" si="4"/>
        <v>33</v>
      </c>
    </row>
    <row r="44" spans="1:11" ht="15.75" x14ac:dyDescent="0.25">
      <c r="A44" s="10">
        <f t="shared" si="3"/>
        <v>34</v>
      </c>
      <c r="B44" s="11"/>
      <c r="C44" s="138"/>
      <c r="D44" s="138"/>
      <c r="E44" s="138"/>
      <c r="F44" s="138"/>
      <c r="G44" s="138"/>
      <c r="H44" s="138"/>
      <c r="I44" s="138"/>
      <c r="J44" s="26"/>
      <c r="K44" s="10">
        <f t="shared" si="4"/>
        <v>34</v>
      </c>
    </row>
    <row r="45" spans="1:11" ht="16.5" thickBot="1" x14ac:dyDescent="0.3">
      <c r="A45" s="10">
        <f t="shared" si="3"/>
        <v>35</v>
      </c>
      <c r="B45" s="11" t="s">
        <v>118</v>
      </c>
      <c r="C45" s="394">
        <f>SUM(C33:C43)</f>
        <v>-4568520.6290679611</v>
      </c>
      <c r="D45" s="394">
        <f t="shared" ref="D45:I45" si="11">SUM(D33:D43)</f>
        <v>-5089522.2884574663</v>
      </c>
      <c r="E45" s="394">
        <f t="shared" si="11"/>
        <v>-5636617.9639915032</v>
      </c>
      <c r="F45" s="394">
        <f t="shared" si="11"/>
        <v>-4695902.6414110465</v>
      </c>
      <c r="G45" s="394">
        <f t="shared" si="11"/>
        <v>-4301381.9865864059</v>
      </c>
      <c r="H45" s="394">
        <f t="shared" si="11"/>
        <v>-4442261.5331921494</v>
      </c>
      <c r="I45" s="394">
        <f t="shared" si="11"/>
        <v>-53246929.946024381</v>
      </c>
      <c r="J45" s="405" t="s">
        <v>144</v>
      </c>
      <c r="K45" s="10">
        <f t="shared" si="4"/>
        <v>35</v>
      </c>
    </row>
    <row r="46" spans="1:11" ht="17.25" thickTop="1" thickBot="1" x14ac:dyDescent="0.3">
      <c r="A46" s="57"/>
      <c r="B46" s="81"/>
      <c r="C46" s="820"/>
      <c r="D46" s="58"/>
      <c r="E46" s="58"/>
      <c r="F46" s="58"/>
      <c r="G46" s="58"/>
      <c r="H46" s="58"/>
      <c r="I46" s="58"/>
      <c r="J46" s="58"/>
      <c r="K46" s="57"/>
    </row>
    <row r="47" spans="1:11" ht="15.75" x14ac:dyDescent="0.25">
      <c r="A47" s="37"/>
      <c r="B47" s="390"/>
      <c r="C47" s="22"/>
      <c r="D47" s="22"/>
      <c r="E47" s="22"/>
      <c r="F47" s="22"/>
      <c r="G47" s="22"/>
      <c r="H47" s="22"/>
      <c r="I47" s="22"/>
      <c r="J47" s="22"/>
      <c r="K47" s="22"/>
    </row>
    <row r="48" spans="1:11" ht="18.75" x14ac:dyDescent="0.25">
      <c r="A48" s="69"/>
      <c r="B48" s="22"/>
      <c r="C48" s="397"/>
      <c r="D48" s="22"/>
      <c r="E48" s="22"/>
      <c r="F48" s="22"/>
      <c r="G48" s="22"/>
      <c r="H48" s="22"/>
      <c r="I48" s="22"/>
      <c r="J48" s="22"/>
      <c r="K48" s="22"/>
    </row>
    <row r="49" spans="1:11" ht="15.75" x14ac:dyDescent="0.25">
      <c r="A49" s="821"/>
      <c r="B49" s="22"/>
      <c r="D49" s="22"/>
      <c r="E49" s="22"/>
      <c r="F49" s="22"/>
      <c r="G49" s="22"/>
      <c r="H49" s="22"/>
      <c r="I49" s="22"/>
      <c r="J49" s="22"/>
      <c r="K49" s="22"/>
    </row>
    <row r="50" spans="1:11" ht="15.75" x14ac:dyDescent="0.25">
      <c r="A50" s="821"/>
      <c r="B50" s="22"/>
      <c r="C50" s="822"/>
      <c r="D50" s="22"/>
      <c r="E50" s="22"/>
      <c r="F50" s="22"/>
      <c r="G50" s="22"/>
      <c r="H50" s="22"/>
      <c r="I50" s="22"/>
      <c r="J50" s="22"/>
      <c r="K50" s="22"/>
    </row>
    <row r="51" spans="1:11" ht="15.75" x14ac:dyDescent="0.25">
      <c r="A51" s="821"/>
      <c r="D51" s="22"/>
      <c r="E51" s="22"/>
      <c r="F51" s="22"/>
      <c r="G51" s="22"/>
      <c r="H51" s="22"/>
      <c r="I51" s="22"/>
      <c r="J51" s="22"/>
      <c r="K51" s="22"/>
    </row>
    <row r="52" spans="1:11" ht="15.75" x14ac:dyDescent="0.25">
      <c r="A52" s="37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5.75" x14ac:dyDescent="0.25">
      <c r="A53" s="37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5.75" x14ac:dyDescent="0.25">
      <c r="A54" s="37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5.75" x14ac:dyDescent="0.25">
      <c r="A55" s="37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5.75" x14ac:dyDescent="0.25">
      <c r="A56" s="37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5.75" x14ac:dyDescent="0.25">
      <c r="A57" s="37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5.75" x14ac:dyDescent="0.25">
      <c r="A58" s="37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5.75" x14ac:dyDescent="0.25">
      <c r="A59" s="37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5.75" x14ac:dyDescent="0.25">
      <c r="A60" s="37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5.75" x14ac:dyDescent="0.25">
      <c r="A61" s="37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5.75" x14ac:dyDescent="0.25">
      <c r="A62" s="37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.75" x14ac:dyDescent="0.25">
      <c r="A63" s="37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5.75" x14ac:dyDescent="0.25">
      <c r="A64" s="37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5.75" x14ac:dyDescent="0.25">
      <c r="A65" s="37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5.75" x14ac:dyDescent="0.25">
      <c r="A66" s="37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5.75" x14ac:dyDescent="0.25">
      <c r="A67" s="37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5.75" x14ac:dyDescent="0.25">
      <c r="A68" s="37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5.75" x14ac:dyDescent="0.25">
      <c r="A69" s="37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5.75" x14ac:dyDescent="0.25">
      <c r="A70" s="37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5.75" x14ac:dyDescent="0.25">
      <c r="A71" s="37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5.75" x14ac:dyDescent="0.25">
      <c r="A72" s="37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5.75" x14ac:dyDescent="0.25">
      <c r="A73" s="37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5.75" x14ac:dyDescent="0.25">
      <c r="A74" s="37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5.75" x14ac:dyDescent="0.25">
      <c r="A75" s="37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5.75" x14ac:dyDescent="0.25">
      <c r="A76" s="37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5.75" x14ac:dyDescent="0.25">
      <c r="A77" s="37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5.75" x14ac:dyDescent="0.25">
      <c r="A78" s="37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5.75" x14ac:dyDescent="0.25">
      <c r="A79" s="37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15.75" x14ac:dyDescent="0.25">
      <c r="A80" s="37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15.75" x14ac:dyDescent="0.25">
      <c r="A81" s="37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15.75" x14ac:dyDescent="0.25">
      <c r="A82" s="37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15.75" x14ac:dyDescent="0.25">
      <c r="A83" s="37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5.75" x14ac:dyDescent="0.25">
      <c r="A84" s="37"/>
      <c r="B84" s="22"/>
      <c r="C84" s="22"/>
      <c r="D84" s="22"/>
      <c r="E84" s="22"/>
      <c r="F84" s="22"/>
      <c r="G84" s="22"/>
      <c r="H84" s="22"/>
      <c r="I84" s="22"/>
      <c r="J84" s="22"/>
      <c r="K84" s="22"/>
    </row>
    <row r="85" spans="1:11" ht="15.75" x14ac:dyDescent="0.25">
      <c r="A85" s="37"/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6" spans="1:11" ht="15.75" x14ac:dyDescent="0.25">
      <c r="A86" s="37"/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ht="15.75" x14ac:dyDescent="0.25">
      <c r="A87" s="37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spans="1:11" ht="15.75" x14ac:dyDescent="0.25">
      <c r="A88" s="37"/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11" ht="15.75" x14ac:dyDescent="0.25">
      <c r="A89" s="37"/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pans="1:11" ht="15.75" x14ac:dyDescent="0.25">
      <c r="A90" s="37"/>
      <c r="B90" s="22"/>
      <c r="C90" s="22"/>
      <c r="D90" s="22"/>
      <c r="E90" s="22"/>
      <c r="F90" s="22"/>
      <c r="G90" s="22"/>
      <c r="H90" s="22"/>
      <c r="I90" s="22"/>
      <c r="J90" s="22"/>
      <c r="K90" s="22"/>
    </row>
    <row r="91" spans="1:11" ht="15.75" x14ac:dyDescent="0.25">
      <c r="A91" s="37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15.75" x14ac:dyDescent="0.25">
      <c r="A92" s="37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11" ht="15.75" x14ac:dyDescent="0.25">
      <c r="A93" s="37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11" ht="15.75" x14ac:dyDescent="0.25">
      <c r="A94" s="37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11" ht="15.75" x14ac:dyDescent="0.25">
      <c r="A95" s="37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ht="15.75" x14ac:dyDescent="0.25">
      <c r="A96" s="37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ht="15.75" x14ac:dyDescent="0.25">
      <c r="A97" s="37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ht="15.75" x14ac:dyDescent="0.25">
      <c r="A98" s="37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ht="15.75" x14ac:dyDescent="0.25">
      <c r="A99" s="37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ht="15.75" x14ac:dyDescent="0.25">
      <c r="A100" s="37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ht="15.75" x14ac:dyDescent="0.25">
      <c r="A101" s="37"/>
      <c r="B101" s="22"/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1" ht="15.75" x14ac:dyDescent="0.25">
      <c r="A102" s="37"/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ht="15.75" x14ac:dyDescent="0.25">
      <c r="A103" s="37"/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ht="15.75" x14ac:dyDescent="0.25">
      <c r="A104" s="37"/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ht="15.75" x14ac:dyDescent="0.25">
      <c r="A105" s="37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1:11" ht="15.75" x14ac:dyDescent="0.25">
      <c r="A106" s="37"/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ht="15.75" x14ac:dyDescent="0.25">
      <c r="A107" s="37"/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ht="15.75" x14ac:dyDescent="0.25">
      <c r="A108" s="37"/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1:11" ht="15.75" x14ac:dyDescent="0.25">
      <c r="A109" s="37"/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1" ht="15.75" x14ac:dyDescent="0.25">
      <c r="A110" s="37"/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1" ht="15.75" x14ac:dyDescent="0.25">
      <c r="A111" s="37"/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1" x14ac:dyDescent="0.2">
      <c r="A112" s="821"/>
    </row>
    <row r="113" spans="1:1" x14ac:dyDescent="0.2">
      <c r="A113" s="821"/>
    </row>
    <row r="114" spans="1:1" x14ac:dyDescent="0.2">
      <c r="A114" s="821"/>
    </row>
    <row r="115" spans="1:1" x14ac:dyDescent="0.2">
      <c r="A115" s="821"/>
    </row>
    <row r="116" spans="1:1" x14ac:dyDescent="0.2">
      <c r="A116" s="821"/>
    </row>
    <row r="117" spans="1:1" x14ac:dyDescent="0.2">
      <c r="A117" s="821"/>
    </row>
    <row r="118" spans="1:1" x14ac:dyDescent="0.2">
      <c r="A118" s="821"/>
    </row>
    <row r="119" spans="1:1" x14ac:dyDescent="0.2">
      <c r="A119" s="821"/>
    </row>
    <row r="120" spans="1:1" x14ac:dyDescent="0.2">
      <c r="A120" s="821"/>
    </row>
    <row r="121" spans="1:1" x14ac:dyDescent="0.2">
      <c r="A121" s="821"/>
    </row>
    <row r="122" spans="1:1" x14ac:dyDescent="0.2">
      <c r="A122" s="821"/>
    </row>
  </sheetData>
  <mergeCells count="1">
    <mergeCell ref="A4:K4"/>
  </mergeCells>
  <printOptions horizontalCentered="1"/>
  <pageMargins left="0.25" right="0.25" top="0.5" bottom="0.5" header="0.25" footer="0.25"/>
  <pageSetup scale="64" orientation="landscape" r:id="rId1"/>
  <headerFooter alignWithMargins="0">
    <oddFooter>&amp;L&amp;"Times New Roman,Regular"&amp;12&amp;F&amp;C&amp;"Times New Roman,Regular"&amp;12Page 3 of 3&amp;R&amp;"Times New Roman,Regular"&amp;12&amp;A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E34"/>
  <sheetViews>
    <sheetView zoomScale="80" zoomScaleNormal="80" workbookViewId="0">
      <selection activeCell="H39" sqref="H39"/>
    </sheetView>
  </sheetViews>
  <sheetFormatPr defaultColWidth="8.5703125" defaultRowHeight="12.75" x14ac:dyDescent="0.2"/>
  <cols>
    <col min="1" max="1" width="5.5703125" style="1" customWidth="1"/>
    <col min="2" max="2" width="55.5703125" style="2" customWidth="1"/>
    <col min="3" max="3" width="23.5703125" style="2" customWidth="1"/>
    <col min="4" max="4" width="40.5703125" style="1" customWidth="1"/>
    <col min="5" max="5" width="5.5703125" style="1" customWidth="1"/>
    <col min="6" max="7" width="15.5703125" style="1" customWidth="1"/>
    <col min="8" max="16384" width="8.5703125" style="1"/>
  </cols>
  <sheetData>
    <row r="2" spans="1:5" ht="15.75" x14ac:dyDescent="0.2">
      <c r="B2" s="5" t="s">
        <v>162</v>
      </c>
      <c r="C2" s="5"/>
      <c r="D2" s="6"/>
    </row>
    <row r="3" spans="1:5" ht="15.75" x14ac:dyDescent="0.2">
      <c r="B3" s="5" t="s">
        <v>1</v>
      </c>
      <c r="C3" s="5"/>
      <c r="D3" s="6"/>
    </row>
    <row r="4" spans="1:5" ht="15.75" x14ac:dyDescent="0.2">
      <c r="B4" s="5" t="str">
        <f>'Stmnt BD - Recorded KWH'!A4</f>
        <v>2027 - TRBAA Rate Filing</v>
      </c>
      <c r="C4" s="5"/>
      <c r="D4" s="6"/>
    </row>
    <row r="5" spans="1:5" ht="18.600000000000001" customHeight="1" x14ac:dyDescent="0.2">
      <c r="B5" s="5" t="s">
        <v>539</v>
      </c>
      <c r="C5" s="5"/>
      <c r="D5" s="6"/>
    </row>
    <row r="6" spans="1:5" ht="16.5" thickBot="1" x14ac:dyDescent="0.25">
      <c r="A6" s="55"/>
      <c r="B6" s="575"/>
      <c r="C6" s="575"/>
      <c r="D6" s="576"/>
      <c r="E6" s="55"/>
    </row>
    <row r="7" spans="1:5" ht="15.75" x14ac:dyDescent="0.25">
      <c r="A7" s="545" t="s">
        <v>7</v>
      </c>
      <c r="B7" s="75"/>
      <c r="C7" s="572" t="s">
        <v>17</v>
      </c>
      <c r="D7" s="33"/>
      <c r="E7" s="546" t="s">
        <v>7</v>
      </c>
    </row>
    <row r="8" spans="1:5" ht="16.5" thickBot="1" x14ac:dyDescent="0.3">
      <c r="A8" s="563" t="s">
        <v>10</v>
      </c>
      <c r="B8" s="153" t="s">
        <v>163</v>
      </c>
      <c r="C8" s="577" t="s">
        <v>540</v>
      </c>
      <c r="D8" s="578" t="s">
        <v>15</v>
      </c>
      <c r="E8" s="564" t="s">
        <v>10</v>
      </c>
    </row>
    <row r="9" spans="1:5" ht="15.75" x14ac:dyDescent="0.25">
      <c r="A9" s="332"/>
      <c r="B9" s="11"/>
      <c r="C9" s="819"/>
      <c r="D9" s="91"/>
      <c r="E9" s="348"/>
    </row>
    <row r="10" spans="1:5" ht="15.75" x14ac:dyDescent="0.25">
      <c r="A10" s="262">
        <v>1</v>
      </c>
      <c r="B10" s="18" t="s">
        <v>507</v>
      </c>
      <c r="C10" s="439">
        <f>'WP 4 Monthly TRBAA '!O38</f>
        <v>-6237733.0167837702</v>
      </c>
      <c r="D10" s="61" t="s">
        <v>165</v>
      </c>
      <c r="E10" s="263">
        <v>1</v>
      </c>
    </row>
    <row r="11" spans="1:5" ht="15.75" x14ac:dyDescent="0.25">
      <c r="A11" s="262">
        <f>A10+1</f>
        <v>2</v>
      </c>
      <c r="B11" s="17"/>
      <c r="C11" s="91"/>
      <c r="D11" s="33"/>
      <c r="E11" s="263">
        <f>E10+1</f>
        <v>2</v>
      </c>
    </row>
    <row r="12" spans="1:5" ht="15.75" x14ac:dyDescent="0.25">
      <c r="A12" s="262">
        <f t="shared" ref="A12:A32" si="0">A11+1</f>
        <v>3</v>
      </c>
      <c r="B12" s="20" t="s">
        <v>166</v>
      </c>
      <c r="C12" s="236"/>
      <c r="D12" s="61"/>
      <c r="E12" s="263">
        <f t="shared" ref="E12:E32" si="1">E11+1</f>
        <v>3</v>
      </c>
    </row>
    <row r="13" spans="1:5" ht="15.75" x14ac:dyDescent="0.25">
      <c r="A13" s="262">
        <f t="shared" si="0"/>
        <v>4</v>
      </c>
      <c r="B13" s="17"/>
      <c r="C13" s="441"/>
      <c r="D13" s="33"/>
      <c r="E13" s="263">
        <f t="shared" si="1"/>
        <v>4</v>
      </c>
    </row>
    <row r="14" spans="1:5" ht="15.75" x14ac:dyDescent="0.25">
      <c r="A14" s="262">
        <f t="shared" si="0"/>
        <v>5</v>
      </c>
      <c r="B14" s="18" t="s">
        <v>167</v>
      </c>
      <c r="C14" s="237">
        <f>'WP 7 Wheeling Revenues'!E37</f>
        <v>-36254660.200000003</v>
      </c>
      <c r="D14" s="61" t="s">
        <v>168</v>
      </c>
      <c r="E14" s="263">
        <f t="shared" si="1"/>
        <v>5</v>
      </c>
    </row>
    <row r="15" spans="1:5" ht="15.75" x14ac:dyDescent="0.25">
      <c r="A15" s="262">
        <f t="shared" si="0"/>
        <v>6</v>
      </c>
      <c r="B15" s="17"/>
      <c r="C15" s="816"/>
      <c r="D15" s="33"/>
      <c r="E15" s="263">
        <f t="shared" si="1"/>
        <v>6</v>
      </c>
    </row>
    <row r="16" spans="1:5" ht="15.75" x14ac:dyDescent="0.25">
      <c r="A16" s="262">
        <f t="shared" si="0"/>
        <v>7</v>
      </c>
      <c r="B16" s="18" t="s">
        <v>169</v>
      </c>
      <c r="C16" s="237">
        <f>'WP 8 CT4575'!C34</f>
        <v>18000</v>
      </c>
      <c r="D16" s="61" t="s">
        <v>170</v>
      </c>
      <c r="E16" s="263">
        <f t="shared" si="1"/>
        <v>7</v>
      </c>
    </row>
    <row r="17" spans="1:5" ht="15.75" x14ac:dyDescent="0.25">
      <c r="A17" s="262">
        <f t="shared" si="0"/>
        <v>8</v>
      </c>
      <c r="B17" s="17"/>
      <c r="C17" s="816"/>
      <c r="D17" s="33"/>
      <c r="E17" s="263">
        <f t="shared" si="1"/>
        <v>8</v>
      </c>
    </row>
    <row r="18" spans="1:5" ht="15.75" x14ac:dyDescent="0.25">
      <c r="A18" s="262">
        <f t="shared" si="0"/>
        <v>9</v>
      </c>
      <c r="B18" s="18" t="s">
        <v>171</v>
      </c>
      <c r="C18" s="237">
        <f>'WP 9 ETC Cost Diffs'!C34</f>
        <v>-556352.71246000042</v>
      </c>
      <c r="D18" s="61" t="s">
        <v>172</v>
      </c>
      <c r="E18" s="263">
        <f t="shared" si="1"/>
        <v>9</v>
      </c>
    </row>
    <row r="19" spans="1:5" ht="15.75" x14ac:dyDescent="0.25">
      <c r="A19" s="262">
        <f t="shared" si="0"/>
        <v>10</v>
      </c>
      <c r="B19" s="17"/>
      <c r="C19" s="816"/>
      <c r="D19" s="33"/>
      <c r="E19" s="263">
        <f t="shared" si="1"/>
        <v>10</v>
      </c>
    </row>
    <row r="20" spans="1:5" ht="15.75" x14ac:dyDescent="0.25">
      <c r="A20" s="262">
        <f t="shared" si="0"/>
        <v>11</v>
      </c>
      <c r="B20" s="18" t="s">
        <v>173</v>
      </c>
      <c r="C20" s="440">
        <f>'WP 11 Other PTO Forecast'!C34</f>
        <v>-12802804.057539999</v>
      </c>
      <c r="D20" s="61" t="s">
        <v>174</v>
      </c>
      <c r="E20" s="263">
        <f t="shared" si="1"/>
        <v>11</v>
      </c>
    </row>
    <row r="21" spans="1:5" ht="15.75" x14ac:dyDescent="0.25">
      <c r="A21" s="262">
        <f t="shared" si="0"/>
        <v>12</v>
      </c>
      <c r="B21" s="17"/>
      <c r="C21" s="238"/>
      <c r="D21" s="33"/>
      <c r="E21" s="263">
        <f t="shared" si="1"/>
        <v>12</v>
      </c>
    </row>
    <row r="22" spans="1:5" ht="15.75" x14ac:dyDescent="0.25">
      <c r="A22" s="262">
        <f t="shared" si="0"/>
        <v>13</v>
      </c>
      <c r="B22" s="477" t="s">
        <v>175</v>
      </c>
      <c r="C22" s="254">
        <f>SUM(C14:C20)</f>
        <v>-49595816.970000006</v>
      </c>
      <c r="D22" s="61" t="s">
        <v>176</v>
      </c>
      <c r="E22" s="263">
        <f t="shared" si="1"/>
        <v>13</v>
      </c>
    </row>
    <row r="23" spans="1:5" ht="15.75" x14ac:dyDescent="0.25">
      <c r="A23" s="262">
        <f t="shared" si="0"/>
        <v>14</v>
      </c>
      <c r="B23" s="18"/>
      <c r="C23" s="238"/>
      <c r="D23" s="61"/>
      <c r="E23" s="263">
        <f t="shared" si="1"/>
        <v>14</v>
      </c>
    </row>
    <row r="24" spans="1:5" ht="15.75" x14ac:dyDescent="0.25">
      <c r="A24" s="262">
        <f t="shared" si="0"/>
        <v>15</v>
      </c>
      <c r="B24" s="11" t="s">
        <v>177</v>
      </c>
      <c r="C24" s="254">
        <f>C10+C22</f>
        <v>-55833549.986783773</v>
      </c>
      <c r="D24" s="61" t="s">
        <v>178</v>
      </c>
      <c r="E24" s="263">
        <f t="shared" si="1"/>
        <v>15</v>
      </c>
    </row>
    <row r="25" spans="1:5" ht="15.75" x14ac:dyDescent="0.25">
      <c r="A25" s="262">
        <f t="shared" si="0"/>
        <v>16</v>
      </c>
      <c r="B25" s="11"/>
      <c r="C25" s="238"/>
      <c r="D25" s="62"/>
      <c r="E25" s="263">
        <f t="shared" si="1"/>
        <v>16</v>
      </c>
    </row>
    <row r="26" spans="1:5" ht="15.75" x14ac:dyDescent="0.25">
      <c r="A26" s="262">
        <f t="shared" si="0"/>
        <v>17</v>
      </c>
      <c r="B26" s="11" t="s">
        <v>459</v>
      </c>
      <c r="C26" s="238">
        <f>C24*0.010207</f>
        <v>-569893.04471510206</v>
      </c>
      <c r="D26" s="61" t="s">
        <v>460</v>
      </c>
      <c r="E26" s="263">
        <f t="shared" si="1"/>
        <v>17</v>
      </c>
    </row>
    <row r="27" spans="1:5" ht="15.75" x14ac:dyDescent="0.25">
      <c r="A27" s="262">
        <f t="shared" si="0"/>
        <v>18</v>
      </c>
      <c r="B27" s="11"/>
      <c r="C27" s="238"/>
      <c r="D27" s="62"/>
      <c r="E27" s="263">
        <f t="shared" si="1"/>
        <v>18</v>
      </c>
    </row>
    <row r="28" spans="1:5" ht="15.75" x14ac:dyDescent="0.25">
      <c r="A28" s="262">
        <f t="shared" si="0"/>
        <v>19</v>
      </c>
      <c r="B28" s="11" t="s">
        <v>508</v>
      </c>
      <c r="C28" s="252">
        <f>(C24*0.00551)</f>
        <v>-307642.86042717862</v>
      </c>
      <c r="D28" s="61" t="s">
        <v>509</v>
      </c>
      <c r="E28" s="263">
        <f t="shared" si="1"/>
        <v>19</v>
      </c>
    </row>
    <row r="29" spans="1:5" ht="15.75" x14ac:dyDescent="0.25">
      <c r="A29" s="262">
        <f t="shared" si="0"/>
        <v>20</v>
      </c>
      <c r="B29" s="11"/>
      <c r="C29" s="238"/>
      <c r="D29" s="62"/>
      <c r="E29" s="263">
        <f t="shared" si="1"/>
        <v>20</v>
      </c>
    </row>
    <row r="30" spans="1:5" ht="15.75" x14ac:dyDescent="0.25">
      <c r="A30" s="262">
        <f t="shared" si="0"/>
        <v>21</v>
      </c>
      <c r="B30" s="11" t="s">
        <v>179</v>
      </c>
      <c r="C30" s="252">
        <f>SUM(C26:C28)</f>
        <v>-877535.90514228074</v>
      </c>
      <c r="D30" s="61" t="s">
        <v>180</v>
      </c>
      <c r="E30" s="263">
        <f t="shared" si="1"/>
        <v>21</v>
      </c>
    </row>
    <row r="31" spans="1:5" ht="15.75" x14ac:dyDescent="0.25">
      <c r="A31" s="262">
        <f t="shared" si="0"/>
        <v>22</v>
      </c>
      <c r="B31" s="11"/>
      <c r="C31" s="238"/>
      <c r="D31" s="62"/>
      <c r="E31" s="263">
        <f t="shared" si="1"/>
        <v>22</v>
      </c>
    </row>
    <row r="32" spans="1:5" ht="16.5" thickBot="1" x14ac:dyDescent="0.3">
      <c r="A32" s="262">
        <f t="shared" si="0"/>
        <v>23</v>
      </c>
      <c r="B32" s="11" t="s">
        <v>541</v>
      </c>
      <c r="C32" s="414">
        <f>C24+C30</f>
        <v>-56711085.89192605</v>
      </c>
      <c r="D32" s="61" t="s">
        <v>181</v>
      </c>
      <c r="E32" s="263">
        <f t="shared" si="1"/>
        <v>23</v>
      </c>
    </row>
    <row r="33" spans="1:5" ht="17.25" thickTop="1" thickBot="1" x14ac:dyDescent="0.3">
      <c r="A33" s="570"/>
      <c r="B33" s="81"/>
      <c r="C33" s="550"/>
      <c r="D33" s="571"/>
      <c r="E33" s="406"/>
    </row>
    <row r="34" spans="1:5" ht="15.75" x14ac:dyDescent="0.25">
      <c r="A34" s="22"/>
      <c r="B34" s="22"/>
      <c r="C34" s="22"/>
      <c r="D34" s="37"/>
      <c r="E34" s="22"/>
    </row>
  </sheetData>
  <phoneticPr fontId="15" type="noConversion"/>
  <printOptions horizontalCentered="1"/>
  <pageMargins left="0.25" right="0.25" top="0.5" bottom="0.5" header="0.25" footer="0.25"/>
  <pageSetup orientation="landscape" r:id="rId1"/>
  <headerFooter alignWithMargins="0">
    <oddFooter>&amp;L&amp;"Times New Roman,Regular"&amp;12&amp;F&amp;C&amp;"Times New Roman,Regular"&amp;12Page 1&amp;R&amp;"Times New Roman,Regular"&amp;12&amp;A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J90"/>
  <sheetViews>
    <sheetView zoomScale="80" zoomScaleNormal="80" workbookViewId="0">
      <selection activeCell="L23" sqref="L23"/>
    </sheetView>
  </sheetViews>
  <sheetFormatPr defaultColWidth="8.5703125" defaultRowHeight="12.75" x14ac:dyDescent="0.2"/>
  <cols>
    <col min="1" max="1" width="5.5703125" style="1" customWidth="1"/>
    <col min="2" max="2" width="55.5703125" style="2" customWidth="1"/>
    <col min="3" max="3" width="23.7109375" style="1" customWidth="1"/>
    <col min="4" max="4" width="22.5703125" style="1" bestFit="1" customWidth="1"/>
    <col min="5" max="5" width="20.5703125" style="1" customWidth="1"/>
    <col min="6" max="6" width="50.5703125" style="1" customWidth="1"/>
    <col min="7" max="7" width="5.5703125" style="1" customWidth="1"/>
    <col min="8" max="9" width="15.5703125" style="179" customWidth="1"/>
    <col min="10" max="10" width="11.42578125" style="179" customWidth="1"/>
    <col min="11" max="16384" width="8.5703125" style="1"/>
  </cols>
  <sheetData>
    <row r="2" spans="1:7" ht="15.75" x14ac:dyDescent="0.2">
      <c r="B2" s="5" t="s">
        <v>182</v>
      </c>
      <c r="C2" s="6"/>
      <c r="D2" s="6"/>
      <c r="E2" s="6"/>
      <c r="F2" s="6"/>
    </row>
    <row r="3" spans="1:7" ht="15.75" x14ac:dyDescent="0.2">
      <c r="B3" s="5" t="s">
        <v>1</v>
      </c>
      <c r="C3" s="6"/>
      <c r="D3" s="6"/>
      <c r="E3" s="6"/>
      <c r="F3" s="6"/>
    </row>
    <row r="4" spans="1:7" ht="15.75" x14ac:dyDescent="0.2">
      <c r="B4" s="5" t="str">
        <f>'Stmnt BK1 - TRBAA'!B4</f>
        <v>2027 - TRBAA Rate Filing</v>
      </c>
      <c r="C4" s="6"/>
      <c r="D4" s="6"/>
      <c r="E4" s="6"/>
      <c r="F4" s="6"/>
    </row>
    <row r="5" spans="1:7" ht="15.75" x14ac:dyDescent="0.2">
      <c r="B5" s="5" t="s">
        <v>542</v>
      </c>
      <c r="C5" s="6"/>
      <c r="D5" s="6"/>
      <c r="E5" s="6"/>
      <c r="F5" s="6"/>
    </row>
    <row r="6" spans="1:7" ht="16.5" thickBot="1" x14ac:dyDescent="0.25">
      <c r="B6" s="5"/>
      <c r="C6" s="6"/>
      <c r="D6" s="6"/>
      <c r="E6" s="6"/>
      <c r="F6" s="6"/>
    </row>
    <row r="7" spans="1:7" ht="15.75" x14ac:dyDescent="0.25">
      <c r="A7" s="286"/>
      <c r="B7" s="583"/>
      <c r="C7" s="584" t="s">
        <v>3</v>
      </c>
      <c r="D7" s="585" t="s">
        <v>4</v>
      </c>
      <c r="E7" s="585" t="s">
        <v>183</v>
      </c>
      <c r="F7" s="586"/>
      <c r="G7" s="542"/>
    </row>
    <row r="8" spans="1:7" ht="15.75" x14ac:dyDescent="0.25">
      <c r="A8" s="543"/>
      <c r="B8" s="74"/>
      <c r="C8" s="572" t="s">
        <v>17</v>
      </c>
      <c r="D8" s="75" t="s">
        <v>17</v>
      </c>
      <c r="E8" s="75" t="s">
        <v>17</v>
      </c>
      <c r="F8" s="33"/>
      <c r="G8" s="544"/>
    </row>
    <row r="9" spans="1:7" ht="21.75" customHeight="1" x14ac:dyDescent="0.25">
      <c r="A9" s="545"/>
      <c r="B9" s="74"/>
      <c r="C9" s="579" t="s">
        <v>184</v>
      </c>
      <c r="D9" s="580" t="s">
        <v>185</v>
      </c>
      <c r="E9" s="580" t="s">
        <v>186</v>
      </c>
      <c r="F9" s="33"/>
      <c r="G9" s="546"/>
    </row>
    <row r="10" spans="1:7" ht="15.75" x14ac:dyDescent="0.25">
      <c r="A10" s="545" t="s">
        <v>7</v>
      </c>
      <c r="B10" s="75"/>
      <c r="C10" s="573" t="s">
        <v>187</v>
      </c>
      <c r="D10" s="581" t="s">
        <v>187</v>
      </c>
      <c r="E10" s="581" t="s">
        <v>188</v>
      </c>
      <c r="F10" s="33"/>
      <c r="G10" s="546" t="s">
        <v>7</v>
      </c>
    </row>
    <row r="11" spans="1:7" ht="16.5" thickBot="1" x14ac:dyDescent="0.3">
      <c r="A11" s="563" t="s">
        <v>10</v>
      </c>
      <c r="B11" s="153" t="s">
        <v>163</v>
      </c>
      <c r="C11" s="578" t="s">
        <v>189</v>
      </c>
      <c r="D11" s="587" t="s">
        <v>189</v>
      </c>
      <c r="E11" s="587" t="s">
        <v>189</v>
      </c>
      <c r="F11" s="578" t="s">
        <v>15</v>
      </c>
      <c r="G11" s="564" t="s">
        <v>10</v>
      </c>
    </row>
    <row r="12" spans="1:7" ht="15.75" x14ac:dyDescent="0.25">
      <c r="A12" s="332"/>
      <c r="B12" s="11"/>
      <c r="C12" s="816"/>
      <c r="D12" s="17"/>
      <c r="E12" s="17"/>
      <c r="F12" s="91"/>
      <c r="G12" s="348"/>
    </row>
    <row r="13" spans="1:7" ht="18.75" x14ac:dyDescent="0.25">
      <c r="A13" s="262">
        <v>1</v>
      </c>
      <c r="B13" s="11" t="s">
        <v>543</v>
      </c>
      <c r="C13" s="259">
        <v>590788908.51250827</v>
      </c>
      <c r="D13" s="103">
        <v>754739449.99175179</v>
      </c>
      <c r="E13" s="103">
        <f>C13+D13</f>
        <v>1345528358.5042601</v>
      </c>
      <c r="F13" s="61" t="s">
        <v>190</v>
      </c>
      <c r="G13" s="263">
        <v>1</v>
      </c>
    </row>
    <row r="14" spans="1:7" ht="15.75" x14ac:dyDescent="0.25">
      <c r="A14" s="262">
        <f>A13+1</f>
        <v>2</v>
      </c>
      <c r="B14" s="11"/>
      <c r="C14" s="817"/>
      <c r="D14" s="16"/>
      <c r="E14" s="16"/>
      <c r="F14" s="33"/>
      <c r="G14" s="263">
        <f>G13+1</f>
        <v>2</v>
      </c>
    </row>
    <row r="15" spans="1:7" ht="15.75" x14ac:dyDescent="0.25">
      <c r="A15" s="262">
        <f t="shared" ref="A15:A37" si="0">A14+1</f>
        <v>3</v>
      </c>
      <c r="B15" s="18" t="str">
        <f>'Stmnt BK1 - TRBAA'!B10</f>
        <v>Beginning TRBAA Balance @ 9/30/2026</v>
      </c>
      <c r="C15" s="252">
        <f>'WP 2 Allocation of TRBAA'!D24</f>
        <v>-5484857</v>
      </c>
      <c r="D15" s="38">
        <f>'WP 2 Allocation of TRBAA'!E24</f>
        <v>-752876</v>
      </c>
      <c r="E15" s="38">
        <f>C15+D15</f>
        <v>-6237733</v>
      </c>
      <c r="F15" s="61" t="s">
        <v>191</v>
      </c>
      <c r="G15" s="263">
        <f>G14+1</f>
        <v>3</v>
      </c>
    </row>
    <row r="16" spans="1:7" ht="15.75" x14ac:dyDescent="0.25">
      <c r="A16" s="262">
        <f t="shared" si="0"/>
        <v>4</v>
      </c>
      <c r="B16" s="17"/>
      <c r="C16" s="238"/>
      <c r="D16" s="31"/>
      <c r="E16" s="31"/>
      <c r="F16" s="33"/>
      <c r="G16" s="263">
        <f>G15+1</f>
        <v>4</v>
      </c>
    </row>
    <row r="17" spans="1:7" ht="15.75" x14ac:dyDescent="0.25">
      <c r="A17" s="262">
        <f t="shared" si="0"/>
        <v>5</v>
      </c>
      <c r="B17" s="20" t="s">
        <v>166</v>
      </c>
      <c r="C17" s="238"/>
      <c r="D17" s="31"/>
      <c r="E17" s="31"/>
      <c r="F17" s="61"/>
      <c r="G17" s="263">
        <f>G16+1</f>
        <v>5</v>
      </c>
    </row>
    <row r="18" spans="1:7" ht="15.75" x14ac:dyDescent="0.25">
      <c r="A18" s="262">
        <f t="shared" si="0"/>
        <v>6</v>
      </c>
      <c r="B18" s="17"/>
      <c r="C18" s="238"/>
      <c r="D18" s="31"/>
      <c r="E18" s="31"/>
      <c r="F18" s="33"/>
      <c r="G18" s="263">
        <f t="shared" ref="G18:G37" si="1">G17+1</f>
        <v>6</v>
      </c>
    </row>
    <row r="19" spans="1:7" ht="15.75" x14ac:dyDescent="0.25">
      <c r="A19" s="262">
        <f t="shared" si="0"/>
        <v>7</v>
      </c>
      <c r="B19" s="18" t="s">
        <v>192</v>
      </c>
      <c r="C19" s="238">
        <f>'WP 6 HV LV Alloc Summary'!C26</f>
        <v>-36254660.200000003</v>
      </c>
      <c r="D19" s="238">
        <f>'WP 6 HV LV Alloc Summary'!D26</f>
        <v>0</v>
      </c>
      <c r="E19" s="31">
        <f>C19+D19</f>
        <v>-36254660.200000003</v>
      </c>
      <c r="F19" s="61" t="s">
        <v>193</v>
      </c>
      <c r="G19" s="263">
        <f t="shared" si="1"/>
        <v>7</v>
      </c>
    </row>
    <row r="20" spans="1:7" ht="15.75" x14ac:dyDescent="0.25">
      <c r="A20" s="262">
        <f t="shared" si="0"/>
        <v>8</v>
      </c>
      <c r="B20" s="17"/>
      <c r="C20" s="238"/>
      <c r="D20" s="31"/>
      <c r="E20" s="31"/>
      <c r="F20" s="33"/>
      <c r="G20" s="263">
        <f t="shared" si="1"/>
        <v>8</v>
      </c>
    </row>
    <row r="21" spans="1:7" ht="15.75" x14ac:dyDescent="0.25">
      <c r="A21" s="262">
        <f t="shared" si="0"/>
        <v>9</v>
      </c>
      <c r="B21" s="18" t="s">
        <v>194</v>
      </c>
      <c r="C21" s="238">
        <f>'WP 6 HV LV Alloc Summary'!C33</f>
        <v>7943.4000000000005</v>
      </c>
      <c r="D21" s="238">
        <f>'WP 6 HV LV Alloc Summary'!D33</f>
        <v>10056.6</v>
      </c>
      <c r="E21" s="31">
        <f>C21+D21</f>
        <v>18000</v>
      </c>
      <c r="F21" s="61" t="s">
        <v>195</v>
      </c>
      <c r="G21" s="263">
        <f t="shared" si="1"/>
        <v>9</v>
      </c>
    </row>
    <row r="22" spans="1:7" ht="15.75" x14ac:dyDescent="0.25">
      <c r="A22" s="262">
        <f t="shared" si="0"/>
        <v>10</v>
      </c>
      <c r="B22" s="17"/>
      <c r="C22" s="238"/>
      <c r="D22" s="31"/>
      <c r="E22" s="31"/>
      <c r="F22" s="33"/>
      <c r="G22" s="263">
        <f t="shared" si="1"/>
        <v>10</v>
      </c>
    </row>
    <row r="23" spans="1:7" ht="15.75" x14ac:dyDescent="0.25">
      <c r="A23" s="262">
        <f t="shared" si="0"/>
        <v>11</v>
      </c>
      <c r="B23" s="18" t="s">
        <v>196</v>
      </c>
      <c r="C23" s="238">
        <f>'WP 6 HV LV Alloc Summary'!C39</f>
        <v>-245518.45200859819</v>
      </c>
      <c r="D23" s="238">
        <f>'WP 6 HV LV Alloc Summary'!D39</f>
        <v>-310834.26045140222</v>
      </c>
      <c r="E23" s="31">
        <f>C23+D23</f>
        <v>-556352.71246000042</v>
      </c>
      <c r="F23" s="61" t="s">
        <v>197</v>
      </c>
      <c r="G23" s="263">
        <f t="shared" si="1"/>
        <v>11</v>
      </c>
    </row>
    <row r="24" spans="1:7" ht="15.75" x14ac:dyDescent="0.25">
      <c r="A24" s="262">
        <f t="shared" si="0"/>
        <v>12</v>
      </c>
      <c r="B24" s="17"/>
      <c r="C24" s="238"/>
      <c r="D24" s="31"/>
      <c r="E24" s="31"/>
      <c r="F24" s="33"/>
      <c r="G24" s="263">
        <f t="shared" si="1"/>
        <v>12</v>
      </c>
    </row>
    <row r="25" spans="1:7" ht="15.75" x14ac:dyDescent="0.25">
      <c r="A25" s="262">
        <f t="shared" si="0"/>
        <v>13</v>
      </c>
      <c r="B25" s="18" t="s">
        <v>173</v>
      </c>
      <c r="C25" s="252">
        <f>'WP 6 HV LV Alloc Summary'!C49</f>
        <v>-7117514.1613034019</v>
      </c>
      <c r="D25" s="252">
        <f>'WP 6 HV LV Alloc Summary'!D49</f>
        <v>-5685289.8962365985</v>
      </c>
      <c r="E25" s="38">
        <f>C25+D25</f>
        <v>-12802804.057539999</v>
      </c>
      <c r="F25" s="61" t="s">
        <v>198</v>
      </c>
      <c r="G25" s="263">
        <f t="shared" si="1"/>
        <v>13</v>
      </c>
    </row>
    <row r="26" spans="1:7" ht="15.75" x14ac:dyDescent="0.25">
      <c r="A26" s="262">
        <f t="shared" si="0"/>
        <v>14</v>
      </c>
      <c r="B26" s="17"/>
      <c r="C26" s="238"/>
      <c r="D26" s="31"/>
      <c r="E26" s="31"/>
      <c r="F26" s="33"/>
      <c r="G26" s="263">
        <f t="shared" si="1"/>
        <v>14</v>
      </c>
    </row>
    <row r="27" spans="1:7" ht="15.75" x14ac:dyDescent="0.25">
      <c r="A27" s="262">
        <f t="shared" si="0"/>
        <v>15</v>
      </c>
      <c r="B27" s="538" t="s">
        <v>175</v>
      </c>
      <c r="C27" s="38">
        <f>SUM(C19:C25)</f>
        <v>-43609749.413312003</v>
      </c>
      <c r="D27" s="331">
        <f>SUM(D19:D25)</f>
        <v>-5986067.5566880004</v>
      </c>
      <c r="E27" s="38">
        <f>SUM(E19:E25)</f>
        <v>-49595816.970000006</v>
      </c>
      <c r="F27" s="61" t="s">
        <v>199</v>
      </c>
      <c r="G27" s="263">
        <f t="shared" si="1"/>
        <v>15</v>
      </c>
    </row>
    <row r="28" spans="1:7" ht="15.75" x14ac:dyDescent="0.25">
      <c r="A28" s="262">
        <f t="shared" si="0"/>
        <v>16</v>
      </c>
      <c r="B28" s="477"/>
      <c r="C28" s="238"/>
      <c r="D28" s="31"/>
      <c r="E28" s="31"/>
      <c r="F28" s="61"/>
      <c r="G28" s="263">
        <f t="shared" si="1"/>
        <v>16</v>
      </c>
    </row>
    <row r="29" spans="1:7" ht="15.75" x14ac:dyDescent="0.25">
      <c r="A29" s="262">
        <f t="shared" si="0"/>
        <v>17</v>
      </c>
      <c r="B29" s="18" t="s">
        <v>544</v>
      </c>
      <c r="C29" s="238">
        <f>C15+C27</f>
        <v>-49094606.413312003</v>
      </c>
      <c r="D29" s="238">
        <f>D15+D27</f>
        <v>-6738943.5566880004</v>
      </c>
      <c r="E29" s="238">
        <f t="shared" ref="E29" si="2">E15+E27</f>
        <v>-55833549.970000006</v>
      </c>
      <c r="F29" s="61" t="s">
        <v>200</v>
      </c>
      <c r="G29" s="263">
        <f t="shared" si="1"/>
        <v>17</v>
      </c>
    </row>
    <row r="30" spans="1:7" ht="15.75" x14ac:dyDescent="0.25">
      <c r="A30" s="262">
        <f t="shared" si="0"/>
        <v>18</v>
      </c>
      <c r="B30" s="477"/>
      <c r="C30" s="238"/>
      <c r="D30" s="31"/>
      <c r="E30" s="31"/>
      <c r="F30" s="61"/>
      <c r="G30" s="263">
        <f t="shared" si="1"/>
        <v>18</v>
      </c>
    </row>
    <row r="31" spans="1:7" ht="15.75" x14ac:dyDescent="0.25">
      <c r="A31" s="262">
        <f t="shared" si="0"/>
        <v>19</v>
      </c>
      <c r="B31" s="478" t="s">
        <v>459</v>
      </c>
      <c r="C31" s="252">
        <f>C29*0.010207</f>
        <v>-501108.64766067563</v>
      </c>
      <c r="D31" s="38">
        <f>D29*0.010207</f>
        <v>-68784.39688311443</v>
      </c>
      <c r="E31" s="38">
        <f>C31+D31</f>
        <v>-569893.04454379005</v>
      </c>
      <c r="F31" s="61" t="s">
        <v>462</v>
      </c>
      <c r="G31" s="263">
        <f t="shared" si="1"/>
        <v>19</v>
      </c>
    </row>
    <row r="32" spans="1:7" ht="15.75" x14ac:dyDescent="0.25">
      <c r="A32" s="262">
        <f t="shared" si="0"/>
        <v>20</v>
      </c>
      <c r="B32" s="478"/>
      <c r="C32" s="238"/>
      <c r="D32" s="31"/>
      <c r="E32" s="31"/>
      <c r="F32" s="61"/>
      <c r="G32" s="263">
        <f t="shared" si="1"/>
        <v>20</v>
      </c>
    </row>
    <row r="33" spans="1:9" ht="15.75" x14ac:dyDescent="0.25">
      <c r="A33" s="262">
        <f t="shared" si="0"/>
        <v>21</v>
      </c>
      <c r="B33" s="56" t="s">
        <v>545</v>
      </c>
      <c r="C33" s="51">
        <f>C29+C31</f>
        <v>-49595715.060972676</v>
      </c>
      <c r="D33" s="51">
        <f>D29+D31</f>
        <v>-6807727.9535711147</v>
      </c>
      <c r="E33" s="51">
        <f>E29+E31</f>
        <v>-56403443.014543794</v>
      </c>
      <c r="F33" s="61" t="s">
        <v>180</v>
      </c>
      <c r="G33" s="263">
        <f t="shared" si="1"/>
        <v>21</v>
      </c>
      <c r="I33" s="950"/>
    </row>
    <row r="34" spans="1:9" ht="15.75" x14ac:dyDescent="0.25">
      <c r="A34" s="262">
        <f t="shared" si="0"/>
        <v>22</v>
      </c>
      <c r="B34" s="11"/>
      <c r="C34" s="527"/>
      <c r="D34" s="44"/>
      <c r="E34" s="44"/>
      <c r="F34" s="62"/>
      <c r="G34" s="263">
        <f t="shared" si="1"/>
        <v>22</v>
      </c>
    </row>
    <row r="35" spans="1:9" ht="18.75" x14ac:dyDescent="0.25">
      <c r="A35" s="262">
        <f t="shared" si="0"/>
        <v>23</v>
      </c>
      <c r="B35" s="11" t="s">
        <v>201</v>
      </c>
      <c r="C35" s="445">
        <f>'WP 3 Standby Revenues'!C15</f>
        <v>-4147664</v>
      </c>
      <c r="D35" s="51">
        <f>'WP 3 Standby Revenues'!D15</f>
        <v>-5298688</v>
      </c>
      <c r="E35" s="51">
        <f>C35+D35</f>
        <v>-9446352</v>
      </c>
      <c r="F35" s="61" t="s">
        <v>202</v>
      </c>
      <c r="G35" s="263">
        <f t="shared" si="1"/>
        <v>23</v>
      </c>
    </row>
    <row r="36" spans="1:9" ht="15.75" x14ac:dyDescent="0.25">
      <c r="A36" s="262">
        <f t="shared" si="0"/>
        <v>24</v>
      </c>
      <c r="B36" s="17"/>
      <c r="C36" s="442"/>
      <c r="D36" s="476"/>
      <c r="E36" s="476"/>
      <c r="F36" s="61"/>
      <c r="G36" s="263">
        <f t="shared" si="1"/>
        <v>24</v>
      </c>
    </row>
    <row r="37" spans="1:9" ht="16.5" thickBot="1" x14ac:dyDescent="0.3">
      <c r="A37" s="262">
        <f t="shared" si="0"/>
        <v>25</v>
      </c>
      <c r="B37" s="11" t="s">
        <v>546</v>
      </c>
      <c r="C37" s="507">
        <f>C13+C33+C35</f>
        <v>537045529.45153558</v>
      </c>
      <c r="D37" s="232">
        <f>D13+D33+D35</f>
        <v>742633034.03818071</v>
      </c>
      <c r="E37" s="232">
        <f>E13+E33+E35</f>
        <v>1279678563.4897163</v>
      </c>
      <c r="F37" s="61" t="s">
        <v>203</v>
      </c>
      <c r="G37" s="263">
        <f t="shared" si="1"/>
        <v>25</v>
      </c>
    </row>
    <row r="38" spans="1:9" ht="17.25" thickTop="1" thickBot="1" x14ac:dyDescent="0.3">
      <c r="A38" s="570"/>
      <c r="B38" s="81"/>
      <c r="C38" s="818"/>
      <c r="D38" s="81"/>
      <c r="E38" s="81"/>
      <c r="F38" s="550"/>
      <c r="G38" s="406"/>
    </row>
    <row r="39" spans="1:9" ht="15.75" x14ac:dyDescent="0.25">
      <c r="A39" s="22"/>
      <c r="B39" s="22"/>
      <c r="C39" s="3"/>
      <c r="D39" s="22"/>
      <c r="E39" s="22"/>
      <c r="F39" s="22"/>
      <c r="G39" s="22"/>
    </row>
    <row r="40" spans="1:9" ht="15.75" x14ac:dyDescent="0.25">
      <c r="A40" s="22"/>
      <c r="B40" s="22"/>
      <c r="C40" s="143"/>
      <c r="D40" s="143"/>
      <c r="E40" s="22"/>
      <c r="F40" s="22"/>
      <c r="G40" s="22"/>
    </row>
    <row r="41" spans="1:9" ht="20.25" x14ac:dyDescent="0.35">
      <c r="A41" s="83" t="s">
        <v>119</v>
      </c>
      <c r="B41" s="50" t="s">
        <v>505</v>
      </c>
      <c r="C41" s="22"/>
      <c r="D41" s="22"/>
      <c r="E41" s="22"/>
      <c r="F41" s="22"/>
      <c r="G41" s="22"/>
    </row>
    <row r="42" spans="1:9" ht="18.75" x14ac:dyDescent="0.25">
      <c r="A42" s="83">
        <v>2</v>
      </c>
      <c r="B42" s="50" t="s">
        <v>520</v>
      </c>
      <c r="C42" s="22"/>
      <c r="D42" s="22"/>
      <c r="E42" s="22"/>
      <c r="F42" s="22"/>
      <c r="G42" s="22"/>
    </row>
    <row r="43" spans="1:9" ht="18.75" x14ac:dyDescent="0.25">
      <c r="A43" s="69"/>
      <c r="B43" s="50"/>
      <c r="C43" s="22"/>
      <c r="D43" s="22"/>
      <c r="E43" s="22"/>
      <c r="F43" s="22"/>
      <c r="G43" s="22"/>
    </row>
    <row r="44" spans="1:9" ht="15.75" x14ac:dyDescent="0.25">
      <c r="A44" s="22"/>
      <c r="B44" s="50"/>
      <c r="C44" s="22"/>
      <c r="D44" s="22"/>
      <c r="E44" s="22"/>
      <c r="F44" s="22"/>
      <c r="G44" s="22"/>
    </row>
    <row r="45" spans="1:9" ht="15.75" x14ac:dyDescent="0.25">
      <c r="A45" s="22"/>
      <c r="B45" s="50"/>
      <c r="C45" s="22"/>
      <c r="D45" s="22"/>
      <c r="E45" s="22"/>
      <c r="F45" s="22"/>
      <c r="G45" s="22"/>
    </row>
    <row r="46" spans="1:9" ht="15.75" x14ac:dyDescent="0.25">
      <c r="A46" s="22"/>
      <c r="B46" s="50"/>
      <c r="C46" s="22"/>
      <c r="D46" s="22"/>
      <c r="E46" s="22"/>
      <c r="F46" s="22"/>
      <c r="G46" s="22"/>
    </row>
    <row r="47" spans="1:9" ht="15.75" x14ac:dyDescent="0.25">
      <c r="A47" s="22"/>
      <c r="B47" s="50"/>
      <c r="C47" s="22"/>
      <c r="D47" s="22"/>
      <c r="E47" s="22"/>
      <c r="F47" s="22"/>
      <c r="G47" s="22"/>
    </row>
    <row r="48" spans="1:9" ht="15.75" x14ac:dyDescent="0.25">
      <c r="A48" s="22"/>
      <c r="B48" s="50"/>
      <c r="C48" s="22"/>
      <c r="D48" s="22"/>
      <c r="E48" s="22"/>
      <c r="F48" s="22"/>
      <c r="G48" s="22"/>
    </row>
    <row r="49" spans="1:7" ht="15.75" x14ac:dyDescent="0.25">
      <c r="A49" s="22"/>
      <c r="B49" s="50"/>
      <c r="C49" s="22"/>
      <c r="D49" s="22"/>
      <c r="E49" s="22"/>
      <c r="F49" s="22"/>
      <c r="G49" s="22"/>
    </row>
    <row r="50" spans="1:7" ht="15.75" x14ac:dyDescent="0.25">
      <c r="A50" s="22"/>
      <c r="B50" s="50"/>
      <c r="C50" s="22"/>
      <c r="D50" s="22"/>
      <c r="E50" s="22"/>
      <c r="F50" s="22"/>
      <c r="G50" s="22"/>
    </row>
    <row r="51" spans="1:7" ht="15.75" x14ac:dyDescent="0.25">
      <c r="A51" s="22"/>
      <c r="B51" s="50"/>
      <c r="C51" s="22"/>
      <c r="D51" s="22"/>
      <c r="E51" s="22"/>
      <c r="F51" s="22"/>
      <c r="G51" s="22"/>
    </row>
    <row r="52" spans="1:7" ht="15.75" x14ac:dyDescent="0.25">
      <c r="A52" s="22"/>
      <c r="B52" s="50"/>
      <c r="C52" s="22"/>
      <c r="D52" s="22"/>
      <c r="E52" s="22"/>
      <c r="F52" s="22"/>
      <c r="G52" s="22"/>
    </row>
    <row r="53" spans="1:7" ht="15.75" x14ac:dyDescent="0.25">
      <c r="A53" s="22"/>
      <c r="B53" s="50"/>
      <c r="C53" s="22"/>
      <c r="D53" s="22"/>
      <c r="E53" s="22"/>
      <c r="F53" s="22"/>
      <c r="G53" s="22"/>
    </row>
    <row r="54" spans="1:7" ht="15.75" x14ac:dyDescent="0.25">
      <c r="A54" s="22"/>
      <c r="B54" s="50"/>
      <c r="C54" s="22"/>
      <c r="D54" s="22"/>
      <c r="E54" s="22"/>
      <c r="F54" s="22"/>
      <c r="G54" s="22"/>
    </row>
    <row r="55" spans="1:7" ht="15.75" x14ac:dyDescent="0.25">
      <c r="A55" s="22"/>
      <c r="B55" s="50"/>
      <c r="C55" s="22"/>
      <c r="D55" s="22"/>
      <c r="E55" s="22"/>
      <c r="F55" s="22"/>
      <c r="G55" s="22"/>
    </row>
    <row r="56" spans="1:7" ht="15.75" x14ac:dyDescent="0.25">
      <c r="A56" s="22"/>
      <c r="B56" s="50"/>
      <c r="C56" s="22"/>
      <c r="D56" s="22"/>
      <c r="E56" s="22"/>
      <c r="F56" s="22"/>
      <c r="G56" s="22"/>
    </row>
    <row r="57" spans="1:7" ht="15.75" x14ac:dyDescent="0.25">
      <c r="A57" s="22"/>
      <c r="B57" s="50"/>
      <c r="C57" s="22"/>
      <c r="D57" s="22"/>
      <c r="E57" s="22"/>
      <c r="F57" s="22"/>
      <c r="G57" s="22"/>
    </row>
    <row r="58" spans="1:7" ht="15.75" x14ac:dyDescent="0.25">
      <c r="A58" s="22"/>
      <c r="B58" s="50"/>
      <c r="C58" s="22"/>
      <c r="D58" s="22"/>
      <c r="E58" s="22"/>
      <c r="F58" s="22"/>
      <c r="G58" s="22"/>
    </row>
    <row r="59" spans="1:7" ht="15.75" x14ac:dyDescent="0.25">
      <c r="A59" s="22"/>
      <c r="B59" s="50"/>
      <c r="C59" s="22"/>
      <c r="D59" s="22"/>
      <c r="E59" s="22"/>
      <c r="F59" s="22"/>
      <c r="G59" s="22"/>
    </row>
    <row r="60" spans="1:7" ht="15.75" x14ac:dyDescent="0.25">
      <c r="A60" s="22"/>
      <c r="B60" s="50"/>
      <c r="C60" s="22"/>
      <c r="D60" s="22"/>
      <c r="E60" s="22"/>
      <c r="F60" s="22"/>
      <c r="G60" s="22"/>
    </row>
    <row r="61" spans="1:7" ht="15.75" x14ac:dyDescent="0.25">
      <c r="A61" s="22"/>
      <c r="B61" s="50"/>
      <c r="C61" s="22"/>
      <c r="D61" s="22"/>
      <c r="E61" s="22"/>
      <c r="F61" s="22"/>
      <c r="G61" s="22"/>
    </row>
    <row r="62" spans="1:7" ht="15.75" x14ac:dyDescent="0.25">
      <c r="A62" s="22"/>
      <c r="B62" s="50"/>
      <c r="C62" s="22"/>
      <c r="D62" s="22"/>
      <c r="E62" s="22"/>
      <c r="F62" s="22"/>
      <c r="G62" s="22"/>
    </row>
    <row r="63" spans="1:7" ht="15.75" x14ac:dyDescent="0.25">
      <c r="A63" s="22"/>
      <c r="B63" s="50"/>
      <c r="C63" s="22"/>
      <c r="D63" s="22"/>
      <c r="E63" s="22"/>
      <c r="F63" s="22"/>
      <c r="G63" s="22"/>
    </row>
    <row r="64" spans="1:7" ht="15.75" x14ac:dyDescent="0.25">
      <c r="A64" s="22"/>
      <c r="B64" s="50"/>
      <c r="C64" s="22"/>
      <c r="D64" s="22"/>
      <c r="E64" s="22"/>
      <c r="F64" s="22"/>
      <c r="G64" s="22"/>
    </row>
    <row r="65" spans="1:7" ht="15.75" x14ac:dyDescent="0.25">
      <c r="A65" s="22"/>
      <c r="B65" s="50"/>
      <c r="C65" s="22"/>
      <c r="D65" s="22"/>
      <c r="E65" s="22"/>
      <c r="F65" s="22"/>
      <c r="G65" s="22"/>
    </row>
    <row r="66" spans="1:7" ht="15.75" x14ac:dyDescent="0.25">
      <c r="A66" s="22"/>
      <c r="B66" s="50"/>
      <c r="C66" s="22"/>
      <c r="D66" s="22"/>
      <c r="E66" s="22"/>
      <c r="F66" s="22"/>
      <c r="G66" s="22"/>
    </row>
    <row r="67" spans="1:7" ht="15.75" x14ac:dyDescent="0.25">
      <c r="A67" s="22"/>
      <c r="B67" s="50"/>
      <c r="C67" s="22"/>
      <c r="D67" s="22"/>
      <c r="E67" s="22"/>
      <c r="F67" s="22"/>
      <c r="G67" s="22"/>
    </row>
    <row r="68" spans="1:7" ht="15.75" x14ac:dyDescent="0.25">
      <c r="A68" s="22"/>
      <c r="B68" s="50"/>
      <c r="C68" s="22"/>
      <c r="D68" s="22"/>
      <c r="E68" s="22"/>
      <c r="F68" s="22"/>
      <c r="G68" s="22"/>
    </row>
    <row r="69" spans="1:7" ht="15.75" x14ac:dyDescent="0.25">
      <c r="A69" s="22"/>
      <c r="B69" s="50"/>
      <c r="C69" s="22"/>
      <c r="D69" s="22"/>
      <c r="E69" s="22"/>
      <c r="F69" s="22"/>
      <c r="G69" s="22"/>
    </row>
    <row r="70" spans="1:7" ht="15.75" x14ac:dyDescent="0.25">
      <c r="A70" s="22"/>
      <c r="B70" s="50"/>
      <c r="C70" s="22"/>
      <c r="D70" s="22"/>
      <c r="E70" s="22"/>
      <c r="F70" s="22"/>
      <c r="G70" s="22"/>
    </row>
    <row r="71" spans="1:7" ht="15.75" x14ac:dyDescent="0.25">
      <c r="A71" s="22"/>
      <c r="B71" s="50"/>
      <c r="C71" s="22"/>
      <c r="D71" s="22"/>
      <c r="E71" s="22"/>
      <c r="F71" s="22"/>
      <c r="G71" s="22"/>
    </row>
    <row r="72" spans="1:7" ht="15.75" x14ac:dyDescent="0.25">
      <c r="A72" s="22"/>
      <c r="B72" s="50"/>
      <c r="C72" s="22"/>
      <c r="D72" s="22"/>
      <c r="E72" s="22"/>
      <c r="F72" s="22"/>
      <c r="G72" s="22"/>
    </row>
    <row r="73" spans="1:7" ht="15.75" x14ac:dyDescent="0.25">
      <c r="A73" s="22"/>
      <c r="B73" s="50"/>
      <c r="C73" s="22"/>
      <c r="D73" s="22"/>
      <c r="E73" s="22"/>
      <c r="F73" s="22"/>
      <c r="G73" s="22"/>
    </row>
    <row r="74" spans="1:7" ht="15.75" x14ac:dyDescent="0.25">
      <c r="A74" s="22"/>
      <c r="B74" s="50"/>
      <c r="C74" s="22"/>
      <c r="D74" s="22"/>
      <c r="E74" s="22"/>
      <c r="F74" s="22"/>
      <c r="G74" s="22"/>
    </row>
    <row r="75" spans="1:7" ht="15.75" x14ac:dyDescent="0.25">
      <c r="A75" s="22"/>
      <c r="B75" s="50"/>
      <c r="C75" s="22"/>
      <c r="D75" s="22"/>
      <c r="E75" s="22"/>
      <c r="F75" s="22"/>
      <c r="G75" s="22"/>
    </row>
    <row r="76" spans="1:7" ht="15.75" x14ac:dyDescent="0.25">
      <c r="A76" s="22"/>
      <c r="B76" s="50"/>
      <c r="C76" s="22"/>
      <c r="D76" s="22"/>
      <c r="E76" s="22"/>
      <c r="F76" s="22"/>
      <c r="G76" s="22"/>
    </row>
    <row r="77" spans="1:7" ht="15.75" x14ac:dyDescent="0.25">
      <c r="A77" s="22"/>
      <c r="B77" s="50"/>
      <c r="C77" s="22"/>
      <c r="D77" s="22"/>
      <c r="E77" s="22"/>
      <c r="F77" s="22"/>
      <c r="G77" s="22"/>
    </row>
    <row r="78" spans="1:7" ht="15.75" x14ac:dyDescent="0.25">
      <c r="A78" s="22"/>
      <c r="B78" s="50"/>
      <c r="C78" s="22"/>
      <c r="D78" s="22"/>
      <c r="E78" s="22"/>
      <c r="F78" s="22"/>
      <c r="G78" s="22"/>
    </row>
    <row r="79" spans="1:7" ht="15.75" x14ac:dyDescent="0.25">
      <c r="A79" s="22"/>
      <c r="B79" s="50"/>
      <c r="C79" s="22"/>
      <c r="D79" s="22"/>
      <c r="E79" s="22"/>
      <c r="F79" s="22"/>
      <c r="G79" s="22"/>
    </row>
    <row r="80" spans="1:7" ht="15.75" x14ac:dyDescent="0.25">
      <c r="A80" s="22"/>
      <c r="B80" s="50"/>
      <c r="C80" s="22"/>
      <c r="D80" s="22"/>
      <c r="E80" s="22"/>
      <c r="F80" s="22"/>
      <c r="G80" s="22"/>
    </row>
    <row r="81" spans="1:7" ht="15.75" x14ac:dyDescent="0.25">
      <c r="A81" s="22"/>
      <c r="B81" s="50"/>
      <c r="C81" s="22"/>
      <c r="D81" s="22"/>
      <c r="E81" s="22"/>
      <c r="F81" s="22"/>
      <c r="G81" s="22"/>
    </row>
    <row r="82" spans="1:7" ht="15.75" x14ac:dyDescent="0.25">
      <c r="A82" s="22"/>
      <c r="B82" s="50"/>
      <c r="C82" s="22"/>
      <c r="D82" s="22"/>
      <c r="E82" s="22"/>
      <c r="F82" s="22"/>
      <c r="G82" s="22"/>
    </row>
    <row r="83" spans="1:7" ht="15.75" x14ac:dyDescent="0.25">
      <c r="A83" s="22"/>
      <c r="B83" s="50"/>
      <c r="C83" s="22"/>
      <c r="D83" s="22"/>
      <c r="E83" s="22"/>
      <c r="F83" s="22"/>
      <c r="G83" s="22"/>
    </row>
    <row r="84" spans="1:7" ht="15.75" x14ac:dyDescent="0.25">
      <c r="A84" s="22"/>
      <c r="B84" s="50"/>
      <c r="C84" s="22"/>
      <c r="D84" s="22"/>
      <c r="E84" s="22"/>
      <c r="F84" s="22"/>
      <c r="G84" s="22"/>
    </row>
    <row r="85" spans="1:7" ht="15.75" x14ac:dyDescent="0.25">
      <c r="A85" s="22"/>
      <c r="B85" s="50"/>
      <c r="C85" s="22"/>
      <c r="D85" s="22"/>
      <c r="E85" s="22"/>
      <c r="F85" s="22"/>
      <c r="G85" s="22"/>
    </row>
    <row r="86" spans="1:7" ht="15.75" x14ac:dyDescent="0.25">
      <c r="A86" s="22"/>
      <c r="B86" s="50"/>
      <c r="C86" s="22"/>
      <c r="D86" s="22"/>
      <c r="E86" s="22"/>
      <c r="F86" s="22"/>
      <c r="G86" s="22"/>
    </row>
    <row r="87" spans="1:7" ht="15.75" x14ac:dyDescent="0.25">
      <c r="A87" s="22"/>
      <c r="B87" s="50"/>
      <c r="C87" s="22"/>
      <c r="D87" s="22"/>
      <c r="E87" s="22"/>
      <c r="F87" s="22"/>
      <c r="G87" s="22"/>
    </row>
    <row r="88" spans="1:7" ht="15.75" x14ac:dyDescent="0.25">
      <c r="A88" s="22"/>
      <c r="B88" s="50"/>
      <c r="C88" s="22"/>
      <c r="D88" s="22"/>
      <c r="E88" s="22"/>
      <c r="F88" s="22"/>
      <c r="G88" s="22"/>
    </row>
    <row r="89" spans="1:7" ht="15.75" x14ac:dyDescent="0.25">
      <c r="A89" s="22"/>
      <c r="B89" s="50"/>
      <c r="C89" s="22"/>
      <c r="D89" s="22"/>
      <c r="E89" s="22"/>
      <c r="F89" s="22"/>
      <c r="G89" s="22"/>
    </row>
    <row r="90" spans="1:7" ht="15.75" x14ac:dyDescent="0.25">
      <c r="A90" s="22"/>
      <c r="B90" s="50"/>
      <c r="C90" s="22"/>
      <c r="D90" s="22"/>
      <c r="E90" s="22"/>
      <c r="F90" s="22"/>
      <c r="G90" s="22"/>
    </row>
  </sheetData>
  <phoneticPr fontId="0" type="noConversion"/>
  <printOptions horizontalCentered="1"/>
  <pageMargins left="0.25" right="0.25" top="0.5" bottom="0.5" header="0.25" footer="0.25"/>
  <pageSetup scale="74" orientation="landscape" r:id="rId1"/>
  <headerFooter alignWithMargins="0">
    <oddFooter>&amp;L&amp;"Times New Roman,Regular"&amp;12&amp;F&amp;C&amp;"Times New Roman,Regular"&amp;12Page 1&amp;R&amp;"Times New Roman,Regular"&amp;12&amp;A</oddFooter>
  </headerFooter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G46"/>
  <sheetViews>
    <sheetView zoomScale="80" zoomScaleNormal="80" workbookViewId="0">
      <selection activeCell="C36" sqref="C36"/>
    </sheetView>
  </sheetViews>
  <sheetFormatPr defaultColWidth="8.5703125" defaultRowHeight="12.75" x14ac:dyDescent="0.2"/>
  <cols>
    <col min="1" max="1" width="5.5703125" style="1" customWidth="1"/>
    <col min="2" max="2" width="55.5703125" style="2" customWidth="1"/>
    <col min="3" max="3" width="20.5703125" style="2" customWidth="1"/>
    <col min="4" max="4" width="40.5703125" style="1" customWidth="1"/>
    <col min="5" max="5" width="5.5703125" style="1" customWidth="1"/>
    <col min="6" max="6" width="15.5703125" style="1" customWidth="1"/>
    <col min="7" max="7" width="15.5703125" style="179" customWidth="1"/>
    <col min="8" max="16384" width="8.5703125" style="1"/>
  </cols>
  <sheetData>
    <row r="2" spans="1:5" ht="15.75" x14ac:dyDescent="0.2">
      <c r="B2" s="5" t="s">
        <v>204</v>
      </c>
      <c r="C2" s="5"/>
      <c r="D2" s="6"/>
    </row>
    <row r="3" spans="1:5" ht="15.75" x14ac:dyDescent="0.2">
      <c r="B3" s="5" t="s">
        <v>1</v>
      </c>
      <c r="C3" s="5"/>
      <c r="D3" s="6"/>
    </row>
    <row r="4" spans="1:5" ht="15.75" x14ac:dyDescent="0.2">
      <c r="B4" s="5" t="str">
        <f>'Stmnt BK1 - TRBAA'!B4</f>
        <v>2027 - TRBAA Rate Filing</v>
      </c>
      <c r="C4" s="5"/>
      <c r="D4" s="6"/>
    </row>
    <row r="5" spans="1:5" ht="15.75" x14ac:dyDescent="0.2">
      <c r="B5" s="5" t="s">
        <v>547</v>
      </c>
      <c r="C5" s="5"/>
      <c r="D5" s="6"/>
    </row>
    <row r="6" spans="1:5" ht="16.5" thickBot="1" x14ac:dyDescent="0.25">
      <c r="B6" s="5"/>
      <c r="C6" s="5"/>
      <c r="D6" s="6"/>
    </row>
    <row r="7" spans="1:5" ht="15.75" x14ac:dyDescent="0.25">
      <c r="A7" s="551" t="s">
        <v>7</v>
      </c>
      <c r="B7" s="455"/>
      <c r="C7" s="586" t="s">
        <v>17</v>
      </c>
      <c r="D7" s="588"/>
      <c r="E7" s="553" t="s">
        <v>7</v>
      </c>
    </row>
    <row r="8" spans="1:5" ht="16.5" thickBot="1" x14ac:dyDescent="0.3">
      <c r="A8" s="563" t="s">
        <v>10</v>
      </c>
      <c r="B8" s="153" t="s">
        <v>163</v>
      </c>
      <c r="C8" s="577" t="s">
        <v>164</v>
      </c>
      <c r="D8" s="578" t="s">
        <v>15</v>
      </c>
      <c r="E8" s="564" t="s">
        <v>10</v>
      </c>
    </row>
    <row r="9" spans="1:5" ht="15.75" x14ac:dyDescent="0.25">
      <c r="A9" s="332"/>
      <c r="B9" s="11"/>
      <c r="C9" s="235"/>
      <c r="D9" s="91"/>
      <c r="E9" s="348"/>
    </row>
    <row r="10" spans="1:5" ht="15.75" x14ac:dyDescent="0.25">
      <c r="A10" s="262">
        <v>1</v>
      </c>
      <c r="B10" s="18" t="s">
        <v>507</v>
      </c>
      <c r="C10" s="439">
        <f>'WP 4 Monthly TRBAA '!O38</f>
        <v>-6237733.0167837702</v>
      </c>
      <c r="D10" s="61" t="str">
        <f>'Stmnt BK1 - TRBAA'!D10</f>
        <v>Work paper No. 4; Page 4.4; Line 32</v>
      </c>
      <c r="E10" s="263">
        <v>1</v>
      </c>
    </row>
    <row r="11" spans="1:5" ht="15.75" x14ac:dyDescent="0.25">
      <c r="A11" s="262">
        <f>A10+1</f>
        <v>2</v>
      </c>
      <c r="B11" s="17"/>
      <c r="C11" s="91"/>
      <c r="D11" s="33"/>
      <c r="E11" s="263">
        <f>E10+1</f>
        <v>2</v>
      </c>
    </row>
    <row r="12" spans="1:5" ht="15.75" x14ac:dyDescent="0.25">
      <c r="A12" s="262">
        <f t="shared" ref="A12:A36" si="0">A11+1</f>
        <v>3</v>
      </c>
      <c r="B12" s="20" t="s">
        <v>166</v>
      </c>
      <c r="C12" s="236"/>
      <c r="D12" s="61"/>
      <c r="E12" s="263">
        <f t="shared" ref="E12:E36" si="1">E11+1</f>
        <v>3</v>
      </c>
    </row>
    <row r="13" spans="1:5" ht="15.75" x14ac:dyDescent="0.25">
      <c r="A13" s="262">
        <f t="shared" si="0"/>
        <v>4</v>
      </c>
      <c r="B13" s="17"/>
      <c r="C13" s="91"/>
      <c r="D13" s="33"/>
      <c r="E13" s="263">
        <f t="shared" si="1"/>
        <v>4</v>
      </c>
    </row>
    <row r="14" spans="1:5" ht="15.75" x14ac:dyDescent="0.25">
      <c r="A14" s="262">
        <f t="shared" si="0"/>
        <v>5</v>
      </c>
      <c r="B14" s="18" t="s">
        <v>167</v>
      </c>
      <c r="C14" s="237">
        <f>'WP 7 Wheeling Revenues'!E37</f>
        <v>-36254660.200000003</v>
      </c>
      <c r="D14" s="61" t="str">
        <f>'Stmnt BK1 - TRBAA'!D14</f>
        <v>Work paper No. 7; Page 7.1; Line 27</v>
      </c>
      <c r="E14" s="263">
        <f t="shared" si="1"/>
        <v>5</v>
      </c>
    </row>
    <row r="15" spans="1:5" ht="15.75" x14ac:dyDescent="0.25">
      <c r="A15" s="262">
        <f t="shared" si="0"/>
        <v>6</v>
      </c>
      <c r="B15" s="17"/>
      <c r="C15" s="238"/>
      <c r="D15" s="33"/>
      <c r="E15" s="263">
        <f t="shared" si="1"/>
        <v>6</v>
      </c>
    </row>
    <row r="16" spans="1:5" ht="15.75" x14ac:dyDescent="0.25">
      <c r="A16" s="262">
        <f t="shared" si="0"/>
        <v>7</v>
      </c>
      <c r="B16" s="18" t="s">
        <v>169</v>
      </c>
      <c r="C16" s="237">
        <f>'WP 8 CT4575'!C34</f>
        <v>18000</v>
      </c>
      <c r="D16" s="61" t="str">
        <f>'Stmnt BK1 - TRBAA'!D16</f>
        <v>Work paper No. 8; Page 8.1; Line 27</v>
      </c>
      <c r="E16" s="263">
        <f t="shared" si="1"/>
        <v>7</v>
      </c>
    </row>
    <row r="17" spans="1:5" ht="15.75" x14ac:dyDescent="0.25">
      <c r="A17" s="262">
        <f t="shared" si="0"/>
        <v>8</v>
      </c>
      <c r="B17" s="17"/>
      <c r="C17" s="238"/>
      <c r="D17" s="33"/>
      <c r="E17" s="263">
        <f t="shared" si="1"/>
        <v>8</v>
      </c>
    </row>
    <row r="18" spans="1:5" ht="15.75" x14ac:dyDescent="0.25">
      <c r="A18" s="262">
        <f t="shared" si="0"/>
        <v>9</v>
      </c>
      <c r="B18" s="18" t="s">
        <v>196</v>
      </c>
      <c r="C18" s="237">
        <f>'WP 9 ETC Cost Diffs'!C34</f>
        <v>-556352.71246000042</v>
      </c>
      <c r="D18" s="61" t="str">
        <f>'Stmnt BK1 - TRBAA'!D18</f>
        <v>Work paper No. 9; Page 9.1; Line 27</v>
      </c>
      <c r="E18" s="263">
        <f t="shared" si="1"/>
        <v>9</v>
      </c>
    </row>
    <row r="19" spans="1:5" ht="15.75" x14ac:dyDescent="0.25">
      <c r="A19" s="262">
        <f t="shared" si="0"/>
        <v>10</v>
      </c>
      <c r="B19" s="17"/>
      <c r="C19" s="238"/>
      <c r="D19" s="33"/>
      <c r="E19" s="263">
        <f t="shared" si="1"/>
        <v>10</v>
      </c>
    </row>
    <row r="20" spans="1:5" ht="15.75" x14ac:dyDescent="0.25">
      <c r="A20" s="262">
        <f t="shared" si="0"/>
        <v>11</v>
      </c>
      <c r="B20" s="18" t="s">
        <v>173</v>
      </c>
      <c r="C20" s="440">
        <f>'WP 11 Other PTO Forecast'!C34</f>
        <v>-12802804.057539999</v>
      </c>
      <c r="D20" s="61" t="str">
        <f>'Stmnt BK1 - TRBAA'!D20</f>
        <v>Work paper No. 11; Page 11.1; Line 27</v>
      </c>
      <c r="E20" s="263">
        <f t="shared" si="1"/>
        <v>11</v>
      </c>
    </row>
    <row r="21" spans="1:5" ht="15.75" x14ac:dyDescent="0.25">
      <c r="A21" s="262">
        <f t="shared" si="0"/>
        <v>12</v>
      </c>
      <c r="B21" s="17"/>
      <c r="C21" s="91"/>
      <c r="D21" s="33"/>
      <c r="E21" s="263">
        <f t="shared" si="1"/>
        <v>12</v>
      </c>
    </row>
    <row r="22" spans="1:5" ht="15.75" x14ac:dyDescent="0.25">
      <c r="A22" s="262">
        <f t="shared" si="0"/>
        <v>13</v>
      </c>
      <c r="B22" s="477" t="s">
        <v>175</v>
      </c>
      <c r="C22" s="252">
        <f>SUM(C14:C20)</f>
        <v>-49595816.970000006</v>
      </c>
      <c r="D22" s="61" t="s">
        <v>205</v>
      </c>
      <c r="E22" s="263">
        <f t="shared" si="1"/>
        <v>13</v>
      </c>
    </row>
    <row r="23" spans="1:5" ht="15.75" x14ac:dyDescent="0.25">
      <c r="A23" s="262">
        <f t="shared" si="0"/>
        <v>14</v>
      </c>
      <c r="B23" s="18"/>
      <c r="C23" s="239"/>
      <c r="D23" s="61"/>
      <c r="E23" s="263">
        <f t="shared" si="1"/>
        <v>14</v>
      </c>
    </row>
    <row r="24" spans="1:5" ht="15.75" x14ac:dyDescent="0.25">
      <c r="A24" s="262">
        <f t="shared" si="0"/>
        <v>15</v>
      </c>
      <c r="B24" s="11" t="s">
        <v>177</v>
      </c>
      <c r="C24" s="254">
        <f>C10+C22</f>
        <v>-55833549.986783773</v>
      </c>
      <c r="D24" s="61" t="str">
        <f>'Stmnt BK1 - TRBAA'!D24</f>
        <v>Line 1 + Line 13</v>
      </c>
      <c r="E24" s="263">
        <f t="shared" si="1"/>
        <v>15</v>
      </c>
    </row>
    <row r="25" spans="1:5" ht="15.75" x14ac:dyDescent="0.25">
      <c r="A25" s="262">
        <f t="shared" si="0"/>
        <v>16</v>
      </c>
      <c r="B25" s="11"/>
      <c r="C25" s="444"/>
      <c r="D25" s="62"/>
      <c r="E25" s="263">
        <f t="shared" si="1"/>
        <v>16</v>
      </c>
    </row>
    <row r="26" spans="1:5" ht="15.75" x14ac:dyDescent="0.25">
      <c r="A26" s="262">
        <f t="shared" si="0"/>
        <v>17</v>
      </c>
      <c r="B26" s="11" t="s">
        <v>459</v>
      </c>
      <c r="C26" s="238">
        <f>C24*0.010207</f>
        <v>-569893.04471510206</v>
      </c>
      <c r="D26" s="61" t="str">
        <f>'Stmnt BK1 - TRBAA'!D26</f>
        <v>Line 15 x 1.0207%</v>
      </c>
      <c r="E26" s="263">
        <f t="shared" si="1"/>
        <v>17</v>
      </c>
    </row>
    <row r="27" spans="1:5" ht="15.75" x14ac:dyDescent="0.25">
      <c r="A27" s="262">
        <f t="shared" si="0"/>
        <v>18</v>
      </c>
      <c r="B27" s="11"/>
      <c r="C27" s="444"/>
      <c r="D27" s="62"/>
      <c r="E27" s="263">
        <f t="shared" si="1"/>
        <v>18</v>
      </c>
    </row>
    <row r="28" spans="1:5" ht="15.75" x14ac:dyDescent="0.25">
      <c r="A28" s="262">
        <f t="shared" si="0"/>
        <v>19</v>
      </c>
      <c r="B28" s="11" t="str">
        <f>'Stmnt BK1 - TRBAA'!B28</f>
        <v xml:space="preserve">   Uncollectibles @ 0.5510%</v>
      </c>
      <c r="C28" s="252">
        <f>(C24*0.00551)</f>
        <v>-307642.86042717862</v>
      </c>
      <c r="D28" s="61" t="str">
        <f>'Stmnt BK1 - TRBAA'!D28</f>
        <v>Line 15 x 0.5510%</v>
      </c>
      <c r="E28" s="263">
        <f t="shared" si="1"/>
        <v>19</v>
      </c>
    </row>
    <row r="29" spans="1:5" ht="15.75" x14ac:dyDescent="0.25">
      <c r="A29" s="262">
        <f t="shared" si="0"/>
        <v>20</v>
      </c>
      <c r="B29" s="11"/>
      <c r="C29" s="238"/>
      <c r="D29" s="62"/>
      <c r="E29" s="263">
        <f t="shared" si="1"/>
        <v>20</v>
      </c>
    </row>
    <row r="30" spans="1:5" ht="15.75" x14ac:dyDescent="0.25">
      <c r="A30" s="187">
        <f t="shared" si="0"/>
        <v>21</v>
      </c>
      <c r="B30" s="11" t="s">
        <v>179</v>
      </c>
      <c r="C30" s="252">
        <f>SUM(C26:C28)</f>
        <v>-877535.90514228074</v>
      </c>
      <c r="D30" s="61" t="s">
        <v>180</v>
      </c>
      <c r="E30" s="263">
        <f t="shared" si="1"/>
        <v>21</v>
      </c>
    </row>
    <row r="31" spans="1:5" ht="15.75" x14ac:dyDescent="0.25">
      <c r="A31" s="262">
        <f t="shared" si="0"/>
        <v>22</v>
      </c>
      <c r="B31" s="11"/>
      <c r="C31" s="444"/>
      <c r="D31" s="62"/>
      <c r="E31" s="263">
        <f t="shared" si="1"/>
        <v>22</v>
      </c>
    </row>
    <row r="32" spans="1:5" ht="15.75" x14ac:dyDescent="0.25">
      <c r="A32" s="262">
        <f t="shared" si="0"/>
        <v>23</v>
      </c>
      <c r="B32" s="11" t="s">
        <v>541</v>
      </c>
      <c r="C32" s="239">
        <f>SUM(C24:C29)</f>
        <v>-56711085.89192605</v>
      </c>
      <c r="D32" s="61" t="s">
        <v>181</v>
      </c>
      <c r="E32" s="263">
        <f t="shared" si="1"/>
        <v>23</v>
      </c>
    </row>
    <row r="33" spans="1:5" ht="15.75" x14ac:dyDescent="0.25">
      <c r="A33" s="262">
        <f t="shared" si="0"/>
        <v>24</v>
      </c>
      <c r="B33" s="11"/>
      <c r="C33" s="444"/>
      <c r="D33" s="62"/>
      <c r="E33" s="263">
        <f t="shared" si="1"/>
        <v>24</v>
      </c>
    </row>
    <row r="34" spans="1:5" ht="15.75" x14ac:dyDescent="0.25">
      <c r="A34" s="262">
        <f t="shared" si="0"/>
        <v>25</v>
      </c>
      <c r="B34" s="11" t="s">
        <v>510</v>
      </c>
      <c r="C34" s="445">
        <f>'Stmnt BD - Recorded KWH'!$E26</f>
        <v>17464377638</v>
      </c>
      <c r="D34" s="61" t="s">
        <v>206</v>
      </c>
      <c r="E34" s="263">
        <f t="shared" si="1"/>
        <v>25</v>
      </c>
    </row>
    <row r="35" spans="1:5" ht="15.75" x14ac:dyDescent="0.25">
      <c r="A35" s="262">
        <f t="shared" si="0"/>
        <v>26</v>
      </c>
      <c r="B35" s="17"/>
      <c r="C35" s="443"/>
      <c r="D35" s="63"/>
      <c r="E35" s="263">
        <f t="shared" si="1"/>
        <v>26</v>
      </c>
    </row>
    <row r="36" spans="1:5" ht="16.5" thickBot="1" x14ac:dyDescent="0.3">
      <c r="A36" s="262">
        <f t="shared" si="0"/>
        <v>27</v>
      </c>
      <c r="B36" s="11" t="s">
        <v>548</v>
      </c>
      <c r="C36" s="479">
        <f>ROUND(C32/C34,5)</f>
        <v>-3.2499999999999999E-3</v>
      </c>
      <c r="D36" s="61" t="s">
        <v>207</v>
      </c>
      <c r="E36" s="263">
        <f t="shared" si="1"/>
        <v>27</v>
      </c>
    </row>
    <row r="37" spans="1:5" ht="17.25" thickTop="1" thickBot="1" x14ac:dyDescent="0.3">
      <c r="A37" s="570"/>
      <c r="B37" s="81"/>
      <c r="C37" s="577"/>
      <c r="D37" s="571"/>
      <c r="E37" s="406"/>
    </row>
    <row r="38" spans="1:5" ht="15.75" x14ac:dyDescent="0.25">
      <c r="A38" s="22"/>
      <c r="B38" s="22"/>
      <c r="C38" s="22"/>
      <c r="D38" s="37"/>
      <c r="E38" s="22"/>
    </row>
    <row r="39" spans="1:5" ht="15.75" x14ac:dyDescent="0.25">
      <c r="A39" s="22"/>
      <c r="B39" s="68"/>
    </row>
    <row r="40" spans="1:5" ht="18.75" x14ac:dyDescent="0.25">
      <c r="A40" s="69"/>
      <c r="B40" s="50"/>
    </row>
    <row r="41" spans="1:5" ht="18.75" x14ac:dyDescent="0.25">
      <c r="A41" s="69"/>
      <c r="B41" s="50"/>
    </row>
    <row r="42" spans="1:5" ht="18.75" x14ac:dyDescent="0.25">
      <c r="A42" s="69"/>
      <c r="B42" s="50"/>
    </row>
    <row r="43" spans="1:5" ht="18.75" x14ac:dyDescent="0.25">
      <c r="A43" s="69"/>
      <c r="B43" s="50"/>
    </row>
    <row r="44" spans="1:5" ht="15.75" x14ac:dyDescent="0.25">
      <c r="A44" s="36"/>
      <c r="B44" s="50"/>
    </row>
    <row r="45" spans="1:5" ht="15.75" x14ac:dyDescent="0.25">
      <c r="B45" s="50"/>
    </row>
    <row r="46" spans="1:5" ht="18.75" x14ac:dyDescent="0.25">
      <c r="A46" s="69"/>
    </row>
  </sheetData>
  <phoneticPr fontId="15" type="noConversion"/>
  <printOptions horizontalCentered="1"/>
  <pageMargins left="0.25" right="0.25" top="0.5" bottom="0.75" header="0.25" footer="0.25"/>
  <pageSetup scale="90" orientation="landscape" r:id="rId1"/>
  <headerFooter alignWithMargins="0">
    <oddFooter>&amp;L&amp;"Times New Roman,Regular"&amp;F&amp;C&amp;"Times New Roman,Regular"Page 1&amp;R&amp;"Times New Roman,Regular"&amp;A</oddFooter>
  </headerFooter>
  <colBreaks count="1" manualBreakCount="1">
    <brk id="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I32"/>
  <sheetViews>
    <sheetView zoomScale="80" zoomScaleNormal="80" workbookViewId="0">
      <selection activeCell="F35" sqref="F35"/>
    </sheetView>
  </sheetViews>
  <sheetFormatPr defaultColWidth="8.5703125" defaultRowHeight="12.75" x14ac:dyDescent="0.2"/>
  <cols>
    <col min="1" max="1" width="5.5703125" style="1" customWidth="1"/>
    <col min="2" max="2" width="55.5703125" style="2" customWidth="1"/>
    <col min="3" max="5" width="20.5703125" style="1" customWidth="1"/>
    <col min="6" max="6" width="50.5703125" style="1" customWidth="1"/>
    <col min="7" max="7" width="5.5703125" style="1" customWidth="1"/>
    <col min="8" max="8" width="15.5703125" style="1" customWidth="1"/>
    <col min="9" max="9" width="15.5703125" style="179" customWidth="1"/>
    <col min="10" max="16384" width="8.5703125" style="1"/>
  </cols>
  <sheetData>
    <row r="2" spans="1:9" ht="15.75" x14ac:dyDescent="0.2">
      <c r="B2" s="5" t="s">
        <v>204</v>
      </c>
      <c r="C2" s="6"/>
      <c r="D2" s="6"/>
      <c r="E2" s="6"/>
      <c r="F2" s="6"/>
    </row>
    <row r="3" spans="1:9" ht="15.75" x14ac:dyDescent="0.2">
      <c r="B3" s="5" t="s">
        <v>1</v>
      </c>
      <c r="C3" s="6"/>
      <c r="D3" s="6"/>
      <c r="E3" s="6"/>
      <c r="F3" s="6"/>
    </row>
    <row r="4" spans="1:9" ht="15.75" x14ac:dyDescent="0.2">
      <c r="B4" s="5" t="str">
        <f>'Stmnt BK1 - TRBAA'!B4</f>
        <v>2027 - TRBAA Rate Filing</v>
      </c>
      <c r="C4" s="6"/>
      <c r="D4" s="6"/>
      <c r="E4" s="6"/>
      <c r="F4" s="6"/>
    </row>
    <row r="5" spans="1:9" ht="15.75" x14ac:dyDescent="0.2">
      <c r="B5" s="5" t="s">
        <v>501</v>
      </c>
      <c r="C5" s="6"/>
      <c r="D5" s="6"/>
      <c r="E5" s="6"/>
      <c r="F5" s="6"/>
    </row>
    <row r="6" spans="1:9" ht="15.75" x14ac:dyDescent="0.2">
      <c r="B6" s="5" t="s">
        <v>208</v>
      </c>
      <c r="C6" s="6"/>
      <c r="D6" s="6"/>
      <c r="E6" s="6"/>
      <c r="F6" s="6"/>
    </row>
    <row r="7" spans="1:9" ht="16.5" thickBot="1" x14ac:dyDescent="0.25">
      <c r="B7" s="5"/>
      <c r="C7" s="6"/>
      <c r="D7" s="6"/>
      <c r="E7" s="6"/>
      <c r="F7" s="6"/>
    </row>
    <row r="8" spans="1:9" ht="15.75" x14ac:dyDescent="0.25">
      <c r="A8" s="286"/>
      <c r="B8" s="583"/>
      <c r="C8" s="584" t="s">
        <v>3</v>
      </c>
      <c r="D8" s="585" t="s">
        <v>4</v>
      </c>
      <c r="E8" s="585" t="s">
        <v>183</v>
      </c>
      <c r="F8" s="586"/>
      <c r="G8" s="542"/>
    </row>
    <row r="9" spans="1:9" ht="15.75" x14ac:dyDescent="0.25">
      <c r="A9" s="545" t="s">
        <v>7</v>
      </c>
      <c r="B9" s="74"/>
      <c r="C9" s="579" t="s">
        <v>17</v>
      </c>
      <c r="D9" s="580" t="s">
        <v>17</v>
      </c>
      <c r="E9" s="580" t="s">
        <v>209</v>
      </c>
      <c r="F9" s="573"/>
      <c r="G9" s="546" t="s">
        <v>7</v>
      </c>
    </row>
    <row r="10" spans="1:9" ht="15.75" x14ac:dyDescent="0.25">
      <c r="A10" s="545" t="s">
        <v>10</v>
      </c>
      <c r="B10" s="75"/>
      <c r="C10" s="573" t="s">
        <v>210</v>
      </c>
      <c r="D10" s="581" t="s">
        <v>211</v>
      </c>
      <c r="E10" s="581" t="s">
        <v>212</v>
      </c>
      <c r="F10" s="573"/>
      <c r="G10" s="546" t="s">
        <v>10</v>
      </c>
    </row>
    <row r="11" spans="1:9" ht="15.75" x14ac:dyDescent="0.25">
      <c r="A11" s="589"/>
      <c r="B11" s="539" t="s">
        <v>163</v>
      </c>
      <c r="C11" s="574" t="s">
        <v>212</v>
      </c>
      <c r="D11" s="582" t="s">
        <v>212</v>
      </c>
      <c r="E11" s="582"/>
      <c r="F11" s="574" t="s">
        <v>213</v>
      </c>
      <c r="G11" s="590"/>
    </row>
    <row r="12" spans="1:9" ht="15.75" x14ac:dyDescent="0.25">
      <c r="A12" s="351"/>
      <c r="B12" s="8"/>
      <c r="C12" s="91"/>
      <c r="D12" s="17"/>
      <c r="E12" s="17"/>
      <c r="F12" s="60"/>
      <c r="G12" s="352"/>
    </row>
    <row r="13" spans="1:9" s="360" customFormat="1" ht="18.75" x14ac:dyDescent="0.2">
      <c r="A13" s="355">
        <v>1</v>
      </c>
      <c r="B13" s="480" t="s">
        <v>502</v>
      </c>
      <c r="C13" s="446">
        <f>'Stmnt BK2 - TRBAA'!C13</f>
        <v>590788908.51250827</v>
      </c>
      <c r="D13" s="377">
        <f>'Stmnt BK2 - TRBAA'!D13</f>
        <v>754739449.99175179</v>
      </c>
      <c r="E13" s="377">
        <f>C13+D13</f>
        <v>1345528358.5042601</v>
      </c>
      <c r="F13" s="378" t="s">
        <v>190</v>
      </c>
      <c r="G13" s="359">
        <v>1</v>
      </c>
      <c r="I13" s="944"/>
    </row>
    <row r="14" spans="1:9" ht="15.75" x14ac:dyDescent="0.25">
      <c r="A14" s="262">
        <f>A13+1</f>
        <v>2</v>
      </c>
      <c r="B14" s="11"/>
      <c r="C14" s="442"/>
      <c r="D14" s="16"/>
      <c r="E14" s="16"/>
      <c r="F14" s="71"/>
      <c r="G14" s="263">
        <f>G13+1</f>
        <v>2</v>
      </c>
    </row>
    <row r="15" spans="1:9" ht="18.75" x14ac:dyDescent="0.25">
      <c r="A15" s="262">
        <f t="shared" ref="A15:A23" si="0">A14+1</f>
        <v>3</v>
      </c>
      <c r="B15" s="11" t="s">
        <v>503</v>
      </c>
      <c r="C15" s="238">
        <f>'Stmnt BK2 - TRBAA'!C33</f>
        <v>-49595715.060972676</v>
      </c>
      <c r="D15" s="31">
        <f>'Stmnt BK2 - TRBAA'!D33</f>
        <v>-6807727.9535711147</v>
      </c>
      <c r="E15" s="31">
        <f>C15+D15</f>
        <v>-56403443.014543787</v>
      </c>
      <c r="F15" s="194" t="s">
        <v>214</v>
      </c>
      <c r="G15" s="263">
        <f t="shared" ref="G15:G23" si="1">G14+1</f>
        <v>3</v>
      </c>
    </row>
    <row r="16" spans="1:9" ht="15.75" x14ac:dyDescent="0.25">
      <c r="A16" s="262">
        <f t="shared" si="0"/>
        <v>4</v>
      </c>
      <c r="B16" s="11"/>
      <c r="C16" s="238"/>
      <c r="D16" s="31"/>
      <c r="E16" s="31"/>
      <c r="F16" s="71"/>
      <c r="G16" s="263">
        <f t="shared" si="1"/>
        <v>4</v>
      </c>
    </row>
    <row r="17" spans="1:7" ht="18.75" x14ac:dyDescent="0.25">
      <c r="A17" s="262">
        <f t="shared" si="0"/>
        <v>5</v>
      </c>
      <c r="B17" s="11" t="s">
        <v>215</v>
      </c>
      <c r="C17" s="445">
        <f>'Stmnt BK2 - TRBAA'!C35</f>
        <v>-4147664</v>
      </c>
      <c r="D17" s="51">
        <f>'Stmnt BK2 - TRBAA'!D35</f>
        <v>-5298688</v>
      </c>
      <c r="E17" s="51">
        <f>C17+D17</f>
        <v>-9446352</v>
      </c>
      <c r="F17" s="194" t="s">
        <v>216</v>
      </c>
      <c r="G17" s="263">
        <f t="shared" si="1"/>
        <v>5</v>
      </c>
    </row>
    <row r="18" spans="1:7" ht="15.75" x14ac:dyDescent="0.25">
      <c r="A18" s="262">
        <f t="shared" si="0"/>
        <v>6</v>
      </c>
      <c r="B18" s="17"/>
      <c r="C18" s="442"/>
      <c r="D18" s="16"/>
      <c r="E18" s="16"/>
      <c r="F18" s="86"/>
      <c r="G18" s="263">
        <f t="shared" si="1"/>
        <v>6</v>
      </c>
    </row>
    <row r="19" spans="1:7" ht="15.75" x14ac:dyDescent="0.25">
      <c r="A19" s="262">
        <f t="shared" si="0"/>
        <v>7</v>
      </c>
      <c r="B19" s="11" t="s">
        <v>504</v>
      </c>
      <c r="C19" s="239">
        <f>C13+C15+C17</f>
        <v>537045529.45153558</v>
      </c>
      <c r="D19" s="19">
        <f>D13+D15+D17</f>
        <v>742633034.03818071</v>
      </c>
      <c r="E19" s="19">
        <f>E13+E15+E17</f>
        <v>1279678563.4897163</v>
      </c>
      <c r="F19" s="70" t="s">
        <v>217</v>
      </c>
      <c r="G19" s="263">
        <f t="shared" si="1"/>
        <v>7</v>
      </c>
    </row>
    <row r="20" spans="1:7" ht="15.75" x14ac:dyDescent="0.25">
      <c r="A20" s="262">
        <f t="shared" si="0"/>
        <v>8</v>
      </c>
      <c r="B20" s="11"/>
      <c r="C20" s="239"/>
      <c r="D20" s="19"/>
      <c r="E20" s="19"/>
      <c r="F20" s="195"/>
      <c r="G20" s="263">
        <f t="shared" si="1"/>
        <v>8</v>
      </c>
    </row>
    <row r="21" spans="1:7" ht="15.75" x14ac:dyDescent="0.25">
      <c r="A21" s="262">
        <f t="shared" si="0"/>
        <v>9</v>
      </c>
      <c r="B21" s="11" t="s">
        <v>218</v>
      </c>
      <c r="C21" s="252">
        <f>'Stmnt BD-Forecast MWH@Transm.'!$F40</f>
        <v>18291753.584860813</v>
      </c>
      <c r="D21" s="38">
        <f>'Stmnt BD-Forecast MWH@Transm.'!$F40</f>
        <v>18291753.584860813</v>
      </c>
      <c r="E21" s="38">
        <f>'Stmnt BD-Forecast MWH@Transm.'!$F40</f>
        <v>18291753.584860813</v>
      </c>
      <c r="F21" s="157" t="s">
        <v>456</v>
      </c>
      <c r="G21" s="263">
        <f t="shared" si="1"/>
        <v>9</v>
      </c>
    </row>
    <row r="22" spans="1:7" ht="15.75" x14ac:dyDescent="0.25">
      <c r="A22" s="262">
        <f t="shared" si="0"/>
        <v>10</v>
      </c>
      <c r="B22" s="11"/>
      <c r="C22" s="444"/>
      <c r="D22" s="15"/>
      <c r="E22" s="15"/>
      <c r="F22" s="196"/>
      <c r="G22" s="263">
        <f t="shared" si="1"/>
        <v>10</v>
      </c>
    </row>
    <row r="23" spans="1:7" ht="16.5" thickBot="1" x14ac:dyDescent="0.3">
      <c r="A23" s="262">
        <f t="shared" si="0"/>
        <v>11</v>
      </c>
      <c r="B23" s="11" t="s">
        <v>219</v>
      </c>
      <c r="C23" s="447">
        <f>C19/C21</f>
        <v>29.359980548612999</v>
      </c>
      <c r="D23" s="35">
        <f>D19/D21</f>
        <v>40.599335137163756</v>
      </c>
      <c r="E23" s="35">
        <f>E19/E21</f>
        <v>69.959315685776758</v>
      </c>
      <c r="F23" s="70" t="s">
        <v>220</v>
      </c>
      <c r="G23" s="263">
        <f t="shared" si="1"/>
        <v>11</v>
      </c>
    </row>
    <row r="24" spans="1:7" ht="17.25" thickTop="1" thickBot="1" x14ac:dyDescent="0.3">
      <c r="A24" s="570"/>
      <c r="B24" s="81"/>
      <c r="C24" s="550"/>
      <c r="D24" s="81"/>
      <c r="E24" s="81"/>
      <c r="F24" s="550"/>
      <c r="G24" s="406"/>
    </row>
    <row r="25" spans="1:7" x14ac:dyDescent="0.2">
      <c r="B25" s="1"/>
    </row>
    <row r="26" spans="1:7" ht="15.75" x14ac:dyDescent="0.25">
      <c r="A26" s="22"/>
      <c r="B26" s="156" t="s">
        <v>221</v>
      </c>
      <c r="C26" s="22"/>
      <c r="D26" s="22"/>
      <c r="E26" s="22"/>
      <c r="F26" s="22"/>
      <c r="G26" s="22"/>
    </row>
    <row r="27" spans="1:7" ht="20.25" x14ac:dyDescent="0.35">
      <c r="A27" s="83" t="s">
        <v>119</v>
      </c>
      <c r="B27" s="50" t="s">
        <v>505</v>
      </c>
      <c r="C27" s="22"/>
      <c r="D27" s="22"/>
      <c r="E27" s="22"/>
      <c r="F27" s="22"/>
      <c r="G27" s="22"/>
    </row>
    <row r="28" spans="1:7" ht="18.75" x14ac:dyDescent="0.25">
      <c r="A28" s="83">
        <v>2</v>
      </c>
      <c r="B28" s="50" t="s">
        <v>506</v>
      </c>
    </row>
    <row r="29" spans="1:7" ht="18.75" x14ac:dyDescent="0.25">
      <c r="A29" s="83">
        <v>3</v>
      </c>
      <c r="B29" s="50" t="s">
        <v>520</v>
      </c>
      <c r="C29" s="22"/>
      <c r="D29" s="22"/>
      <c r="E29" s="22"/>
      <c r="F29" s="22"/>
      <c r="G29" s="22"/>
    </row>
    <row r="30" spans="1:7" ht="15.75" x14ac:dyDescent="0.25">
      <c r="B30" s="50"/>
      <c r="C30" s="22"/>
      <c r="D30" s="22"/>
      <c r="E30" s="22"/>
      <c r="F30" s="22"/>
      <c r="G30" s="22"/>
    </row>
    <row r="31" spans="1:7" ht="15.75" x14ac:dyDescent="0.25">
      <c r="B31" s="50"/>
    </row>
    <row r="32" spans="1:7" ht="15.75" x14ac:dyDescent="0.25">
      <c r="B32" s="50"/>
    </row>
  </sheetData>
  <phoneticPr fontId="0" type="noConversion"/>
  <printOptions horizontalCentered="1"/>
  <pageMargins left="0.25" right="0.25" top="0.5" bottom="0.5" header="0.25" footer="0.25"/>
  <pageSetup scale="76" orientation="landscape" r:id="rId1"/>
  <headerFooter scaleWithDoc="0" alignWithMargins="0">
    <oddFooter>&amp;L&amp;"Times New Roman,Regular"&amp;11&amp;F&amp;C&amp;"Times New Roman,Regular"&amp;11Page 1&amp;R&amp;"Times New Roman,Regular"&amp;11&amp;A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49"/>
  <sheetViews>
    <sheetView zoomScale="80" zoomScaleNormal="80" workbookViewId="0">
      <selection activeCell="G18" sqref="G18"/>
    </sheetView>
  </sheetViews>
  <sheetFormatPr defaultColWidth="9.42578125" defaultRowHeight="18" x14ac:dyDescent="0.25"/>
  <cols>
    <col min="1" max="1" width="5.5703125" style="180" customWidth="1"/>
    <col min="2" max="2" width="53.5703125" style="180" bestFit="1" customWidth="1"/>
    <col min="3" max="14" width="15.5703125" style="180" customWidth="1"/>
    <col min="15" max="15" width="18.42578125" style="180" bestFit="1" customWidth="1"/>
    <col min="16" max="16" width="5.5703125" style="180" customWidth="1"/>
    <col min="17" max="17" width="3.7109375" style="180" bestFit="1" customWidth="1"/>
    <col min="18" max="18" width="5.5703125" style="180" bestFit="1" customWidth="1"/>
    <col min="19" max="16384" width="9.42578125" style="180"/>
  </cols>
  <sheetData>
    <row r="1" spans="1:17" ht="18.75" thickBot="1" x14ac:dyDescent="0.3"/>
    <row r="2" spans="1:17" ht="25.5" x14ac:dyDescent="0.35">
      <c r="A2" s="591" t="s">
        <v>7</v>
      </c>
      <c r="B2" s="973" t="s">
        <v>222</v>
      </c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5"/>
      <c r="P2" s="591" t="s">
        <v>7</v>
      </c>
    </row>
    <row r="3" spans="1:17" ht="26.25" thickBot="1" x14ac:dyDescent="0.4">
      <c r="A3" s="181" t="s">
        <v>10</v>
      </c>
      <c r="B3" s="976" t="s">
        <v>468</v>
      </c>
      <c r="C3" s="977"/>
      <c r="D3" s="977"/>
      <c r="E3" s="977"/>
      <c r="F3" s="977"/>
      <c r="G3" s="977"/>
      <c r="H3" s="977"/>
      <c r="I3" s="977"/>
      <c r="J3" s="977"/>
      <c r="K3" s="977"/>
      <c r="L3" s="977"/>
      <c r="M3" s="977"/>
      <c r="N3" s="977"/>
      <c r="O3" s="978"/>
      <c r="P3" s="181" t="s">
        <v>10</v>
      </c>
    </row>
    <row r="4" spans="1:17" x14ac:dyDescent="0.25">
      <c r="A4" s="120">
        <v>1</v>
      </c>
      <c r="B4" s="182" t="s">
        <v>223</v>
      </c>
      <c r="C4" s="813"/>
      <c r="D4" s="183"/>
      <c r="E4" s="183"/>
      <c r="F4" s="596"/>
      <c r="G4" s="183"/>
      <c r="H4" s="183"/>
      <c r="I4" s="183"/>
      <c r="J4" s="183"/>
      <c r="K4" s="183"/>
      <c r="L4" s="183"/>
      <c r="M4" s="183"/>
      <c r="N4" s="183"/>
      <c r="O4" s="122"/>
      <c r="P4" s="120">
        <v>1</v>
      </c>
    </row>
    <row r="5" spans="1:17" x14ac:dyDescent="0.25">
      <c r="A5" s="120">
        <f>A4+1</f>
        <v>2</v>
      </c>
      <c r="B5" s="184" t="s">
        <v>224</v>
      </c>
      <c r="C5" s="216">
        <v>45931</v>
      </c>
      <c r="D5" s="217">
        <v>45962</v>
      </c>
      <c r="E5" s="217">
        <v>45992</v>
      </c>
      <c r="F5" s="217">
        <v>46023</v>
      </c>
      <c r="G5" s="217">
        <v>46054</v>
      </c>
      <c r="H5" s="217">
        <v>46082</v>
      </c>
      <c r="I5" s="217">
        <v>46113</v>
      </c>
      <c r="J5" s="217">
        <v>46143</v>
      </c>
      <c r="K5" s="217">
        <v>46174</v>
      </c>
      <c r="L5" s="217">
        <v>46204</v>
      </c>
      <c r="M5" s="217">
        <v>46235</v>
      </c>
      <c r="N5" s="217">
        <v>46266</v>
      </c>
      <c r="O5" s="185" t="s">
        <v>17</v>
      </c>
      <c r="P5" s="120">
        <f>P4+1</f>
        <v>2</v>
      </c>
    </row>
    <row r="6" spans="1:17" x14ac:dyDescent="0.25">
      <c r="A6" s="120">
        <f>A5+1</f>
        <v>3</v>
      </c>
      <c r="B6" s="149" t="s">
        <v>225</v>
      </c>
      <c r="C6" s="117">
        <v>530908.99199999997</v>
      </c>
      <c r="D6" s="93">
        <v>340147.859</v>
      </c>
      <c r="E6" s="93">
        <v>509686.78399999999</v>
      </c>
      <c r="F6" s="197">
        <v>548550.04799999995</v>
      </c>
      <c r="G6" s="197">
        <v>392651.859</v>
      </c>
      <c r="H6" s="197">
        <v>416742.815</v>
      </c>
      <c r="I6" s="197">
        <v>370330.48100000003</v>
      </c>
      <c r="J6" s="197">
        <v>291039.90100000001</v>
      </c>
      <c r="K6" s="197">
        <v>354665.114</v>
      </c>
      <c r="L6" s="197">
        <v>466528.09499999997</v>
      </c>
      <c r="M6" s="197">
        <v>669143.02399999998</v>
      </c>
      <c r="N6" s="197">
        <v>800093.99100000004</v>
      </c>
      <c r="O6" s="199">
        <f>SUM(C6:N6)</f>
        <v>5690488.9630000005</v>
      </c>
      <c r="P6" s="120">
        <f>P5+1</f>
        <v>3</v>
      </c>
    </row>
    <row r="7" spans="1:17" x14ac:dyDescent="0.25">
      <c r="A7" s="120">
        <f t="shared" ref="A7:A23" si="0">A6+1</f>
        <v>4</v>
      </c>
      <c r="B7" s="149" t="s">
        <v>226</v>
      </c>
      <c r="C7" s="117">
        <v>205524.33600000001</v>
      </c>
      <c r="D7" s="93">
        <v>149585.005</v>
      </c>
      <c r="E7" s="93">
        <v>191969.848</v>
      </c>
      <c r="F7" s="197">
        <v>185866.80300000001</v>
      </c>
      <c r="G7" s="197">
        <v>155309.43</v>
      </c>
      <c r="H7" s="197">
        <v>142410.16099999999</v>
      </c>
      <c r="I7" s="197">
        <v>136961.43</v>
      </c>
      <c r="J7" s="197">
        <v>125455.511</v>
      </c>
      <c r="K7" s="197">
        <v>142413.73199999999</v>
      </c>
      <c r="L7" s="197">
        <v>155517.46299999999</v>
      </c>
      <c r="M7" s="197">
        <v>163070.753</v>
      </c>
      <c r="N7" s="197">
        <v>173515.08499999999</v>
      </c>
      <c r="O7" s="199">
        <f>SUM(C7:N7)</f>
        <v>1927599.557</v>
      </c>
      <c r="P7" s="120">
        <f t="shared" ref="P7:P23" si="1">P6+1</f>
        <v>4</v>
      </c>
    </row>
    <row r="8" spans="1:17" x14ac:dyDescent="0.25">
      <c r="A8" s="120">
        <f t="shared" si="0"/>
        <v>5</v>
      </c>
      <c r="B8" s="149" t="s">
        <v>227</v>
      </c>
      <c r="C8" s="895">
        <v>861364.95700000005</v>
      </c>
      <c r="D8" s="896">
        <v>721419.92200000002</v>
      </c>
      <c r="E8" s="896">
        <v>735271.52400000009</v>
      </c>
      <c r="F8" s="896">
        <v>723852.15599999996</v>
      </c>
      <c r="G8" s="896">
        <v>557131.83400000003</v>
      </c>
      <c r="H8" s="896">
        <v>774068.05299999996</v>
      </c>
      <c r="I8" s="896">
        <v>823131.09699999995</v>
      </c>
      <c r="J8" s="896">
        <v>599560.26800000004</v>
      </c>
      <c r="K8" s="896">
        <v>922239.53500000003</v>
      </c>
      <c r="L8" s="896">
        <v>856002.44700000004</v>
      </c>
      <c r="M8" s="896">
        <v>867220.20900000003</v>
      </c>
      <c r="N8" s="896">
        <v>941691.43399999989</v>
      </c>
      <c r="O8" s="199">
        <f>SUM(C8:N8)</f>
        <v>9382953.4360000007</v>
      </c>
      <c r="P8" s="120">
        <f t="shared" si="1"/>
        <v>5</v>
      </c>
    </row>
    <row r="9" spans="1:17" x14ac:dyDescent="0.25">
      <c r="A9" s="120">
        <f t="shared" si="0"/>
        <v>6</v>
      </c>
      <c r="B9" s="202" t="s">
        <v>453</v>
      </c>
      <c r="C9" s="895">
        <v>830.1</v>
      </c>
      <c r="D9" s="896">
        <v>591.88800000000003</v>
      </c>
      <c r="E9" s="896">
        <v>349.65600000000001</v>
      </c>
      <c r="F9" s="896">
        <v>505.11599999999999</v>
      </c>
      <c r="G9" s="896">
        <v>394.05599999999998</v>
      </c>
      <c r="H9" s="896">
        <v>599.84400000000005</v>
      </c>
      <c r="I9" s="896">
        <v>1194.672</v>
      </c>
      <c r="J9" s="896">
        <v>395.56799999999998</v>
      </c>
      <c r="K9" s="896">
        <v>0</v>
      </c>
      <c r="L9" s="896">
        <v>0</v>
      </c>
      <c r="M9" s="896">
        <v>2.4E-2</v>
      </c>
      <c r="N9" s="896">
        <v>577.04399999999998</v>
      </c>
      <c r="O9" s="199">
        <f t="shared" ref="O9:O10" si="2">SUM(C9:N9)</f>
        <v>5437.9680000000008</v>
      </c>
      <c r="P9" s="120">
        <f t="shared" si="1"/>
        <v>6</v>
      </c>
    </row>
    <row r="10" spans="1:17" x14ac:dyDescent="0.25">
      <c r="A10" s="120">
        <f t="shared" si="0"/>
        <v>7</v>
      </c>
      <c r="B10" s="202" t="s">
        <v>228</v>
      </c>
      <c r="C10" s="895">
        <v>16743.767999999996</v>
      </c>
      <c r="D10" s="896">
        <v>13044.754999999999</v>
      </c>
      <c r="E10" s="896">
        <v>12830.287</v>
      </c>
      <c r="F10" s="896">
        <v>11025.684999999999</v>
      </c>
      <c r="G10" s="896">
        <v>10591.929</v>
      </c>
      <c r="H10" s="896">
        <v>11659.721000000001</v>
      </c>
      <c r="I10" s="896">
        <v>13838.644</v>
      </c>
      <c r="J10" s="896">
        <v>14629.715</v>
      </c>
      <c r="K10" s="896">
        <v>17023.338999999996</v>
      </c>
      <c r="L10" s="896">
        <v>21277.191999999999</v>
      </c>
      <c r="M10" s="896">
        <v>19915.298000000003</v>
      </c>
      <c r="N10" s="896">
        <v>20711.791999999998</v>
      </c>
      <c r="O10" s="199">
        <f t="shared" si="2"/>
        <v>183292.125</v>
      </c>
      <c r="P10" s="120">
        <f t="shared" si="1"/>
        <v>7</v>
      </c>
    </row>
    <row r="11" spans="1:17" x14ac:dyDescent="0.25">
      <c r="A11" s="120">
        <f t="shared" si="0"/>
        <v>8</v>
      </c>
      <c r="B11" s="202" t="s">
        <v>99</v>
      </c>
      <c r="C11" s="895">
        <v>16722.309000000001</v>
      </c>
      <c r="D11" s="896">
        <v>12225.74</v>
      </c>
      <c r="E11" s="896">
        <v>19950.924999999999</v>
      </c>
      <c r="F11" s="896">
        <v>13034.206</v>
      </c>
      <c r="G11" s="896">
        <v>14468.949000000001</v>
      </c>
      <c r="H11" s="896">
        <v>13031.965</v>
      </c>
      <c r="I11" s="896">
        <v>21165.631000000001</v>
      </c>
      <c r="J11" s="896">
        <v>13197.715</v>
      </c>
      <c r="K11" s="896">
        <v>15928.342000000001</v>
      </c>
      <c r="L11" s="896">
        <v>21115.069</v>
      </c>
      <c r="M11" s="896">
        <v>20518.665000000001</v>
      </c>
      <c r="N11" s="896">
        <v>19035.486000000001</v>
      </c>
      <c r="O11" s="199">
        <f t="shared" ref="O11:O13" si="3">SUM(C11:N11)</f>
        <v>200395.00200000001</v>
      </c>
      <c r="P11" s="120">
        <f t="shared" si="1"/>
        <v>8</v>
      </c>
    </row>
    <row r="12" spans="1:17" x14ac:dyDescent="0.25">
      <c r="A12" s="120">
        <f t="shared" si="0"/>
        <v>9</v>
      </c>
      <c r="B12" s="149" t="s">
        <v>229</v>
      </c>
      <c r="C12" s="895">
        <v>6206.232</v>
      </c>
      <c r="D12" s="896">
        <v>3072.9349999999999</v>
      </c>
      <c r="E12" s="896">
        <v>7320.7060000000001</v>
      </c>
      <c r="F12" s="896">
        <v>5003.9570000000003</v>
      </c>
      <c r="G12" s="896">
        <v>4861.4809999999998</v>
      </c>
      <c r="H12" s="896">
        <v>5016.5429999999997</v>
      </c>
      <c r="I12" s="896">
        <v>5024.74</v>
      </c>
      <c r="J12" s="896">
        <v>15536.591</v>
      </c>
      <c r="K12" s="896">
        <v>5869.0010000000002</v>
      </c>
      <c r="L12" s="896">
        <v>6408.1149999999998</v>
      </c>
      <c r="M12" s="896">
        <v>-20831.796999999999</v>
      </c>
      <c r="N12" s="896">
        <v>30722.082999999999</v>
      </c>
      <c r="O12" s="199">
        <f t="shared" si="3"/>
        <v>74210.587</v>
      </c>
      <c r="P12" s="120">
        <f t="shared" si="1"/>
        <v>9</v>
      </c>
    </row>
    <row r="13" spans="1:17" x14ac:dyDescent="0.25">
      <c r="A13" s="120">
        <f t="shared" si="0"/>
        <v>10</v>
      </c>
      <c r="B13" s="203" t="s">
        <v>6</v>
      </c>
      <c r="C13" s="940">
        <v>0</v>
      </c>
      <c r="D13" s="941">
        <v>0</v>
      </c>
      <c r="E13" s="896">
        <v>0</v>
      </c>
      <c r="F13" s="942">
        <v>0</v>
      </c>
      <c r="G13" s="942">
        <v>0</v>
      </c>
      <c r="H13" s="942">
        <v>0</v>
      </c>
      <c r="I13" s="942">
        <v>0</v>
      </c>
      <c r="J13" s="942">
        <v>0</v>
      </c>
      <c r="K13" s="942">
        <v>0</v>
      </c>
      <c r="L13" s="942">
        <v>0</v>
      </c>
      <c r="M13" s="942">
        <v>0</v>
      </c>
      <c r="N13" s="942">
        <v>0</v>
      </c>
      <c r="O13" s="964">
        <f t="shared" si="3"/>
        <v>0</v>
      </c>
      <c r="P13" s="120">
        <f t="shared" si="1"/>
        <v>10</v>
      </c>
      <c r="Q13" s="759"/>
    </row>
    <row r="14" spans="1:17" ht="18.75" thickBot="1" x14ac:dyDescent="0.3">
      <c r="A14" s="120">
        <f t="shared" si="0"/>
        <v>11</v>
      </c>
      <c r="B14" s="204" t="s">
        <v>230</v>
      </c>
      <c r="C14" s="205">
        <f>SUM(C6:C13)</f>
        <v>1638300.6940000001</v>
      </c>
      <c r="D14" s="210">
        <f t="shared" ref="D14:N14" si="4">SUM(D6:D13)</f>
        <v>1240088.1040000001</v>
      </c>
      <c r="E14" s="206">
        <f t="shared" si="4"/>
        <v>1477379.73</v>
      </c>
      <c r="F14" s="206">
        <f t="shared" si="4"/>
        <v>1487837.9709999999</v>
      </c>
      <c r="G14" s="206">
        <f t="shared" si="4"/>
        <v>1135409.5380000002</v>
      </c>
      <c r="H14" s="206">
        <f t="shared" si="4"/>
        <v>1363529.1020000002</v>
      </c>
      <c r="I14" s="206">
        <f t="shared" si="4"/>
        <v>1371646.6950000001</v>
      </c>
      <c r="J14" s="206">
        <f t="shared" si="4"/>
        <v>1059815.2689999999</v>
      </c>
      <c r="K14" s="206">
        <f t="shared" si="4"/>
        <v>1458139.0629999998</v>
      </c>
      <c r="L14" s="206">
        <f t="shared" si="4"/>
        <v>1526848.3809999998</v>
      </c>
      <c r="M14" s="914">
        <f t="shared" si="4"/>
        <v>1719036.176</v>
      </c>
      <c r="N14" s="914">
        <f t="shared" si="4"/>
        <v>1986346.9149999998</v>
      </c>
      <c r="O14" s="207">
        <f>SUM(O6:O13)</f>
        <v>17464377.638</v>
      </c>
      <c r="P14" s="120">
        <f t="shared" si="1"/>
        <v>11</v>
      </c>
      <c r="Q14" s="759"/>
    </row>
    <row r="15" spans="1:17" ht="18.75" thickTop="1" x14ac:dyDescent="0.25">
      <c r="A15" s="120">
        <f t="shared" si="0"/>
        <v>12</v>
      </c>
      <c r="B15" s="208"/>
      <c r="C15" s="814"/>
      <c r="D15" s="201"/>
      <c r="E15" s="201"/>
      <c r="F15" s="201"/>
      <c r="G15" s="201"/>
      <c r="H15" s="201"/>
      <c r="I15" s="201"/>
      <c r="J15" s="201"/>
      <c r="K15" s="201"/>
      <c r="L15" s="201"/>
      <c r="M15" s="913"/>
      <c r="N15" s="913"/>
      <c r="O15" s="199"/>
      <c r="P15" s="120">
        <f t="shared" si="1"/>
        <v>12</v>
      </c>
    </row>
    <row r="16" spans="1:17" ht="18.75" thickBot="1" x14ac:dyDescent="0.3">
      <c r="A16" s="120">
        <f t="shared" si="0"/>
        <v>13</v>
      </c>
      <c r="B16" s="204" t="s">
        <v>231</v>
      </c>
      <c r="C16" s="209">
        <f>SUM(C6:C12)</f>
        <v>1638300.6940000001</v>
      </c>
      <c r="D16" s="210">
        <f>SUM(D6:D12)</f>
        <v>1240088.1040000001</v>
      </c>
      <c r="E16" s="210">
        <f t="shared" ref="E16:O16" si="5">SUM(E6:E12)</f>
        <v>1477379.73</v>
      </c>
      <c r="F16" s="210">
        <f t="shared" si="5"/>
        <v>1487837.9709999999</v>
      </c>
      <c r="G16" s="210">
        <f t="shared" si="5"/>
        <v>1135409.5380000002</v>
      </c>
      <c r="H16" s="210">
        <f t="shared" si="5"/>
        <v>1363529.1020000002</v>
      </c>
      <c r="I16" s="210">
        <f t="shared" si="5"/>
        <v>1371646.6950000001</v>
      </c>
      <c r="J16" s="210">
        <f t="shared" si="5"/>
        <v>1059815.2689999999</v>
      </c>
      <c r="K16" s="210">
        <f t="shared" si="5"/>
        <v>1458139.0629999998</v>
      </c>
      <c r="L16" s="210">
        <f t="shared" si="5"/>
        <v>1526848.3809999998</v>
      </c>
      <c r="M16" s="915">
        <f t="shared" si="5"/>
        <v>1719036.176</v>
      </c>
      <c r="N16" s="915">
        <f t="shared" si="5"/>
        <v>1986346.9149999998</v>
      </c>
      <c r="O16" s="211">
        <f t="shared" si="5"/>
        <v>17464377.638</v>
      </c>
      <c r="P16" s="120">
        <f t="shared" si="1"/>
        <v>13</v>
      </c>
      <c r="Q16" s="759"/>
    </row>
    <row r="17" spans="1:16" ht="19.5" thickTop="1" thickBot="1" x14ac:dyDescent="0.3">
      <c r="A17" s="120">
        <f t="shared" si="0"/>
        <v>14</v>
      </c>
      <c r="B17" s="212"/>
      <c r="C17" s="815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213"/>
      <c r="O17" s="214"/>
      <c r="P17" s="120">
        <f t="shared" si="1"/>
        <v>14</v>
      </c>
    </row>
    <row r="18" spans="1:16" x14ac:dyDescent="0.25">
      <c r="A18" s="120">
        <f t="shared" si="0"/>
        <v>15</v>
      </c>
      <c r="B18" s="215" t="s">
        <v>232</v>
      </c>
      <c r="C18" s="216">
        <f>C5</f>
        <v>45931</v>
      </c>
      <c r="D18" s="217">
        <f t="shared" ref="D18:O18" si="6">D5</f>
        <v>45962</v>
      </c>
      <c r="E18" s="217">
        <f t="shared" si="6"/>
        <v>45992</v>
      </c>
      <c r="F18" s="217">
        <f t="shared" si="6"/>
        <v>46023</v>
      </c>
      <c r="G18" s="217">
        <f t="shared" si="6"/>
        <v>46054</v>
      </c>
      <c r="H18" s="217">
        <f t="shared" si="6"/>
        <v>46082</v>
      </c>
      <c r="I18" s="217">
        <f t="shared" si="6"/>
        <v>46113</v>
      </c>
      <c r="J18" s="217">
        <f t="shared" si="6"/>
        <v>46143</v>
      </c>
      <c r="K18" s="217">
        <f t="shared" si="6"/>
        <v>46174</v>
      </c>
      <c r="L18" s="217">
        <f t="shared" si="6"/>
        <v>46204</v>
      </c>
      <c r="M18" s="217">
        <f t="shared" si="6"/>
        <v>46235</v>
      </c>
      <c r="N18" s="217">
        <f t="shared" si="6"/>
        <v>46266</v>
      </c>
      <c r="O18" s="185" t="str">
        <f t="shared" si="6"/>
        <v>Total</v>
      </c>
      <c r="P18" s="120">
        <f t="shared" si="1"/>
        <v>15</v>
      </c>
    </row>
    <row r="19" spans="1:16" x14ac:dyDescent="0.25">
      <c r="A19" s="120">
        <f t="shared" si="0"/>
        <v>16</v>
      </c>
      <c r="B19" s="218" t="s">
        <v>233</v>
      </c>
      <c r="C19" s="219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23"/>
      <c r="P19" s="120">
        <f t="shared" si="1"/>
        <v>16</v>
      </c>
    </row>
    <row r="20" spans="1:16" x14ac:dyDescent="0.25">
      <c r="A20" s="120">
        <f t="shared" si="0"/>
        <v>17</v>
      </c>
      <c r="B20" s="125" t="s">
        <v>234</v>
      </c>
      <c r="C20" s="117">
        <v>0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846">
        <f>SUM(C20:N20)</f>
        <v>0</v>
      </c>
      <c r="P20" s="120">
        <f t="shared" si="1"/>
        <v>17</v>
      </c>
    </row>
    <row r="21" spans="1:16" x14ac:dyDescent="0.25">
      <c r="A21" s="120">
        <f t="shared" si="0"/>
        <v>18</v>
      </c>
      <c r="B21" s="125" t="s">
        <v>235</v>
      </c>
      <c r="C21" s="117">
        <f>C8</f>
        <v>861364.95700000005</v>
      </c>
      <c r="D21" s="93">
        <f t="shared" ref="D21:N21" si="7">D8</f>
        <v>721419.92200000002</v>
      </c>
      <c r="E21" s="93">
        <f t="shared" si="7"/>
        <v>735271.52400000009</v>
      </c>
      <c r="F21" s="93">
        <f t="shared" si="7"/>
        <v>723852.15599999996</v>
      </c>
      <c r="G21" s="93">
        <f t="shared" si="7"/>
        <v>557131.83400000003</v>
      </c>
      <c r="H21" s="93">
        <f t="shared" si="7"/>
        <v>774068.05299999996</v>
      </c>
      <c r="I21" s="93">
        <f t="shared" si="7"/>
        <v>823131.09699999995</v>
      </c>
      <c r="J21" s="93">
        <f t="shared" si="7"/>
        <v>599560.26800000004</v>
      </c>
      <c r="K21" s="93">
        <f t="shared" si="7"/>
        <v>922239.53500000003</v>
      </c>
      <c r="L21" s="93">
        <f t="shared" si="7"/>
        <v>856002.44700000004</v>
      </c>
      <c r="M21" s="93">
        <f t="shared" si="7"/>
        <v>867220.20900000003</v>
      </c>
      <c r="N21" s="93">
        <f t="shared" si="7"/>
        <v>941691.43399999989</v>
      </c>
      <c r="O21" s="199">
        <f>SUM(C21:N21)</f>
        <v>9382953.4360000007</v>
      </c>
      <c r="P21" s="120">
        <f t="shared" si="1"/>
        <v>18</v>
      </c>
    </row>
    <row r="22" spans="1:16" x14ac:dyDescent="0.25">
      <c r="A22" s="120">
        <f t="shared" si="0"/>
        <v>19</v>
      </c>
      <c r="B22" s="125" t="s">
        <v>236</v>
      </c>
      <c r="C22" s="117">
        <v>0</v>
      </c>
      <c r="D22" s="481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10">
        <f>SUM(C22:N22)</f>
        <v>0</v>
      </c>
      <c r="P22" s="120">
        <f t="shared" si="1"/>
        <v>19</v>
      </c>
    </row>
    <row r="23" spans="1:16" ht="18.75" thickBot="1" x14ac:dyDescent="0.3">
      <c r="A23" s="120">
        <f t="shared" si="0"/>
        <v>20</v>
      </c>
      <c r="B23" s="120" t="s">
        <v>17</v>
      </c>
      <c r="C23" s="221">
        <f>SUM(C20:C22)</f>
        <v>861364.95700000005</v>
      </c>
      <c r="D23" s="438">
        <f t="shared" ref="D23:O23" si="8">SUM(D20:D22)</f>
        <v>721419.92200000002</v>
      </c>
      <c r="E23" s="222">
        <f t="shared" si="8"/>
        <v>735271.52400000009</v>
      </c>
      <c r="F23" s="222">
        <f t="shared" si="8"/>
        <v>723852.15599999996</v>
      </c>
      <c r="G23" s="222">
        <f t="shared" si="8"/>
        <v>557131.83400000003</v>
      </c>
      <c r="H23" s="222">
        <f t="shared" si="8"/>
        <v>774068.05299999996</v>
      </c>
      <c r="I23" s="222">
        <f t="shared" si="8"/>
        <v>823131.09699999995</v>
      </c>
      <c r="J23" s="222">
        <f t="shared" si="8"/>
        <v>599560.26800000004</v>
      </c>
      <c r="K23" s="222">
        <f t="shared" si="8"/>
        <v>922239.53500000003</v>
      </c>
      <c r="L23" s="222">
        <f t="shared" si="8"/>
        <v>856002.44700000004</v>
      </c>
      <c r="M23" s="916">
        <f t="shared" si="8"/>
        <v>867220.20900000003</v>
      </c>
      <c r="N23" s="916">
        <f t="shared" si="8"/>
        <v>941691.43399999989</v>
      </c>
      <c r="O23" s="223">
        <f t="shared" si="8"/>
        <v>9382953.4360000007</v>
      </c>
      <c r="P23" s="120">
        <f t="shared" si="1"/>
        <v>20</v>
      </c>
    </row>
    <row r="24" spans="1:16" ht="19.5" thickTop="1" thickBot="1" x14ac:dyDescent="0.3">
      <c r="A24" s="121">
        <f>A23+1</f>
        <v>21</v>
      </c>
      <c r="B24" s="126"/>
      <c r="C24" s="212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124"/>
      <c r="P24" s="121">
        <f>P23+1</f>
        <v>21</v>
      </c>
    </row>
    <row r="26" spans="1:16" ht="18.75" thickBot="1" x14ac:dyDescent="0.3"/>
    <row r="27" spans="1:16" x14ac:dyDescent="0.25">
      <c r="A27" s="150" t="s">
        <v>7</v>
      </c>
      <c r="B27" s="979" t="s">
        <v>237</v>
      </c>
      <c r="C27" s="980"/>
      <c r="D27" s="980"/>
      <c r="E27" s="980"/>
      <c r="F27" s="980"/>
      <c r="G27" s="980"/>
      <c r="H27" s="980"/>
      <c r="I27" s="980"/>
      <c r="J27" s="980"/>
      <c r="K27" s="980"/>
      <c r="L27" s="980"/>
      <c r="M27" s="980"/>
      <c r="N27" s="980"/>
      <c r="O27" s="981"/>
      <c r="P27" s="150" t="s">
        <v>7</v>
      </c>
    </row>
    <row r="28" spans="1:16" ht="18.75" thickBot="1" x14ac:dyDescent="0.3">
      <c r="A28" s="121" t="s">
        <v>10</v>
      </c>
      <c r="B28" s="982" t="str">
        <f>B3</f>
        <v>Recorded Billing Determinants for the 12-Month Period: October 2025 - September 2026</v>
      </c>
      <c r="C28" s="983"/>
      <c r="D28" s="983"/>
      <c r="E28" s="983"/>
      <c r="F28" s="983"/>
      <c r="G28" s="983"/>
      <c r="H28" s="983"/>
      <c r="I28" s="983"/>
      <c r="J28" s="983"/>
      <c r="K28" s="983"/>
      <c r="L28" s="983"/>
      <c r="M28" s="983"/>
      <c r="N28" s="983"/>
      <c r="O28" s="984"/>
      <c r="P28" s="121" t="s">
        <v>10</v>
      </c>
    </row>
    <row r="29" spans="1:16" x14ac:dyDescent="0.25">
      <c r="A29" s="120">
        <f>A24+1</f>
        <v>22</v>
      </c>
      <c r="B29" s="182" t="s">
        <v>223</v>
      </c>
      <c r="C29" s="224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22"/>
      <c r="P29" s="120">
        <f>P24+1</f>
        <v>22</v>
      </c>
    </row>
    <row r="30" spans="1:16" x14ac:dyDescent="0.25">
      <c r="A30" s="120">
        <f>A29+1</f>
        <v>23</v>
      </c>
      <c r="B30" s="184" t="s">
        <v>238</v>
      </c>
      <c r="C30" s="216">
        <f t="shared" ref="C30:N30" si="9">C5</f>
        <v>45931</v>
      </c>
      <c r="D30" s="217">
        <f t="shared" si="9"/>
        <v>45962</v>
      </c>
      <c r="E30" s="217">
        <f t="shared" si="9"/>
        <v>45992</v>
      </c>
      <c r="F30" s="217">
        <f t="shared" si="9"/>
        <v>46023</v>
      </c>
      <c r="G30" s="217">
        <f t="shared" si="9"/>
        <v>46054</v>
      </c>
      <c r="H30" s="217">
        <f t="shared" si="9"/>
        <v>46082</v>
      </c>
      <c r="I30" s="217">
        <f t="shared" si="9"/>
        <v>46113</v>
      </c>
      <c r="J30" s="217">
        <f t="shared" si="9"/>
        <v>46143</v>
      </c>
      <c r="K30" s="217">
        <f t="shared" si="9"/>
        <v>46174</v>
      </c>
      <c r="L30" s="217">
        <f t="shared" si="9"/>
        <v>46204</v>
      </c>
      <c r="M30" s="217">
        <f t="shared" si="9"/>
        <v>46235</v>
      </c>
      <c r="N30" s="217">
        <f t="shared" si="9"/>
        <v>46266</v>
      </c>
      <c r="O30" s="185" t="s">
        <v>17</v>
      </c>
      <c r="P30" s="120">
        <f>P29+1</f>
        <v>23</v>
      </c>
    </row>
    <row r="31" spans="1:16" x14ac:dyDescent="0.25">
      <c r="A31" s="120">
        <f>A30+1</f>
        <v>24</v>
      </c>
      <c r="B31" s="149" t="s">
        <v>225</v>
      </c>
      <c r="C31" s="117">
        <f t="shared" ref="C31:N31" si="10">C6*1000</f>
        <v>530908991.99999994</v>
      </c>
      <c r="D31" s="197">
        <f t="shared" si="10"/>
        <v>340147859</v>
      </c>
      <c r="E31" s="197">
        <f t="shared" si="10"/>
        <v>509686784</v>
      </c>
      <c r="F31" s="197">
        <f t="shared" si="10"/>
        <v>548550048</v>
      </c>
      <c r="G31" s="197">
        <f t="shared" si="10"/>
        <v>392651859</v>
      </c>
      <c r="H31" s="197">
        <f t="shared" si="10"/>
        <v>416742815</v>
      </c>
      <c r="I31" s="197">
        <f t="shared" si="10"/>
        <v>370330481</v>
      </c>
      <c r="J31" s="197">
        <f t="shared" si="10"/>
        <v>291039901</v>
      </c>
      <c r="K31" s="197">
        <f t="shared" si="10"/>
        <v>354665114</v>
      </c>
      <c r="L31" s="197">
        <f t="shared" si="10"/>
        <v>466528095</v>
      </c>
      <c r="M31" s="197">
        <f t="shared" si="10"/>
        <v>669143024</v>
      </c>
      <c r="N31" s="197">
        <f t="shared" si="10"/>
        <v>800093991</v>
      </c>
      <c r="O31" s="846">
        <f>SUM(C31:N31)</f>
        <v>5690488963</v>
      </c>
      <c r="P31" s="120">
        <f>P30+1</f>
        <v>24</v>
      </c>
    </row>
    <row r="32" spans="1:16" x14ac:dyDescent="0.25">
      <c r="A32" s="120">
        <f t="shared" ref="A32:A48" si="11">A31+1</f>
        <v>25</v>
      </c>
      <c r="B32" s="149" t="s">
        <v>226</v>
      </c>
      <c r="C32" s="117">
        <f t="shared" ref="C32:N32" si="12">C7*1000</f>
        <v>205524336</v>
      </c>
      <c r="D32" s="197">
        <f t="shared" si="12"/>
        <v>149585005</v>
      </c>
      <c r="E32" s="197">
        <f t="shared" si="12"/>
        <v>191969848</v>
      </c>
      <c r="F32" s="197">
        <f t="shared" si="12"/>
        <v>185866803</v>
      </c>
      <c r="G32" s="197">
        <f t="shared" si="12"/>
        <v>155309430</v>
      </c>
      <c r="H32" s="197">
        <f t="shared" si="12"/>
        <v>142410161</v>
      </c>
      <c r="I32" s="197">
        <f t="shared" si="12"/>
        <v>136961430</v>
      </c>
      <c r="J32" s="197">
        <f t="shared" si="12"/>
        <v>125455511</v>
      </c>
      <c r="K32" s="197">
        <f t="shared" si="12"/>
        <v>142413732</v>
      </c>
      <c r="L32" s="197">
        <f t="shared" si="12"/>
        <v>155517463</v>
      </c>
      <c r="M32" s="197">
        <f t="shared" si="12"/>
        <v>163070753</v>
      </c>
      <c r="N32" s="197">
        <f t="shared" si="12"/>
        <v>173515085</v>
      </c>
      <c r="O32" s="846">
        <f>SUM(C32:N32)</f>
        <v>1927599557</v>
      </c>
      <c r="P32" s="120">
        <f t="shared" ref="P32:P48" si="13">P31+1</f>
        <v>25</v>
      </c>
    </row>
    <row r="33" spans="1:18" x14ac:dyDescent="0.25">
      <c r="A33" s="120">
        <f t="shared" si="11"/>
        <v>26</v>
      </c>
      <c r="B33" s="149" t="s">
        <v>227</v>
      </c>
      <c r="C33" s="895">
        <f>C48</f>
        <v>861364957</v>
      </c>
      <c r="D33" s="896">
        <f>D48</f>
        <v>721419922</v>
      </c>
      <c r="E33" s="896">
        <f t="shared" ref="E33:N33" si="14">E48</f>
        <v>735271524.00000012</v>
      </c>
      <c r="F33" s="896">
        <f t="shared" si="14"/>
        <v>723852156</v>
      </c>
      <c r="G33" s="896">
        <f t="shared" si="14"/>
        <v>557131834</v>
      </c>
      <c r="H33" s="896">
        <f t="shared" si="14"/>
        <v>774068053</v>
      </c>
      <c r="I33" s="896">
        <f t="shared" si="14"/>
        <v>823131097</v>
      </c>
      <c r="J33" s="896">
        <f t="shared" si="14"/>
        <v>599560268</v>
      </c>
      <c r="K33" s="896">
        <f t="shared" si="14"/>
        <v>922239535</v>
      </c>
      <c r="L33" s="896">
        <f t="shared" si="14"/>
        <v>856002447</v>
      </c>
      <c r="M33" s="896">
        <f t="shared" si="14"/>
        <v>867220209</v>
      </c>
      <c r="N33" s="896">
        <f t="shared" si="14"/>
        <v>941691433.99999988</v>
      </c>
      <c r="O33" s="846">
        <f>SUM(C33:N33)</f>
        <v>9382953436</v>
      </c>
      <c r="P33" s="120">
        <f t="shared" si="13"/>
        <v>26</v>
      </c>
    </row>
    <row r="34" spans="1:18" x14ac:dyDescent="0.25">
      <c r="A34" s="120">
        <f t="shared" si="11"/>
        <v>27</v>
      </c>
      <c r="B34" s="202" t="s">
        <v>453</v>
      </c>
      <c r="C34" s="895">
        <f>C9*1000</f>
        <v>830100</v>
      </c>
      <c r="D34" s="896">
        <f t="shared" ref="D34:N34" si="15">D9*1000</f>
        <v>591888</v>
      </c>
      <c r="E34" s="896">
        <f t="shared" si="15"/>
        <v>349656</v>
      </c>
      <c r="F34" s="896">
        <f t="shared" si="15"/>
        <v>505116</v>
      </c>
      <c r="G34" s="896">
        <f t="shared" si="15"/>
        <v>394056</v>
      </c>
      <c r="H34" s="896">
        <f t="shared" si="15"/>
        <v>599844</v>
      </c>
      <c r="I34" s="896">
        <f t="shared" si="15"/>
        <v>1194672</v>
      </c>
      <c r="J34" s="896">
        <f t="shared" si="15"/>
        <v>395568</v>
      </c>
      <c r="K34" s="896">
        <f t="shared" si="15"/>
        <v>0</v>
      </c>
      <c r="L34" s="896">
        <f t="shared" si="15"/>
        <v>0</v>
      </c>
      <c r="M34" s="896">
        <f t="shared" si="15"/>
        <v>24</v>
      </c>
      <c r="N34" s="896">
        <f t="shared" si="15"/>
        <v>577044</v>
      </c>
      <c r="O34" s="846">
        <f t="shared" ref="O34:O35" si="16">SUM(C34:N34)</f>
        <v>5437968</v>
      </c>
      <c r="P34" s="120">
        <f t="shared" si="13"/>
        <v>27</v>
      </c>
    </row>
    <row r="35" spans="1:18" x14ac:dyDescent="0.25">
      <c r="A35" s="120">
        <f t="shared" si="11"/>
        <v>28</v>
      </c>
      <c r="B35" s="202" t="s">
        <v>228</v>
      </c>
      <c r="C35" s="117">
        <f t="shared" ref="C35:N35" si="17">C10*1000</f>
        <v>16743767.999999996</v>
      </c>
      <c r="D35" s="197">
        <f t="shared" si="17"/>
        <v>13044755</v>
      </c>
      <c r="E35" s="197">
        <f t="shared" si="17"/>
        <v>12830287</v>
      </c>
      <c r="F35" s="197">
        <f t="shared" si="17"/>
        <v>11025685</v>
      </c>
      <c r="G35" s="197">
        <f t="shared" si="17"/>
        <v>10591929</v>
      </c>
      <c r="H35" s="197">
        <f t="shared" si="17"/>
        <v>11659721.000000002</v>
      </c>
      <c r="I35" s="197">
        <f t="shared" si="17"/>
        <v>13838644</v>
      </c>
      <c r="J35" s="197">
        <f t="shared" si="17"/>
        <v>14629715</v>
      </c>
      <c r="K35" s="197">
        <f t="shared" si="17"/>
        <v>17023338.999999996</v>
      </c>
      <c r="L35" s="197">
        <f t="shared" si="17"/>
        <v>21277192</v>
      </c>
      <c r="M35" s="197">
        <f t="shared" si="17"/>
        <v>19915298.000000004</v>
      </c>
      <c r="N35" s="197">
        <f t="shared" si="17"/>
        <v>20711791.999999996</v>
      </c>
      <c r="O35" s="846">
        <f t="shared" si="16"/>
        <v>183292125</v>
      </c>
      <c r="P35" s="120">
        <f t="shared" si="13"/>
        <v>28</v>
      </c>
    </row>
    <row r="36" spans="1:18" x14ac:dyDescent="0.25">
      <c r="A36" s="120">
        <f t="shared" si="11"/>
        <v>29</v>
      </c>
      <c r="B36" s="202" t="s">
        <v>99</v>
      </c>
      <c r="C36" s="117">
        <f t="shared" ref="C36:N36" si="18">C11*1000</f>
        <v>16722309.000000002</v>
      </c>
      <c r="D36" s="197">
        <f t="shared" si="18"/>
        <v>12225740</v>
      </c>
      <c r="E36" s="197">
        <f t="shared" si="18"/>
        <v>19950925</v>
      </c>
      <c r="F36" s="197">
        <f t="shared" si="18"/>
        <v>13034206</v>
      </c>
      <c r="G36" s="197">
        <f t="shared" si="18"/>
        <v>14468949</v>
      </c>
      <c r="H36" s="197">
        <f t="shared" si="18"/>
        <v>13031965</v>
      </c>
      <c r="I36" s="197">
        <f t="shared" si="18"/>
        <v>21165631</v>
      </c>
      <c r="J36" s="197">
        <f t="shared" si="18"/>
        <v>13197715</v>
      </c>
      <c r="K36" s="197">
        <f t="shared" si="18"/>
        <v>15928342</v>
      </c>
      <c r="L36" s="197">
        <f t="shared" si="18"/>
        <v>21115069</v>
      </c>
      <c r="M36" s="197">
        <f t="shared" si="18"/>
        <v>20518665</v>
      </c>
      <c r="N36" s="197">
        <f t="shared" si="18"/>
        <v>19035486</v>
      </c>
      <c r="O36" s="846">
        <f t="shared" ref="O36" si="19">SUM(C36:N36)</f>
        <v>200395002</v>
      </c>
      <c r="P36" s="120">
        <f t="shared" si="13"/>
        <v>29</v>
      </c>
    </row>
    <row r="37" spans="1:18" x14ac:dyDescent="0.25">
      <c r="A37" s="120">
        <f t="shared" si="11"/>
        <v>30</v>
      </c>
      <c r="B37" s="149" t="s">
        <v>229</v>
      </c>
      <c r="C37" s="117">
        <f t="shared" ref="C37:N37" si="20">C12*1000</f>
        <v>6206232</v>
      </c>
      <c r="D37" s="197">
        <f t="shared" si="20"/>
        <v>3072935</v>
      </c>
      <c r="E37" s="197">
        <f t="shared" si="20"/>
        <v>7320706</v>
      </c>
      <c r="F37" s="197">
        <f t="shared" si="20"/>
        <v>5003957</v>
      </c>
      <c r="G37" s="197">
        <f t="shared" si="20"/>
        <v>4861481</v>
      </c>
      <c r="H37" s="197">
        <f t="shared" si="20"/>
        <v>5016543</v>
      </c>
      <c r="I37" s="197">
        <f t="shared" si="20"/>
        <v>5024740</v>
      </c>
      <c r="J37" s="197">
        <f t="shared" si="20"/>
        <v>15536591</v>
      </c>
      <c r="K37" s="197">
        <f t="shared" si="20"/>
        <v>5869001</v>
      </c>
      <c r="L37" s="197">
        <f t="shared" si="20"/>
        <v>6408115</v>
      </c>
      <c r="M37" s="197">
        <f t="shared" si="20"/>
        <v>-20831797</v>
      </c>
      <c r="N37" s="197">
        <f t="shared" si="20"/>
        <v>30722083</v>
      </c>
      <c r="O37" s="846">
        <f>SUM(C37:N37)</f>
        <v>74210587</v>
      </c>
      <c r="P37" s="120">
        <f t="shared" si="13"/>
        <v>30</v>
      </c>
    </row>
    <row r="38" spans="1:18" x14ac:dyDescent="0.25">
      <c r="A38" s="120">
        <f t="shared" si="11"/>
        <v>31</v>
      </c>
      <c r="B38" s="203" t="s">
        <v>6</v>
      </c>
      <c r="C38" s="117">
        <f t="shared" ref="C38:N38" si="21">C13*1000</f>
        <v>0</v>
      </c>
      <c r="D38" s="197">
        <f t="shared" si="21"/>
        <v>0</v>
      </c>
      <c r="E38" s="197">
        <f t="shared" si="21"/>
        <v>0</v>
      </c>
      <c r="F38" s="197">
        <f t="shared" si="21"/>
        <v>0</v>
      </c>
      <c r="G38" s="197">
        <f t="shared" si="21"/>
        <v>0</v>
      </c>
      <c r="H38" s="197">
        <f t="shared" si="21"/>
        <v>0</v>
      </c>
      <c r="I38" s="197">
        <f t="shared" si="21"/>
        <v>0</v>
      </c>
      <c r="J38" s="197">
        <f t="shared" si="21"/>
        <v>0</v>
      </c>
      <c r="K38" s="197">
        <f t="shared" si="21"/>
        <v>0</v>
      </c>
      <c r="L38" s="197">
        <f t="shared" si="21"/>
        <v>0</v>
      </c>
      <c r="M38" s="197">
        <f t="shared" si="21"/>
        <v>0</v>
      </c>
      <c r="N38" s="197">
        <f t="shared" si="21"/>
        <v>0</v>
      </c>
      <c r="O38" s="846">
        <f>SUM(C38:N38)</f>
        <v>0</v>
      </c>
      <c r="P38" s="120">
        <f t="shared" si="13"/>
        <v>31</v>
      </c>
      <c r="Q38" s="759"/>
    </row>
    <row r="39" spans="1:18" ht="18.75" thickBot="1" x14ac:dyDescent="0.3">
      <c r="A39" s="120">
        <f t="shared" si="11"/>
        <v>32</v>
      </c>
      <c r="B39" s="204" t="s">
        <v>230</v>
      </c>
      <c r="C39" s="205">
        <f>SUM(C31:C38)</f>
        <v>1638300694</v>
      </c>
      <c r="D39" s="206">
        <f t="shared" ref="D39:N39" si="22">SUM(D31:D38)</f>
        <v>1240088104</v>
      </c>
      <c r="E39" s="206">
        <f t="shared" si="22"/>
        <v>1477379730</v>
      </c>
      <c r="F39" s="206">
        <f t="shared" si="22"/>
        <v>1487837971</v>
      </c>
      <c r="G39" s="206">
        <f t="shared" si="22"/>
        <v>1135409538</v>
      </c>
      <c r="H39" s="206">
        <f t="shared" si="22"/>
        <v>1363529102</v>
      </c>
      <c r="I39" s="206">
        <f t="shared" si="22"/>
        <v>1371646695</v>
      </c>
      <c r="J39" s="206">
        <f t="shared" si="22"/>
        <v>1059815269</v>
      </c>
      <c r="K39" s="206">
        <f t="shared" si="22"/>
        <v>1458139063</v>
      </c>
      <c r="L39" s="206">
        <f t="shared" si="22"/>
        <v>1526848381</v>
      </c>
      <c r="M39" s="914">
        <f t="shared" si="22"/>
        <v>1719036176</v>
      </c>
      <c r="N39" s="914">
        <f t="shared" si="22"/>
        <v>1986346915</v>
      </c>
      <c r="O39" s="207">
        <f>SUM(O31:O38)</f>
        <v>17464377638</v>
      </c>
      <c r="P39" s="120">
        <f t="shared" si="13"/>
        <v>32</v>
      </c>
      <c r="Q39" s="759"/>
    </row>
    <row r="40" spans="1:18" ht="18.75" thickTop="1" x14ac:dyDescent="0.25">
      <c r="A40" s="120">
        <f t="shared" si="11"/>
        <v>33</v>
      </c>
      <c r="B40" s="208"/>
      <c r="C40" s="814"/>
      <c r="D40" s="201"/>
      <c r="E40" s="201"/>
      <c r="F40" s="201"/>
      <c r="G40" s="201"/>
      <c r="H40" s="201"/>
      <c r="I40" s="201"/>
      <c r="J40" s="201"/>
      <c r="K40" s="201"/>
      <c r="L40" s="201"/>
      <c r="M40" s="913"/>
      <c r="N40" s="917"/>
      <c r="O40" s="199"/>
      <c r="P40" s="120">
        <f t="shared" si="13"/>
        <v>33</v>
      </c>
    </row>
    <row r="41" spans="1:18" ht="18.75" thickBot="1" x14ac:dyDescent="0.3">
      <c r="A41" s="120">
        <f t="shared" si="11"/>
        <v>34</v>
      </c>
      <c r="B41" s="204" t="s">
        <v>231</v>
      </c>
      <c r="C41" s="209">
        <f>SUM(C31:C37)</f>
        <v>1638300694</v>
      </c>
      <c r="D41" s="210">
        <f>SUM(D31:D37)</f>
        <v>1240088104</v>
      </c>
      <c r="E41" s="210">
        <f t="shared" ref="E41:O41" si="23">SUM(E31:E37)</f>
        <v>1477379730</v>
      </c>
      <c r="F41" s="210">
        <f t="shared" si="23"/>
        <v>1487837971</v>
      </c>
      <c r="G41" s="210">
        <f t="shared" si="23"/>
        <v>1135409538</v>
      </c>
      <c r="H41" s="210">
        <f t="shared" si="23"/>
        <v>1363529102</v>
      </c>
      <c r="I41" s="210">
        <f t="shared" si="23"/>
        <v>1371646695</v>
      </c>
      <c r="J41" s="210">
        <f t="shared" si="23"/>
        <v>1059815269</v>
      </c>
      <c r="K41" s="210">
        <f t="shared" si="23"/>
        <v>1458139063</v>
      </c>
      <c r="L41" s="210">
        <f t="shared" si="23"/>
        <v>1526848381</v>
      </c>
      <c r="M41" s="915">
        <f t="shared" si="23"/>
        <v>1719036176</v>
      </c>
      <c r="N41" s="915">
        <f t="shared" si="23"/>
        <v>1986346915</v>
      </c>
      <c r="O41" s="211">
        <f t="shared" si="23"/>
        <v>17464377638</v>
      </c>
      <c r="P41" s="120">
        <f t="shared" si="13"/>
        <v>34</v>
      </c>
      <c r="Q41" s="759"/>
    </row>
    <row r="42" spans="1:18" ht="19.5" thickTop="1" thickBot="1" x14ac:dyDescent="0.3">
      <c r="A42" s="120">
        <f t="shared" si="11"/>
        <v>35</v>
      </c>
      <c r="B42" s="212"/>
      <c r="C42" s="212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213"/>
      <c r="O42" s="361"/>
      <c r="P42" s="120">
        <f t="shared" si="13"/>
        <v>35</v>
      </c>
      <c r="Q42" s="242"/>
      <c r="R42" s="877">
        <f>O41-'Stmnt BD - Recorded KWH'!E26</f>
        <v>0</v>
      </c>
    </row>
    <row r="43" spans="1:18" x14ac:dyDescent="0.25">
      <c r="A43" s="120">
        <f t="shared" si="11"/>
        <v>36</v>
      </c>
      <c r="B43" s="215" t="str">
        <f>B18</f>
        <v>INPUT FROM RECORDED SALES FILE:</v>
      </c>
      <c r="C43" s="216">
        <f>C30</f>
        <v>45931</v>
      </c>
      <c r="D43" s="217">
        <f t="shared" ref="D43:O43" si="24">D30</f>
        <v>45962</v>
      </c>
      <c r="E43" s="217">
        <f t="shared" si="24"/>
        <v>45992</v>
      </c>
      <c r="F43" s="217">
        <f t="shared" si="24"/>
        <v>46023</v>
      </c>
      <c r="G43" s="217">
        <f t="shared" si="24"/>
        <v>46054</v>
      </c>
      <c r="H43" s="217">
        <f t="shared" si="24"/>
        <v>46082</v>
      </c>
      <c r="I43" s="217">
        <f t="shared" si="24"/>
        <v>46113</v>
      </c>
      <c r="J43" s="217">
        <f t="shared" si="24"/>
        <v>46143</v>
      </c>
      <c r="K43" s="217">
        <f t="shared" si="24"/>
        <v>46174</v>
      </c>
      <c r="L43" s="217">
        <f t="shared" si="24"/>
        <v>46204</v>
      </c>
      <c r="M43" s="217">
        <f t="shared" si="24"/>
        <v>46235</v>
      </c>
      <c r="N43" s="217">
        <f t="shared" si="24"/>
        <v>46266</v>
      </c>
      <c r="O43" s="185" t="str">
        <f t="shared" si="24"/>
        <v>Total</v>
      </c>
      <c r="P43" s="120">
        <f t="shared" si="13"/>
        <v>36</v>
      </c>
    </row>
    <row r="44" spans="1:18" x14ac:dyDescent="0.25">
      <c r="A44" s="120">
        <f t="shared" si="11"/>
        <v>37</v>
      </c>
      <c r="B44" s="218" t="s">
        <v>239</v>
      </c>
      <c r="C44" s="219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123"/>
      <c r="P44" s="120">
        <f t="shared" si="13"/>
        <v>37</v>
      </c>
    </row>
    <row r="45" spans="1:18" x14ac:dyDescent="0.25">
      <c r="A45" s="120">
        <f t="shared" si="11"/>
        <v>38</v>
      </c>
      <c r="B45" s="125" t="s">
        <v>234</v>
      </c>
      <c r="C45" s="117">
        <f t="shared" ref="C45:N45" si="25">C20*1000</f>
        <v>0</v>
      </c>
      <c r="D45" s="197">
        <f t="shared" si="25"/>
        <v>0</v>
      </c>
      <c r="E45" s="197">
        <f t="shared" si="25"/>
        <v>0</v>
      </c>
      <c r="F45" s="197">
        <f t="shared" si="25"/>
        <v>0</v>
      </c>
      <c r="G45" s="197">
        <f t="shared" si="25"/>
        <v>0</v>
      </c>
      <c r="H45" s="197">
        <f t="shared" si="25"/>
        <v>0</v>
      </c>
      <c r="I45" s="197">
        <f t="shared" si="25"/>
        <v>0</v>
      </c>
      <c r="J45" s="197">
        <f t="shared" si="25"/>
        <v>0</v>
      </c>
      <c r="K45" s="197">
        <f t="shared" si="25"/>
        <v>0</v>
      </c>
      <c r="L45" s="197">
        <f t="shared" si="25"/>
        <v>0</v>
      </c>
      <c r="M45" s="197">
        <f t="shared" si="25"/>
        <v>0</v>
      </c>
      <c r="N45" s="197">
        <f t="shared" si="25"/>
        <v>0</v>
      </c>
      <c r="O45" s="846">
        <f>SUM(C45:N45)</f>
        <v>0</v>
      </c>
      <c r="P45" s="120">
        <f t="shared" si="13"/>
        <v>38</v>
      </c>
    </row>
    <row r="46" spans="1:18" x14ac:dyDescent="0.25">
      <c r="A46" s="120">
        <f t="shared" si="11"/>
        <v>39</v>
      </c>
      <c r="B46" s="125" t="s">
        <v>235</v>
      </c>
      <c r="C46" s="117">
        <f t="shared" ref="C46:N46" si="26">C21*1000</f>
        <v>861364957</v>
      </c>
      <c r="D46" s="197">
        <f t="shared" si="26"/>
        <v>721419922</v>
      </c>
      <c r="E46" s="197">
        <f t="shared" si="26"/>
        <v>735271524.00000012</v>
      </c>
      <c r="F46" s="197">
        <f t="shared" si="26"/>
        <v>723852156</v>
      </c>
      <c r="G46" s="197">
        <f t="shared" si="26"/>
        <v>557131834</v>
      </c>
      <c r="H46" s="197">
        <f t="shared" si="26"/>
        <v>774068053</v>
      </c>
      <c r="I46" s="197">
        <f t="shared" si="26"/>
        <v>823131097</v>
      </c>
      <c r="J46" s="197">
        <f t="shared" si="26"/>
        <v>599560268</v>
      </c>
      <c r="K46" s="197">
        <f t="shared" si="26"/>
        <v>922239535</v>
      </c>
      <c r="L46" s="197">
        <f t="shared" si="26"/>
        <v>856002447</v>
      </c>
      <c r="M46" s="197">
        <f t="shared" si="26"/>
        <v>867220209</v>
      </c>
      <c r="N46" s="197">
        <f t="shared" si="26"/>
        <v>941691433.99999988</v>
      </c>
      <c r="O46" s="199">
        <f>SUM(C46:N46)</f>
        <v>9382953436</v>
      </c>
      <c r="P46" s="120">
        <f t="shared" si="13"/>
        <v>39</v>
      </c>
    </row>
    <row r="47" spans="1:18" x14ac:dyDescent="0.25">
      <c r="A47" s="120">
        <f t="shared" si="11"/>
        <v>40</v>
      </c>
      <c r="B47" s="125" t="s">
        <v>236</v>
      </c>
      <c r="C47" s="117">
        <f t="shared" ref="C47:N47" si="27">C22*1000</f>
        <v>0</v>
      </c>
      <c r="D47" s="197">
        <f t="shared" si="27"/>
        <v>0</v>
      </c>
      <c r="E47" s="197">
        <f t="shared" si="27"/>
        <v>0</v>
      </c>
      <c r="F47" s="197">
        <f t="shared" si="27"/>
        <v>0</v>
      </c>
      <c r="G47" s="197">
        <f t="shared" si="27"/>
        <v>0</v>
      </c>
      <c r="H47" s="197">
        <f t="shared" si="27"/>
        <v>0</v>
      </c>
      <c r="I47" s="197">
        <f t="shared" si="27"/>
        <v>0</v>
      </c>
      <c r="J47" s="197">
        <f t="shared" si="27"/>
        <v>0</v>
      </c>
      <c r="K47" s="197">
        <f t="shared" si="27"/>
        <v>0</v>
      </c>
      <c r="L47" s="197">
        <f t="shared" si="27"/>
        <v>0</v>
      </c>
      <c r="M47" s="197">
        <f t="shared" si="27"/>
        <v>0</v>
      </c>
      <c r="N47" s="197">
        <f t="shared" si="27"/>
        <v>0</v>
      </c>
      <c r="O47" s="910">
        <f>SUM(C47:N47)</f>
        <v>0</v>
      </c>
      <c r="P47" s="120">
        <f t="shared" si="13"/>
        <v>40</v>
      </c>
    </row>
    <row r="48" spans="1:18" ht="18.75" thickBot="1" x14ac:dyDescent="0.3">
      <c r="A48" s="120">
        <f t="shared" si="11"/>
        <v>41</v>
      </c>
      <c r="B48" s="120" t="s">
        <v>17</v>
      </c>
      <c r="C48" s="221">
        <f>SUM(C45:C47)</f>
        <v>861364957</v>
      </c>
      <c r="D48" s="222">
        <f t="shared" ref="D48:O48" si="28">SUM(D45:D47)</f>
        <v>721419922</v>
      </c>
      <c r="E48" s="222">
        <f t="shared" si="28"/>
        <v>735271524.00000012</v>
      </c>
      <c r="F48" s="222">
        <f t="shared" si="28"/>
        <v>723852156</v>
      </c>
      <c r="G48" s="222">
        <f t="shared" si="28"/>
        <v>557131834</v>
      </c>
      <c r="H48" s="222">
        <f t="shared" si="28"/>
        <v>774068053</v>
      </c>
      <c r="I48" s="222">
        <f t="shared" si="28"/>
        <v>823131097</v>
      </c>
      <c r="J48" s="222">
        <f t="shared" si="28"/>
        <v>599560268</v>
      </c>
      <c r="K48" s="222">
        <f t="shared" si="28"/>
        <v>922239535</v>
      </c>
      <c r="L48" s="222">
        <f t="shared" si="28"/>
        <v>856002447</v>
      </c>
      <c r="M48" s="916">
        <f t="shared" si="28"/>
        <v>867220209</v>
      </c>
      <c r="N48" s="916">
        <f t="shared" si="28"/>
        <v>941691433.99999988</v>
      </c>
      <c r="O48" s="223">
        <f t="shared" si="28"/>
        <v>9382953436</v>
      </c>
      <c r="P48" s="120">
        <f t="shared" si="13"/>
        <v>41</v>
      </c>
    </row>
    <row r="49" spans="1:16" ht="19.5" thickTop="1" thickBot="1" x14ac:dyDescent="0.3">
      <c r="A49" s="121">
        <f>A48+1</f>
        <v>42</v>
      </c>
      <c r="B49" s="126"/>
      <c r="C49" s="212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124"/>
      <c r="P49" s="121">
        <f>P48+1</f>
        <v>42</v>
      </c>
    </row>
  </sheetData>
  <mergeCells count="4">
    <mergeCell ref="B2:O2"/>
    <mergeCell ref="B3:O3"/>
    <mergeCell ref="B27:O27"/>
    <mergeCell ref="B28:O28"/>
  </mergeCells>
  <printOptions horizontalCentered="1"/>
  <pageMargins left="0.25" right="0.25" top="0.5" bottom="0.5" header="0.25" footer="0.25"/>
  <pageSetup scale="49" orientation="landscape" r:id="rId1"/>
  <headerFooter scaleWithDoc="0" alignWithMargins="0">
    <oddFooter>&amp;L&amp;"Times New Roman,Regular"&amp;11&amp;F&amp;C&amp;"Times New Roman,Regular"&amp;11Page 1.1&amp;R&amp;"Times New Roman,Regular"&amp;11&amp;A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53"/>
  <sheetViews>
    <sheetView zoomScale="80" zoomScaleNormal="80" workbookViewId="0">
      <selection activeCell="S22" sqref="S22"/>
    </sheetView>
  </sheetViews>
  <sheetFormatPr defaultColWidth="9.42578125" defaultRowHeight="18" x14ac:dyDescent="0.25"/>
  <cols>
    <col min="1" max="1" width="5.5703125" style="180" customWidth="1"/>
    <col min="2" max="2" width="50.5703125" style="180" customWidth="1"/>
    <col min="3" max="3" width="14.5703125" style="180" customWidth="1"/>
    <col min="4" max="15" width="15.5703125" style="180" customWidth="1"/>
    <col min="16" max="16" width="5.5703125" style="180" customWidth="1"/>
    <col min="17" max="17" width="3.7109375" style="180" bestFit="1" customWidth="1"/>
    <col min="18" max="18" width="5.5703125" style="180" bestFit="1" customWidth="1"/>
    <col min="19" max="16384" width="9.42578125" style="180"/>
  </cols>
  <sheetData>
    <row r="1" spans="1:16" ht="18.75" thickBot="1" x14ac:dyDescent="0.3"/>
    <row r="2" spans="1:16" ht="25.5" x14ac:dyDescent="0.35">
      <c r="A2" s="591" t="s">
        <v>7</v>
      </c>
      <c r="B2" s="973" t="s">
        <v>222</v>
      </c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5"/>
      <c r="P2" s="591" t="s">
        <v>7</v>
      </c>
    </row>
    <row r="3" spans="1:16" ht="26.25" thickBot="1" x14ac:dyDescent="0.4">
      <c r="A3" s="181" t="s">
        <v>10</v>
      </c>
      <c r="B3" s="976" t="s">
        <v>500</v>
      </c>
      <c r="C3" s="977"/>
      <c r="D3" s="977"/>
      <c r="E3" s="977"/>
      <c r="F3" s="977"/>
      <c r="G3" s="977"/>
      <c r="H3" s="977"/>
      <c r="I3" s="977"/>
      <c r="J3" s="977"/>
      <c r="K3" s="977"/>
      <c r="L3" s="977"/>
      <c r="M3" s="977"/>
      <c r="N3" s="977"/>
      <c r="O3" s="978"/>
      <c r="P3" s="181" t="s">
        <v>10</v>
      </c>
    </row>
    <row r="4" spans="1:16" x14ac:dyDescent="0.25">
      <c r="A4" s="120">
        <v>1</v>
      </c>
      <c r="B4" s="416" t="s">
        <v>223</v>
      </c>
      <c r="C4" s="596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22"/>
      <c r="P4" s="120">
        <v>1</v>
      </c>
    </row>
    <row r="5" spans="1:16" x14ac:dyDescent="0.25">
      <c r="A5" s="120">
        <f>A4+1</f>
        <v>2</v>
      </c>
      <c r="B5" s="184" t="s">
        <v>224</v>
      </c>
      <c r="C5" s="217">
        <v>46388</v>
      </c>
      <c r="D5" s="217">
        <v>46419</v>
      </c>
      <c r="E5" s="217">
        <v>46447</v>
      </c>
      <c r="F5" s="217">
        <v>46478</v>
      </c>
      <c r="G5" s="217">
        <v>46508</v>
      </c>
      <c r="H5" s="217">
        <v>46539</v>
      </c>
      <c r="I5" s="217">
        <v>46569</v>
      </c>
      <c r="J5" s="217">
        <v>46600</v>
      </c>
      <c r="K5" s="217">
        <v>46631</v>
      </c>
      <c r="L5" s="217">
        <v>46661</v>
      </c>
      <c r="M5" s="217">
        <v>46692</v>
      </c>
      <c r="N5" s="217">
        <v>46722</v>
      </c>
      <c r="O5" s="185" t="s">
        <v>17</v>
      </c>
      <c r="P5" s="120">
        <f>P4+1</f>
        <v>2</v>
      </c>
    </row>
    <row r="6" spans="1:16" x14ac:dyDescent="0.25">
      <c r="A6" s="120">
        <f>A5+1</f>
        <v>3</v>
      </c>
      <c r="B6" s="149" t="s">
        <v>225</v>
      </c>
      <c r="C6" s="93">
        <v>581951.06394973933</v>
      </c>
      <c r="D6" s="93">
        <v>492696.97956067888</v>
      </c>
      <c r="E6" s="93">
        <v>428552.85148700135</v>
      </c>
      <c r="F6" s="93">
        <v>351147.07900455443</v>
      </c>
      <c r="G6" s="93">
        <v>329793.55436091666</v>
      </c>
      <c r="H6" s="93">
        <v>358343.85399963177</v>
      </c>
      <c r="I6" s="93">
        <v>447486.44744606991</v>
      </c>
      <c r="J6" s="93">
        <v>578590.61058834533</v>
      </c>
      <c r="K6" s="93">
        <v>697267.96767281427</v>
      </c>
      <c r="L6" s="93">
        <v>490925.76131075999</v>
      </c>
      <c r="M6" s="93">
        <v>437747.49038593651</v>
      </c>
      <c r="N6" s="93">
        <v>507338.96552355157</v>
      </c>
      <c r="O6" s="846">
        <f>SUM(C6:N6)</f>
        <v>5701842.6252899999</v>
      </c>
      <c r="P6" s="120">
        <f>P5+1</f>
        <v>3</v>
      </c>
    </row>
    <row r="7" spans="1:16" x14ac:dyDescent="0.25">
      <c r="A7" s="120">
        <f t="shared" ref="A7:A25" si="0">A6+1</f>
        <v>4</v>
      </c>
      <c r="B7" s="149" t="s">
        <v>226</v>
      </c>
      <c r="C7" s="93">
        <v>144107.36321021485</v>
      </c>
      <c r="D7" s="93">
        <v>138272.84290925262</v>
      </c>
      <c r="E7" s="93">
        <v>134573.59441289725</v>
      </c>
      <c r="F7" s="93">
        <v>131765.5370271609</v>
      </c>
      <c r="G7" s="93">
        <v>131661.7179755776</v>
      </c>
      <c r="H7" s="93">
        <v>137231.20700319644</v>
      </c>
      <c r="I7" s="93">
        <v>151843.44590971328</v>
      </c>
      <c r="J7" s="93">
        <v>158329.34974851573</v>
      </c>
      <c r="K7" s="93">
        <v>167213.6543527875</v>
      </c>
      <c r="L7" s="93">
        <v>147326.30259582083</v>
      </c>
      <c r="M7" s="93">
        <v>136911.5543843582</v>
      </c>
      <c r="N7" s="93">
        <v>136792.37922979487</v>
      </c>
      <c r="O7" s="846">
        <f>SUM(C7:N7)</f>
        <v>1716028.9487592899</v>
      </c>
      <c r="P7" s="120">
        <f t="shared" ref="P7:P25" si="1">P6+1</f>
        <v>4</v>
      </c>
    </row>
    <row r="8" spans="1:16" x14ac:dyDescent="0.25">
      <c r="A8" s="120">
        <f t="shared" si="0"/>
        <v>5</v>
      </c>
      <c r="B8" s="149" t="s">
        <v>240</v>
      </c>
      <c r="C8" s="896">
        <v>765705.74269224645</v>
      </c>
      <c r="D8" s="896">
        <v>729645.22743934463</v>
      </c>
      <c r="E8" s="896">
        <v>735335.99368216447</v>
      </c>
      <c r="F8" s="896">
        <v>736947.44738345442</v>
      </c>
      <c r="G8" s="896">
        <v>750185.45158503461</v>
      </c>
      <c r="H8" s="896">
        <v>785559.78664400836</v>
      </c>
      <c r="I8" s="896">
        <v>859418.18145874178</v>
      </c>
      <c r="J8" s="896">
        <v>891352.849976914</v>
      </c>
      <c r="K8" s="896">
        <v>944052.27449335868</v>
      </c>
      <c r="L8" s="896">
        <v>863722.0728345291</v>
      </c>
      <c r="M8" s="896">
        <v>801476.61807773984</v>
      </c>
      <c r="N8" s="896">
        <v>781425.16740657028</v>
      </c>
      <c r="O8" s="846">
        <f>SUM(C8:N8)</f>
        <v>9644826.8136741053</v>
      </c>
      <c r="P8" s="120">
        <f t="shared" si="1"/>
        <v>5</v>
      </c>
    </row>
    <row r="9" spans="1:16" x14ac:dyDescent="0.25">
      <c r="A9" s="120">
        <f t="shared" si="0"/>
        <v>6</v>
      </c>
      <c r="B9" s="149" t="s">
        <v>453</v>
      </c>
      <c r="C9" s="896">
        <v>147.852</v>
      </c>
      <c r="D9" s="896">
        <v>178.99199999999999</v>
      </c>
      <c r="E9" s="896">
        <v>387.76799999999997</v>
      </c>
      <c r="F9" s="896">
        <v>920.89200000000005</v>
      </c>
      <c r="G9" s="896">
        <v>411.16800000000001</v>
      </c>
      <c r="H9" s="896">
        <v>0</v>
      </c>
      <c r="I9" s="896">
        <v>0</v>
      </c>
      <c r="J9" s="896">
        <v>0</v>
      </c>
      <c r="K9" s="896">
        <v>227.55600000000001</v>
      </c>
      <c r="L9" s="896">
        <v>830.1</v>
      </c>
      <c r="M9" s="896">
        <v>591.88800000000003</v>
      </c>
      <c r="N9" s="896">
        <v>349.65600000000001</v>
      </c>
      <c r="O9" s="846">
        <f>SUM(C9:N9)</f>
        <v>4045.8719999999998</v>
      </c>
      <c r="P9" s="120">
        <f t="shared" si="1"/>
        <v>6</v>
      </c>
    </row>
    <row r="10" spans="1:16" x14ac:dyDescent="0.25">
      <c r="A10" s="120">
        <f t="shared" si="0"/>
        <v>7</v>
      </c>
      <c r="B10" s="149" t="s">
        <v>526</v>
      </c>
      <c r="C10" s="896">
        <v>13091.854240588294</v>
      </c>
      <c r="D10" s="896">
        <v>11486.892260890369</v>
      </c>
      <c r="E10" s="896">
        <v>10732.695143472745</v>
      </c>
      <c r="F10" s="896">
        <v>12338.071168339367</v>
      </c>
      <c r="G10" s="896">
        <v>17539.397417400178</v>
      </c>
      <c r="H10" s="896">
        <v>19452.397354054629</v>
      </c>
      <c r="I10" s="896">
        <v>22099.864125682816</v>
      </c>
      <c r="J10" s="896">
        <v>23824.80249022819</v>
      </c>
      <c r="K10" s="896">
        <v>23812.412862468773</v>
      </c>
      <c r="L10" s="896">
        <v>21365.681930847757</v>
      </c>
      <c r="M10" s="896">
        <v>18296.413671310533</v>
      </c>
      <c r="N10" s="896">
        <v>16524.176177242862</v>
      </c>
      <c r="O10" s="846">
        <f t="shared" ref="O10:O12" si="2">SUM(C10:N10)</f>
        <v>210564.65884252649</v>
      </c>
      <c r="P10" s="120">
        <f t="shared" si="1"/>
        <v>7</v>
      </c>
    </row>
    <row r="11" spans="1:16" x14ac:dyDescent="0.25">
      <c r="A11" s="120">
        <f t="shared" si="0"/>
        <v>8</v>
      </c>
      <c r="B11" s="149" t="s">
        <v>99</v>
      </c>
      <c r="C11" s="896">
        <v>12797.459810848906</v>
      </c>
      <c r="D11" s="896">
        <v>12196.077661078025</v>
      </c>
      <c r="E11" s="896">
        <v>11419.642272459194</v>
      </c>
      <c r="F11" s="896">
        <v>11837.381514093853</v>
      </c>
      <c r="G11" s="896">
        <v>13945.730829236403</v>
      </c>
      <c r="H11" s="896">
        <v>14406.360232370242</v>
      </c>
      <c r="I11" s="896">
        <v>15724.699384545724</v>
      </c>
      <c r="J11" s="896">
        <v>15624.734934563439</v>
      </c>
      <c r="K11" s="896">
        <v>15600.769883308398</v>
      </c>
      <c r="L11" s="896">
        <v>14881.191396330534</v>
      </c>
      <c r="M11" s="896">
        <v>13690.472960480516</v>
      </c>
      <c r="N11" s="896">
        <v>12366.034940058453</v>
      </c>
      <c r="O11" s="846">
        <f t="shared" si="2"/>
        <v>164490.55581937369</v>
      </c>
      <c r="P11" s="120">
        <f t="shared" si="1"/>
        <v>8</v>
      </c>
    </row>
    <row r="12" spans="1:16" x14ac:dyDescent="0.25">
      <c r="A12" s="120">
        <f t="shared" si="0"/>
        <v>9</v>
      </c>
      <c r="B12" s="149" t="s">
        <v>229</v>
      </c>
      <c r="C12" s="896">
        <v>6750.7788952496239</v>
      </c>
      <c r="D12" s="896">
        <v>6612.9383654640069</v>
      </c>
      <c r="E12" s="896">
        <v>6450.8009692319611</v>
      </c>
      <c r="F12" s="896">
        <v>6274.3237559126283</v>
      </c>
      <c r="G12" s="896">
        <v>6272.5762161369994</v>
      </c>
      <c r="H12" s="896">
        <v>6313.0194469642802</v>
      </c>
      <c r="I12" s="896">
        <v>6230.2001844442721</v>
      </c>
      <c r="J12" s="896">
        <v>6462.6155698103621</v>
      </c>
      <c r="K12" s="896">
        <v>6203.5667850988602</v>
      </c>
      <c r="L12" s="896">
        <v>6483.8061853456229</v>
      </c>
      <c r="M12" s="896">
        <v>6805.7355814922357</v>
      </c>
      <c r="N12" s="896">
        <v>6823.5179044101124</v>
      </c>
      <c r="O12" s="846">
        <f t="shared" si="2"/>
        <v>77683.87985956097</v>
      </c>
      <c r="P12" s="120">
        <f t="shared" si="1"/>
        <v>9</v>
      </c>
    </row>
    <row r="13" spans="1:16" x14ac:dyDescent="0.25">
      <c r="A13" s="120">
        <f t="shared" si="0"/>
        <v>10</v>
      </c>
      <c r="B13" s="752" t="s">
        <v>6</v>
      </c>
      <c r="C13" s="895">
        <v>0</v>
      </c>
      <c r="D13" s="896">
        <v>0</v>
      </c>
      <c r="E13" s="896">
        <v>0</v>
      </c>
      <c r="F13" s="896">
        <v>0</v>
      </c>
      <c r="G13" s="896">
        <v>0</v>
      </c>
      <c r="H13" s="896">
        <v>0</v>
      </c>
      <c r="I13" s="896">
        <v>0</v>
      </c>
      <c r="J13" s="896">
        <v>0</v>
      </c>
      <c r="K13" s="896">
        <v>0</v>
      </c>
      <c r="L13" s="896">
        <v>0</v>
      </c>
      <c r="M13" s="896">
        <v>0</v>
      </c>
      <c r="N13" s="896">
        <v>0</v>
      </c>
      <c r="O13" s="896">
        <f>SUM(C13:N13)</f>
        <v>0</v>
      </c>
      <c r="P13" s="120">
        <f t="shared" si="1"/>
        <v>10</v>
      </c>
    </row>
    <row r="14" spans="1:16" ht="18.75" thickBot="1" x14ac:dyDescent="0.3">
      <c r="A14" s="120">
        <f t="shared" si="0"/>
        <v>11</v>
      </c>
      <c r="B14" s="204" t="s">
        <v>230</v>
      </c>
      <c r="C14" s="205">
        <f t="shared" ref="C14:O14" si="3">SUM(C6:C13)</f>
        <v>1524552.1147988874</v>
      </c>
      <c r="D14" s="206">
        <f t="shared" si="3"/>
        <v>1391089.9501967088</v>
      </c>
      <c r="E14" s="206">
        <f t="shared" si="3"/>
        <v>1327453.3459672267</v>
      </c>
      <c r="F14" s="206">
        <f t="shared" si="3"/>
        <v>1251230.7318535156</v>
      </c>
      <c r="G14" s="206">
        <f t="shared" si="3"/>
        <v>1249809.5963843027</v>
      </c>
      <c r="H14" s="206">
        <f t="shared" si="3"/>
        <v>1321306.624680226</v>
      </c>
      <c r="I14" s="206">
        <f t="shared" si="3"/>
        <v>1502802.8385091976</v>
      </c>
      <c r="J14" s="206">
        <f t="shared" si="3"/>
        <v>1674184.9633083772</v>
      </c>
      <c r="K14" s="206">
        <f t="shared" si="3"/>
        <v>1854378.2020498365</v>
      </c>
      <c r="L14" s="206">
        <f t="shared" si="3"/>
        <v>1545534.9162536338</v>
      </c>
      <c r="M14" s="206">
        <f t="shared" si="3"/>
        <v>1415520.1730613178</v>
      </c>
      <c r="N14" s="206">
        <f t="shared" si="3"/>
        <v>1461619.8971816278</v>
      </c>
      <c r="O14" s="207">
        <f t="shared" si="3"/>
        <v>17519483.354244854</v>
      </c>
      <c r="P14" s="120">
        <f t="shared" si="1"/>
        <v>11</v>
      </c>
    </row>
    <row r="15" spans="1:16" ht="18.75" thickTop="1" x14ac:dyDescent="0.25">
      <c r="A15" s="120">
        <f t="shared" si="0"/>
        <v>12</v>
      </c>
      <c r="B15" s="204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199"/>
      <c r="P15" s="120">
        <f t="shared" si="1"/>
        <v>12</v>
      </c>
    </row>
    <row r="16" spans="1:16" ht="18.75" thickBot="1" x14ac:dyDescent="0.3">
      <c r="A16" s="120">
        <f t="shared" si="0"/>
        <v>13</v>
      </c>
      <c r="B16" s="204" t="s">
        <v>231</v>
      </c>
      <c r="C16" s="210">
        <f t="shared" ref="C16:O16" si="4">SUM(C6:C12)</f>
        <v>1524552.1147988874</v>
      </c>
      <c r="D16" s="210">
        <f t="shared" si="4"/>
        <v>1391089.9501967088</v>
      </c>
      <c r="E16" s="210">
        <f t="shared" si="4"/>
        <v>1327453.3459672267</v>
      </c>
      <c r="F16" s="210">
        <f t="shared" si="4"/>
        <v>1251230.7318535156</v>
      </c>
      <c r="G16" s="210">
        <f t="shared" si="4"/>
        <v>1249809.5963843027</v>
      </c>
      <c r="H16" s="210">
        <f t="shared" si="4"/>
        <v>1321306.624680226</v>
      </c>
      <c r="I16" s="210">
        <f t="shared" si="4"/>
        <v>1502802.8385091976</v>
      </c>
      <c r="J16" s="210">
        <f t="shared" si="4"/>
        <v>1674184.9633083772</v>
      </c>
      <c r="K16" s="210">
        <f t="shared" si="4"/>
        <v>1854378.2020498365</v>
      </c>
      <c r="L16" s="210">
        <f t="shared" si="4"/>
        <v>1545534.9162536338</v>
      </c>
      <c r="M16" s="210">
        <f t="shared" si="4"/>
        <v>1415520.1730613178</v>
      </c>
      <c r="N16" s="210">
        <f t="shared" si="4"/>
        <v>1461619.8971816278</v>
      </c>
      <c r="O16" s="211">
        <f t="shared" si="4"/>
        <v>17519483.354244854</v>
      </c>
      <c r="P16" s="120">
        <f t="shared" si="1"/>
        <v>13</v>
      </c>
    </row>
    <row r="17" spans="1:17" ht="19.5" thickTop="1" thickBot="1" x14ac:dyDescent="0.3">
      <c r="A17" s="120">
        <f t="shared" si="0"/>
        <v>14</v>
      </c>
      <c r="B17" s="126"/>
      <c r="C17" s="309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213"/>
      <c r="O17" s="214"/>
      <c r="P17" s="120">
        <f t="shared" si="1"/>
        <v>14</v>
      </c>
    </row>
    <row r="18" spans="1:17" x14ac:dyDescent="0.25">
      <c r="A18" s="120">
        <f t="shared" si="0"/>
        <v>15</v>
      </c>
      <c r="B18" s="215" t="s">
        <v>241</v>
      </c>
      <c r="C18" s="216">
        <f t="shared" ref="C18:O18" si="5">C5</f>
        <v>46388</v>
      </c>
      <c r="D18" s="217">
        <f t="shared" si="5"/>
        <v>46419</v>
      </c>
      <c r="E18" s="217">
        <f t="shared" si="5"/>
        <v>46447</v>
      </c>
      <c r="F18" s="217">
        <f t="shared" si="5"/>
        <v>46478</v>
      </c>
      <c r="G18" s="217">
        <f t="shared" si="5"/>
        <v>46508</v>
      </c>
      <c r="H18" s="217">
        <f t="shared" si="5"/>
        <v>46539</v>
      </c>
      <c r="I18" s="217">
        <f t="shared" si="5"/>
        <v>46569</v>
      </c>
      <c r="J18" s="217">
        <f t="shared" si="5"/>
        <v>46600</v>
      </c>
      <c r="K18" s="217">
        <f t="shared" si="5"/>
        <v>46631</v>
      </c>
      <c r="L18" s="217">
        <f t="shared" si="5"/>
        <v>46661</v>
      </c>
      <c r="M18" s="217">
        <f t="shared" si="5"/>
        <v>46692</v>
      </c>
      <c r="N18" s="217">
        <f t="shared" si="5"/>
        <v>46722</v>
      </c>
      <c r="O18" s="185" t="str">
        <f t="shared" si="5"/>
        <v>Total</v>
      </c>
      <c r="P18" s="120">
        <f t="shared" si="1"/>
        <v>15</v>
      </c>
    </row>
    <row r="19" spans="1:17" x14ac:dyDescent="0.25">
      <c r="A19" s="120">
        <f t="shared" si="0"/>
        <v>16</v>
      </c>
      <c r="B19" s="218" t="s">
        <v>233</v>
      </c>
      <c r="C19" s="219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23"/>
      <c r="P19" s="120">
        <f t="shared" si="1"/>
        <v>16</v>
      </c>
    </row>
    <row r="20" spans="1:17" x14ac:dyDescent="0.25">
      <c r="A20" s="120">
        <f t="shared" si="0"/>
        <v>17</v>
      </c>
      <c r="B20" s="125" t="s">
        <v>521</v>
      </c>
      <c r="C20" s="117">
        <v>152437.60916887998</v>
      </c>
      <c r="D20" s="93">
        <v>146528.22582946165</v>
      </c>
      <c r="E20" s="93">
        <v>145835.39843206067</v>
      </c>
      <c r="F20" s="93">
        <v>145639.22209793227</v>
      </c>
      <c r="G20" s="93">
        <v>149255.17627291122</v>
      </c>
      <c r="H20" s="93">
        <v>156567.0649730271</v>
      </c>
      <c r="I20" s="93">
        <v>172808.97990553503</v>
      </c>
      <c r="J20" s="93">
        <v>177553.51131000702</v>
      </c>
      <c r="K20" s="93">
        <v>186422.63660996922</v>
      </c>
      <c r="L20" s="93">
        <v>168894.61628708467</v>
      </c>
      <c r="M20" s="93">
        <v>153836.37136261904</v>
      </c>
      <c r="N20" s="93">
        <v>147743.21946485341</v>
      </c>
      <c r="O20" s="897">
        <f>SUM(C20:N20)</f>
        <v>1903522.0317143414</v>
      </c>
      <c r="P20" s="120">
        <f t="shared" si="1"/>
        <v>17</v>
      </c>
    </row>
    <row r="21" spans="1:17" x14ac:dyDescent="0.25">
      <c r="A21" s="120">
        <f t="shared" si="0"/>
        <v>18</v>
      </c>
      <c r="B21" s="125" t="s">
        <v>522</v>
      </c>
      <c r="C21" s="117">
        <v>5418.4771808514333</v>
      </c>
      <c r="D21" s="93">
        <v>4950.3620987190752</v>
      </c>
      <c r="E21" s="93">
        <v>3635.9326576441636</v>
      </c>
      <c r="F21" s="93">
        <v>2188.7941178325163</v>
      </c>
      <c r="G21" s="93">
        <v>2394.9194892067103</v>
      </c>
      <c r="H21" s="93">
        <v>2831.2401534837577</v>
      </c>
      <c r="I21" s="93">
        <v>2183.3211587979526</v>
      </c>
      <c r="J21" s="93">
        <v>4511.9766323372905</v>
      </c>
      <c r="K21" s="93">
        <v>6955.1641350278351</v>
      </c>
      <c r="L21" s="93">
        <v>6251.1981157220489</v>
      </c>
      <c r="M21" s="93">
        <v>5674.8331496255532</v>
      </c>
      <c r="N21" s="93">
        <v>5771.1538896126931</v>
      </c>
      <c r="O21" s="199">
        <f>SUM(C21:N21)</f>
        <v>52767.372778861034</v>
      </c>
      <c r="P21" s="120">
        <f t="shared" si="1"/>
        <v>18</v>
      </c>
    </row>
    <row r="22" spans="1:17" x14ac:dyDescent="0.25">
      <c r="A22" s="120">
        <f t="shared" si="0"/>
        <v>19</v>
      </c>
      <c r="B22" s="125" t="s">
        <v>523</v>
      </c>
      <c r="C22" s="117">
        <v>76734.101485277584</v>
      </c>
      <c r="D22" s="93">
        <v>74238.82159031248</v>
      </c>
      <c r="E22" s="93">
        <v>76625.350275132718</v>
      </c>
      <c r="F22" s="93">
        <v>80910.806570538072</v>
      </c>
      <c r="G22" s="93">
        <v>80096.883966718742</v>
      </c>
      <c r="H22" s="93">
        <v>81767.774979391106</v>
      </c>
      <c r="I22" s="93">
        <v>89579.268103492854</v>
      </c>
      <c r="J22" s="93">
        <v>94749.24816171905</v>
      </c>
      <c r="K22" s="93">
        <v>100678.96341718495</v>
      </c>
      <c r="L22" s="93">
        <v>95728.077268939407</v>
      </c>
      <c r="M22" s="93">
        <v>92429.132706686956</v>
      </c>
      <c r="N22" s="93">
        <v>94057.997520439108</v>
      </c>
      <c r="O22" s="199">
        <f t="shared" ref="O22:O23" si="6">SUM(C22:N22)</f>
        <v>1037596.426045833</v>
      </c>
      <c r="P22" s="120">
        <f t="shared" si="1"/>
        <v>19</v>
      </c>
    </row>
    <row r="23" spans="1:17" x14ac:dyDescent="0.25">
      <c r="A23" s="120">
        <f t="shared" si="0"/>
        <v>20</v>
      </c>
      <c r="B23" s="125" t="s">
        <v>524</v>
      </c>
      <c r="C23" s="117">
        <v>435002.98262123065</v>
      </c>
      <c r="D23" s="93">
        <v>417245.92950055405</v>
      </c>
      <c r="E23" s="93">
        <v>415499.72461433086</v>
      </c>
      <c r="F23" s="93">
        <v>413971.09023463051</v>
      </c>
      <c r="G23" s="93">
        <v>425483.4320910307</v>
      </c>
      <c r="H23" s="93">
        <v>450598.08949600341</v>
      </c>
      <c r="I23" s="93">
        <v>492530.27563424426</v>
      </c>
      <c r="J23" s="93">
        <v>511800.68907681049</v>
      </c>
      <c r="K23" s="93">
        <v>542491.16146823647</v>
      </c>
      <c r="L23" s="93">
        <v>491500.78283301258</v>
      </c>
      <c r="M23" s="93">
        <v>451482.04187507275</v>
      </c>
      <c r="N23" s="93">
        <v>438504.20811148855</v>
      </c>
      <c r="O23" s="199">
        <f t="shared" si="6"/>
        <v>5486110.4075566446</v>
      </c>
      <c r="P23" s="120">
        <f t="shared" si="1"/>
        <v>20</v>
      </c>
    </row>
    <row r="24" spans="1:17" x14ac:dyDescent="0.25">
      <c r="A24" s="120">
        <f t="shared" si="0"/>
        <v>21</v>
      </c>
      <c r="B24" s="125" t="s">
        <v>525</v>
      </c>
      <c r="C24" s="117">
        <v>96112.572236006818</v>
      </c>
      <c r="D24" s="481">
        <v>86681.888420297342</v>
      </c>
      <c r="E24" s="481">
        <v>93739.587702996083</v>
      </c>
      <c r="F24" s="481">
        <v>94237.534362521052</v>
      </c>
      <c r="G24" s="481">
        <v>92955.039765167327</v>
      </c>
      <c r="H24" s="481">
        <v>93795.617042102924</v>
      </c>
      <c r="I24" s="481">
        <v>102316.33665667158</v>
      </c>
      <c r="J24" s="481">
        <v>102737.42479604021</v>
      </c>
      <c r="K24" s="481">
        <v>107504.34886294023</v>
      </c>
      <c r="L24" s="481">
        <v>101347.39832977029</v>
      </c>
      <c r="M24" s="481">
        <v>98054.238983735559</v>
      </c>
      <c r="N24" s="481">
        <v>95348.588420176558</v>
      </c>
      <c r="O24" s="199">
        <f>SUM(C24:N24)</f>
        <v>1164830.575578426</v>
      </c>
      <c r="P24" s="120">
        <f t="shared" si="1"/>
        <v>21</v>
      </c>
    </row>
    <row r="25" spans="1:17" x14ac:dyDescent="0.25">
      <c r="A25" s="120">
        <f t="shared" si="0"/>
        <v>22</v>
      </c>
      <c r="B25" s="120" t="s">
        <v>17</v>
      </c>
      <c r="C25" s="225">
        <f>SUM(C20:C24)</f>
        <v>765705.74269224645</v>
      </c>
      <c r="D25" s="220">
        <f t="shared" ref="D25:O25" si="7">SUM(D20:D24)</f>
        <v>729645.22743934463</v>
      </c>
      <c r="E25" s="220">
        <f t="shared" si="7"/>
        <v>735335.99368216447</v>
      </c>
      <c r="F25" s="220">
        <f t="shared" si="7"/>
        <v>736947.44738345442</v>
      </c>
      <c r="G25" s="220">
        <f t="shared" si="7"/>
        <v>750185.45158503461</v>
      </c>
      <c r="H25" s="220">
        <f t="shared" si="7"/>
        <v>785559.78664400836</v>
      </c>
      <c r="I25" s="220">
        <f t="shared" si="7"/>
        <v>859418.18145874178</v>
      </c>
      <c r="J25" s="220">
        <f t="shared" si="7"/>
        <v>891352.849976914</v>
      </c>
      <c r="K25" s="220">
        <f t="shared" si="7"/>
        <v>944052.27449335868</v>
      </c>
      <c r="L25" s="220">
        <f t="shared" si="7"/>
        <v>863722.0728345291</v>
      </c>
      <c r="M25" s="220">
        <f t="shared" si="7"/>
        <v>801476.61807773984</v>
      </c>
      <c r="N25" s="220">
        <f t="shared" si="7"/>
        <v>781425.16740657028</v>
      </c>
      <c r="O25" s="226">
        <f t="shared" si="7"/>
        <v>9644826.8136741072</v>
      </c>
      <c r="P25" s="120">
        <f t="shared" si="1"/>
        <v>22</v>
      </c>
    </row>
    <row r="26" spans="1:17" ht="18.75" thickBot="1" x14ac:dyDescent="0.3">
      <c r="A26" s="121">
        <f>A25+1</f>
        <v>23</v>
      </c>
      <c r="B26" s="126"/>
      <c r="C26" s="212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124"/>
      <c r="P26" s="121">
        <f>P25+1</f>
        <v>23</v>
      </c>
    </row>
    <row r="28" spans="1:17" ht="18.75" thickBot="1" x14ac:dyDescent="0.3"/>
    <row r="29" spans="1:17" x14ac:dyDescent="0.25">
      <c r="A29" s="150" t="s">
        <v>7</v>
      </c>
      <c r="B29" s="979" t="s">
        <v>237</v>
      </c>
      <c r="C29" s="980"/>
      <c r="D29" s="980"/>
      <c r="E29" s="980"/>
      <c r="F29" s="980"/>
      <c r="G29" s="980"/>
      <c r="H29" s="980"/>
      <c r="I29" s="980"/>
      <c r="J29" s="980"/>
      <c r="K29" s="980"/>
      <c r="L29" s="980"/>
      <c r="M29" s="980"/>
      <c r="N29" s="980"/>
      <c r="O29" s="981"/>
      <c r="P29" s="150" t="s">
        <v>7</v>
      </c>
    </row>
    <row r="30" spans="1:17" ht="18.75" thickBot="1" x14ac:dyDescent="0.3">
      <c r="A30" s="121" t="s">
        <v>10</v>
      </c>
      <c r="B30" s="982" t="str">
        <f>B3</f>
        <v>Forecast Billing Determinants for the 12-Month Period: January 2027- December 2027</v>
      </c>
      <c r="C30" s="983"/>
      <c r="D30" s="983"/>
      <c r="E30" s="983"/>
      <c r="F30" s="983"/>
      <c r="G30" s="983"/>
      <c r="H30" s="983"/>
      <c r="I30" s="983"/>
      <c r="J30" s="983"/>
      <c r="K30" s="983"/>
      <c r="L30" s="983"/>
      <c r="M30" s="983"/>
      <c r="N30" s="983"/>
      <c r="O30" s="984"/>
      <c r="P30" s="121" t="s">
        <v>10</v>
      </c>
    </row>
    <row r="31" spans="1:17" x14ac:dyDescent="0.25">
      <c r="A31" s="120">
        <f>A26+1</f>
        <v>24</v>
      </c>
      <c r="B31" s="182" t="s">
        <v>223</v>
      </c>
      <c r="C31" s="224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22"/>
      <c r="P31" s="120">
        <f>P26+1</f>
        <v>24</v>
      </c>
    </row>
    <row r="32" spans="1:17" x14ac:dyDescent="0.25">
      <c r="A32" s="120">
        <f>A31+1</f>
        <v>25</v>
      </c>
      <c r="B32" s="184" t="s">
        <v>238</v>
      </c>
      <c r="C32" s="216">
        <f t="shared" ref="C32:N32" si="8">C5</f>
        <v>46388</v>
      </c>
      <c r="D32" s="217">
        <f t="shared" si="8"/>
        <v>46419</v>
      </c>
      <c r="E32" s="217">
        <f t="shared" si="8"/>
        <v>46447</v>
      </c>
      <c r="F32" s="217">
        <f t="shared" si="8"/>
        <v>46478</v>
      </c>
      <c r="G32" s="217">
        <f t="shared" si="8"/>
        <v>46508</v>
      </c>
      <c r="H32" s="217">
        <f t="shared" si="8"/>
        <v>46539</v>
      </c>
      <c r="I32" s="217">
        <f t="shared" si="8"/>
        <v>46569</v>
      </c>
      <c r="J32" s="217">
        <f t="shared" si="8"/>
        <v>46600</v>
      </c>
      <c r="K32" s="217">
        <f t="shared" si="8"/>
        <v>46631</v>
      </c>
      <c r="L32" s="217">
        <f t="shared" si="8"/>
        <v>46661</v>
      </c>
      <c r="M32" s="217">
        <f t="shared" si="8"/>
        <v>46692</v>
      </c>
      <c r="N32" s="217">
        <f t="shared" si="8"/>
        <v>46722</v>
      </c>
      <c r="O32" s="185" t="s">
        <v>17</v>
      </c>
      <c r="P32" s="120">
        <f>P31+1</f>
        <v>25</v>
      </c>
      <c r="Q32" s="758"/>
    </row>
    <row r="33" spans="1:18" x14ac:dyDescent="0.25">
      <c r="A33" s="120">
        <f>A32+1</f>
        <v>26</v>
      </c>
      <c r="B33" s="149" t="s">
        <v>225</v>
      </c>
      <c r="C33" s="198">
        <f t="shared" ref="C33:N33" si="9">C6*1000</f>
        <v>581951063.94973934</v>
      </c>
      <c r="D33" s="177">
        <f t="shared" si="9"/>
        <v>492696979.5606789</v>
      </c>
      <c r="E33" s="177">
        <f t="shared" si="9"/>
        <v>428552851.48700136</v>
      </c>
      <c r="F33" s="177">
        <f t="shared" si="9"/>
        <v>351147079.00455445</v>
      </c>
      <c r="G33" s="177">
        <f t="shared" si="9"/>
        <v>329793554.36091667</v>
      </c>
      <c r="H33" s="177">
        <f t="shared" si="9"/>
        <v>358343853.99963176</v>
      </c>
      <c r="I33" s="177">
        <f t="shared" si="9"/>
        <v>447486447.4460699</v>
      </c>
      <c r="J33" s="177">
        <f t="shared" si="9"/>
        <v>578590610.58834529</v>
      </c>
      <c r="K33" s="177">
        <f t="shared" si="9"/>
        <v>697267967.67281425</v>
      </c>
      <c r="L33" s="177">
        <f t="shared" si="9"/>
        <v>490925761.31075996</v>
      </c>
      <c r="M33" s="177">
        <f t="shared" si="9"/>
        <v>437747490.3859365</v>
      </c>
      <c r="N33" s="177">
        <f t="shared" si="9"/>
        <v>507338965.52355158</v>
      </c>
      <c r="O33" s="199">
        <f>SUM(C33:N33)</f>
        <v>5701842625.29</v>
      </c>
      <c r="P33" s="120">
        <f>P32+1</f>
        <v>26</v>
      </c>
      <c r="Q33" s="758"/>
      <c r="R33" s="759"/>
    </row>
    <row r="34" spans="1:18" x14ac:dyDescent="0.25">
      <c r="A34" s="120">
        <f t="shared" ref="A34:A52" si="10">A33+1</f>
        <v>27</v>
      </c>
      <c r="B34" s="149" t="s">
        <v>226</v>
      </c>
      <c r="C34" s="198">
        <f t="shared" ref="C34:N34" si="11">C7*1000</f>
        <v>144107363.21021485</v>
      </c>
      <c r="D34" s="177">
        <f t="shared" si="11"/>
        <v>138272842.90925261</v>
      </c>
      <c r="E34" s="177">
        <f t="shared" si="11"/>
        <v>134573594.41289726</v>
      </c>
      <c r="F34" s="177">
        <f t="shared" si="11"/>
        <v>131765537.0271609</v>
      </c>
      <c r="G34" s="177">
        <f t="shared" si="11"/>
        <v>131661717.97557761</v>
      </c>
      <c r="H34" s="177">
        <f t="shared" si="11"/>
        <v>137231207.00319645</v>
      </c>
      <c r="I34" s="177">
        <f t="shared" si="11"/>
        <v>151843445.90971327</v>
      </c>
      <c r="J34" s="177">
        <f t="shared" si="11"/>
        <v>158329349.74851573</v>
      </c>
      <c r="K34" s="177">
        <f t="shared" si="11"/>
        <v>167213654.35278749</v>
      </c>
      <c r="L34" s="177">
        <f t="shared" si="11"/>
        <v>147326302.59582084</v>
      </c>
      <c r="M34" s="177">
        <f t="shared" si="11"/>
        <v>136911554.3843582</v>
      </c>
      <c r="N34" s="177">
        <f t="shared" si="11"/>
        <v>136792379.22979486</v>
      </c>
      <c r="O34" s="199">
        <f>SUM(C34:N34)</f>
        <v>1716028948.7592902</v>
      </c>
      <c r="P34" s="120">
        <f t="shared" ref="P34:P52" si="12">P33+1</f>
        <v>27</v>
      </c>
    </row>
    <row r="35" spans="1:18" x14ac:dyDescent="0.25">
      <c r="A35" s="120">
        <f t="shared" si="10"/>
        <v>28</v>
      </c>
      <c r="B35" s="149" t="s">
        <v>227</v>
      </c>
      <c r="C35" s="200">
        <f>C52</f>
        <v>765705742.69224656</v>
      </c>
      <c r="D35" s="201">
        <f>D52</f>
        <v>729645227.43934464</v>
      </c>
      <c r="E35" s="201">
        <f t="shared" ref="E35:N35" si="13">E52</f>
        <v>735335993.68216455</v>
      </c>
      <c r="F35" s="201">
        <f t="shared" si="13"/>
        <v>736947447.38345444</v>
      </c>
      <c r="G35" s="201">
        <f t="shared" si="13"/>
        <v>750185451.58503473</v>
      </c>
      <c r="H35" s="201">
        <f t="shared" si="13"/>
        <v>785559786.64400828</v>
      </c>
      <c r="I35" s="201">
        <f t="shared" si="13"/>
        <v>859418181.45874166</v>
      </c>
      <c r="J35" s="201">
        <f t="shared" si="13"/>
        <v>891352849.97691405</v>
      </c>
      <c r="K35" s="201">
        <f t="shared" si="13"/>
        <v>944052274.49335861</v>
      </c>
      <c r="L35" s="201">
        <f t="shared" si="13"/>
        <v>863722072.83452904</v>
      </c>
      <c r="M35" s="201">
        <f t="shared" si="13"/>
        <v>801476618.07773995</v>
      </c>
      <c r="N35" s="201">
        <f t="shared" si="13"/>
        <v>781425167.40657043</v>
      </c>
      <c r="O35" s="199">
        <f>SUM(C35:N35)</f>
        <v>9644826813.6741066</v>
      </c>
      <c r="P35" s="120">
        <f t="shared" si="12"/>
        <v>28</v>
      </c>
    </row>
    <row r="36" spans="1:18" x14ac:dyDescent="0.25">
      <c r="A36" s="120">
        <f t="shared" si="10"/>
        <v>29</v>
      </c>
      <c r="B36" s="202" t="s">
        <v>453</v>
      </c>
      <c r="C36" s="198">
        <f t="shared" ref="C36:N36" si="14">C9*1000</f>
        <v>147852</v>
      </c>
      <c r="D36" s="201">
        <f t="shared" si="14"/>
        <v>178992</v>
      </c>
      <c r="E36" s="201">
        <f t="shared" si="14"/>
        <v>387768</v>
      </c>
      <c r="F36" s="201">
        <f t="shared" si="14"/>
        <v>920892</v>
      </c>
      <c r="G36" s="201">
        <f t="shared" si="14"/>
        <v>411168</v>
      </c>
      <c r="H36" s="913">
        <f t="shared" si="14"/>
        <v>0</v>
      </c>
      <c r="I36" s="913">
        <f t="shared" si="14"/>
        <v>0</v>
      </c>
      <c r="J36" s="913">
        <f t="shared" si="14"/>
        <v>0</v>
      </c>
      <c r="K36" s="917">
        <f t="shared" si="14"/>
        <v>227556</v>
      </c>
      <c r="L36" s="917">
        <f t="shared" si="14"/>
        <v>830100</v>
      </c>
      <c r="M36" s="917">
        <f t="shared" si="14"/>
        <v>591888</v>
      </c>
      <c r="N36" s="917">
        <f t="shared" si="14"/>
        <v>349656</v>
      </c>
      <c r="O36" s="199">
        <f>SUM(C36:N36)</f>
        <v>4045872</v>
      </c>
      <c r="P36" s="120">
        <f t="shared" si="12"/>
        <v>29</v>
      </c>
    </row>
    <row r="37" spans="1:18" x14ac:dyDescent="0.25">
      <c r="A37" s="120">
        <f t="shared" si="10"/>
        <v>30</v>
      </c>
      <c r="B37" s="202" t="s">
        <v>526</v>
      </c>
      <c r="C37" s="198">
        <f t="shared" ref="C37:N37" si="15">C10*1000</f>
        <v>13091854.240588294</v>
      </c>
      <c r="D37" s="177">
        <f t="shared" si="15"/>
        <v>11486892.260890368</v>
      </c>
      <c r="E37" s="177">
        <f t="shared" si="15"/>
        <v>10732695.143472746</v>
      </c>
      <c r="F37" s="177">
        <f t="shared" si="15"/>
        <v>12338071.168339368</v>
      </c>
      <c r="G37" s="177">
        <f t="shared" si="15"/>
        <v>17539397.417400178</v>
      </c>
      <c r="H37" s="177">
        <f t="shared" si="15"/>
        <v>19452397.35405463</v>
      </c>
      <c r="I37" s="177">
        <f t="shared" si="15"/>
        <v>22099864.125682816</v>
      </c>
      <c r="J37" s="177">
        <f t="shared" si="15"/>
        <v>23824802.490228191</v>
      </c>
      <c r="K37" s="177">
        <f t="shared" si="15"/>
        <v>23812412.862468772</v>
      </c>
      <c r="L37" s="177">
        <f t="shared" si="15"/>
        <v>21365681.930847757</v>
      </c>
      <c r="M37" s="177">
        <f t="shared" si="15"/>
        <v>18296413.671310533</v>
      </c>
      <c r="N37" s="177">
        <f t="shared" si="15"/>
        <v>16524176.177242862</v>
      </c>
      <c r="O37" s="199">
        <f t="shared" ref="O37:O38" si="16">SUM(C37:N37)</f>
        <v>210564658.84252656</v>
      </c>
      <c r="P37" s="120">
        <f t="shared" si="12"/>
        <v>30</v>
      </c>
    </row>
    <row r="38" spans="1:18" x14ac:dyDescent="0.25">
      <c r="A38" s="120">
        <f t="shared" si="10"/>
        <v>31</v>
      </c>
      <c r="B38" s="202" t="s">
        <v>99</v>
      </c>
      <c r="C38" s="198">
        <f t="shared" ref="C38:N38" si="17">C11*1000</f>
        <v>12797459.810848907</v>
      </c>
      <c r="D38" s="177">
        <f t="shared" si="17"/>
        <v>12196077.661078025</v>
      </c>
      <c r="E38" s="177">
        <f t="shared" si="17"/>
        <v>11419642.272459194</v>
      </c>
      <c r="F38" s="177">
        <f t="shared" si="17"/>
        <v>11837381.514093854</v>
      </c>
      <c r="G38" s="177">
        <f t="shared" si="17"/>
        <v>13945730.829236403</v>
      </c>
      <c r="H38" s="177">
        <f t="shared" si="17"/>
        <v>14406360.232370242</v>
      </c>
      <c r="I38" s="177">
        <f t="shared" si="17"/>
        <v>15724699.384545723</v>
      </c>
      <c r="J38" s="177">
        <f t="shared" si="17"/>
        <v>15624734.934563439</v>
      </c>
      <c r="K38" s="177">
        <f t="shared" si="17"/>
        <v>15600769.883308398</v>
      </c>
      <c r="L38" s="177">
        <f t="shared" si="17"/>
        <v>14881191.396330534</v>
      </c>
      <c r="M38" s="177">
        <f t="shared" si="17"/>
        <v>13690472.960480517</v>
      </c>
      <c r="N38" s="177">
        <f t="shared" si="17"/>
        <v>12366034.940058453</v>
      </c>
      <c r="O38" s="199">
        <f t="shared" si="16"/>
        <v>164490555.81937367</v>
      </c>
      <c r="P38" s="120">
        <f t="shared" si="12"/>
        <v>31</v>
      </c>
    </row>
    <row r="39" spans="1:18" x14ac:dyDescent="0.25">
      <c r="A39" s="120">
        <f t="shared" si="10"/>
        <v>32</v>
      </c>
      <c r="B39" s="149" t="s">
        <v>229</v>
      </c>
      <c r="C39" s="198">
        <f t="shared" ref="C39:N39" si="18">C12*1000</f>
        <v>6750778.8952496238</v>
      </c>
      <c r="D39" s="177">
        <f t="shared" si="18"/>
        <v>6612938.3654640066</v>
      </c>
      <c r="E39" s="177">
        <f t="shared" si="18"/>
        <v>6450800.9692319613</v>
      </c>
      <c r="F39" s="177">
        <f t="shared" si="18"/>
        <v>6274323.755912628</v>
      </c>
      <c r="G39" s="177">
        <f t="shared" si="18"/>
        <v>6272576.2161369994</v>
      </c>
      <c r="H39" s="177">
        <f t="shared" si="18"/>
        <v>6313019.4469642797</v>
      </c>
      <c r="I39" s="177">
        <f t="shared" si="18"/>
        <v>6230200.184444272</v>
      </c>
      <c r="J39" s="177">
        <f t="shared" si="18"/>
        <v>6462615.5698103625</v>
      </c>
      <c r="K39" s="177">
        <f t="shared" si="18"/>
        <v>6203566.78509886</v>
      </c>
      <c r="L39" s="177">
        <f t="shared" si="18"/>
        <v>6483806.1853456227</v>
      </c>
      <c r="M39" s="177">
        <f t="shared" si="18"/>
        <v>6805735.5814922359</v>
      </c>
      <c r="N39" s="177">
        <f t="shared" si="18"/>
        <v>6823517.9044101126</v>
      </c>
      <c r="O39" s="199">
        <f>SUM(C39:N39)</f>
        <v>77683879.859560952</v>
      </c>
      <c r="P39" s="120">
        <f t="shared" si="12"/>
        <v>32</v>
      </c>
    </row>
    <row r="40" spans="1:18" x14ac:dyDescent="0.25">
      <c r="A40" s="120">
        <f t="shared" si="10"/>
        <v>33</v>
      </c>
      <c r="B40" s="203" t="s">
        <v>6</v>
      </c>
      <c r="C40" s="895">
        <f t="shared" ref="C40:N40" si="19">C13*1000</f>
        <v>0</v>
      </c>
      <c r="D40" s="896">
        <f t="shared" si="19"/>
        <v>0</v>
      </c>
      <c r="E40" s="896">
        <f t="shared" si="19"/>
        <v>0</v>
      </c>
      <c r="F40" s="896">
        <f t="shared" si="19"/>
        <v>0</v>
      </c>
      <c r="G40" s="896">
        <f t="shared" si="19"/>
        <v>0</v>
      </c>
      <c r="H40" s="896">
        <f t="shared" si="19"/>
        <v>0</v>
      </c>
      <c r="I40" s="896">
        <f t="shared" si="19"/>
        <v>0</v>
      </c>
      <c r="J40" s="896">
        <f t="shared" si="19"/>
        <v>0</v>
      </c>
      <c r="K40" s="896">
        <f t="shared" si="19"/>
        <v>0</v>
      </c>
      <c r="L40" s="896">
        <f t="shared" si="19"/>
        <v>0</v>
      </c>
      <c r="M40" s="896">
        <f t="shared" si="19"/>
        <v>0</v>
      </c>
      <c r="N40" s="896">
        <f t="shared" si="19"/>
        <v>0</v>
      </c>
      <c r="O40" s="896">
        <f>SUM(C40:N40)</f>
        <v>0</v>
      </c>
      <c r="P40" s="120">
        <f t="shared" si="12"/>
        <v>33</v>
      </c>
      <c r="Q40" s="760"/>
    </row>
    <row r="41" spans="1:18" ht="18.75" thickBot="1" x14ac:dyDescent="0.3">
      <c r="A41" s="120">
        <f t="shared" si="10"/>
        <v>34</v>
      </c>
      <c r="B41" s="204" t="s">
        <v>230</v>
      </c>
      <c r="C41" s="205">
        <f>SUM(C33:C40)</f>
        <v>1524552114.7988875</v>
      </c>
      <c r="D41" s="206">
        <f t="shared" ref="D41:N41" si="20">SUM(D33:D40)</f>
        <v>1391089950.1967084</v>
      </c>
      <c r="E41" s="206">
        <f t="shared" si="20"/>
        <v>1327453345.967227</v>
      </c>
      <c r="F41" s="206">
        <f t="shared" si="20"/>
        <v>1251230731.8535154</v>
      </c>
      <c r="G41" s="206">
        <f t="shared" si="20"/>
        <v>1249809596.3843026</v>
      </c>
      <c r="H41" s="206">
        <f t="shared" si="20"/>
        <v>1321306624.6802256</v>
      </c>
      <c r="I41" s="206">
        <f t="shared" si="20"/>
        <v>1502802838.5091977</v>
      </c>
      <c r="J41" s="206">
        <f t="shared" si="20"/>
        <v>1674184963.308377</v>
      </c>
      <c r="K41" s="206">
        <f t="shared" si="20"/>
        <v>1854378202.0498364</v>
      </c>
      <c r="L41" s="206">
        <f t="shared" si="20"/>
        <v>1545534916.2536337</v>
      </c>
      <c r="M41" s="206">
        <f t="shared" si="20"/>
        <v>1415520173.0613177</v>
      </c>
      <c r="N41" s="206">
        <f t="shared" si="20"/>
        <v>1461619897.1816282</v>
      </c>
      <c r="O41" s="207">
        <f>SUM(O33:O40)</f>
        <v>17519483354.244858</v>
      </c>
      <c r="P41" s="120">
        <f t="shared" si="12"/>
        <v>34</v>
      </c>
      <c r="Q41" s="760"/>
    </row>
    <row r="42" spans="1:18" ht="18.75" thickTop="1" x14ac:dyDescent="0.25">
      <c r="A42" s="120">
        <f t="shared" si="10"/>
        <v>35</v>
      </c>
      <c r="B42" s="208"/>
      <c r="C42" s="200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99"/>
      <c r="P42" s="120">
        <f t="shared" si="12"/>
        <v>35</v>
      </c>
      <c r="Q42" s="452"/>
    </row>
    <row r="43" spans="1:18" ht="18.75" thickBot="1" x14ac:dyDescent="0.3">
      <c r="A43" s="120">
        <f t="shared" si="10"/>
        <v>36</v>
      </c>
      <c r="B43" s="204" t="s">
        <v>231</v>
      </c>
      <c r="C43" s="209">
        <f>SUM(C33:C39)</f>
        <v>1524552114.7988875</v>
      </c>
      <c r="D43" s="210">
        <f>SUM(D33:D39)</f>
        <v>1391089950.1967084</v>
      </c>
      <c r="E43" s="210">
        <f t="shared" ref="E43:O43" si="21">SUM(E33:E39)</f>
        <v>1327453345.967227</v>
      </c>
      <c r="F43" s="210">
        <f t="shared" si="21"/>
        <v>1251230731.8535154</v>
      </c>
      <c r="G43" s="210">
        <f t="shared" si="21"/>
        <v>1249809596.3843026</v>
      </c>
      <c r="H43" s="210">
        <f t="shared" si="21"/>
        <v>1321306624.6802256</v>
      </c>
      <c r="I43" s="210">
        <f t="shared" si="21"/>
        <v>1502802838.5091977</v>
      </c>
      <c r="J43" s="210">
        <f t="shared" si="21"/>
        <v>1674184963.308377</v>
      </c>
      <c r="K43" s="210">
        <f t="shared" si="21"/>
        <v>1854378202.0498364</v>
      </c>
      <c r="L43" s="210">
        <f t="shared" si="21"/>
        <v>1545534916.2536337</v>
      </c>
      <c r="M43" s="210">
        <f t="shared" si="21"/>
        <v>1415520173.0613177</v>
      </c>
      <c r="N43" s="210">
        <f t="shared" si="21"/>
        <v>1461619897.1816282</v>
      </c>
      <c r="O43" s="211">
        <f t="shared" si="21"/>
        <v>17519483354.244858</v>
      </c>
      <c r="P43" s="120">
        <f t="shared" si="12"/>
        <v>36</v>
      </c>
      <c r="Q43" s="760"/>
    </row>
    <row r="44" spans="1:18" ht="19.5" thickTop="1" thickBot="1" x14ac:dyDescent="0.3">
      <c r="A44" s="120">
        <f t="shared" si="10"/>
        <v>37</v>
      </c>
      <c r="B44" s="212"/>
      <c r="C44" s="212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213"/>
      <c r="O44" s="361"/>
      <c r="P44" s="120">
        <f t="shared" si="12"/>
        <v>37</v>
      </c>
      <c r="Q44" s="242"/>
      <c r="R44" s="877">
        <f>O43-'Stmnt BD - Forecast KWH'!E26</f>
        <v>0</v>
      </c>
    </row>
    <row r="45" spans="1:18" x14ac:dyDescent="0.25">
      <c r="A45" s="120">
        <f t="shared" si="10"/>
        <v>38</v>
      </c>
      <c r="B45" s="215" t="s">
        <v>241</v>
      </c>
      <c r="C45" s="216">
        <f>C32</f>
        <v>46388</v>
      </c>
      <c r="D45" s="217">
        <f t="shared" ref="D45:O45" si="22">D32</f>
        <v>46419</v>
      </c>
      <c r="E45" s="217">
        <f t="shared" si="22"/>
        <v>46447</v>
      </c>
      <c r="F45" s="217">
        <f t="shared" si="22"/>
        <v>46478</v>
      </c>
      <c r="G45" s="217">
        <f t="shared" si="22"/>
        <v>46508</v>
      </c>
      <c r="H45" s="217">
        <f t="shared" si="22"/>
        <v>46539</v>
      </c>
      <c r="I45" s="217">
        <f t="shared" si="22"/>
        <v>46569</v>
      </c>
      <c r="J45" s="217">
        <f t="shared" si="22"/>
        <v>46600</v>
      </c>
      <c r="K45" s="217">
        <f t="shared" si="22"/>
        <v>46631</v>
      </c>
      <c r="L45" s="217">
        <f t="shared" si="22"/>
        <v>46661</v>
      </c>
      <c r="M45" s="217">
        <f t="shared" si="22"/>
        <v>46692</v>
      </c>
      <c r="N45" s="217">
        <f t="shared" si="22"/>
        <v>46722</v>
      </c>
      <c r="O45" s="185" t="str">
        <f t="shared" si="22"/>
        <v>Total</v>
      </c>
      <c r="P45" s="120">
        <f t="shared" si="12"/>
        <v>38</v>
      </c>
    </row>
    <row r="46" spans="1:18" x14ac:dyDescent="0.25">
      <c r="A46" s="120">
        <f t="shared" si="10"/>
        <v>39</v>
      </c>
      <c r="B46" s="218" t="s">
        <v>239</v>
      </c>
      <c r="C46" s="219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123"/>
      <c r="P46" s="120">
        <f t="shared" si="12"/>
        <v>39</v>
      </c>
    </row>
    <row r="47" spans="1:18" x14ac:dyDescent="0.25">
      <c r="A47" s="120">
        <f t="shared" si="10"/>
        <v>40</v>
      </c>
      <c r="B47" s="125" t="s">
        <v>521</v>
      </c>
      <c r="C47" s="117">
        <f>C20*1000</f>
        <v>152437609.16887999</v>
      </c>
      <c r="D47" s="197">
        <f t="shared" ref="D47:N47" si="23">D20*1000</f>
        <v>146528225.82946163</v>
      </c>
      <c r="E47" s="197">
        <f t="shared" si="23"/>
        <v>145835398.43206066</v>
      </c>
      <c r="F47" s="197">
        <f t="shared" si="23"/>
        <v>145639222.09793228</v>
      </c>
      <c r="G47" s="197">
        <f t="shared" si="23"/>
        <v>149255176.27291122</v>
      </c>
      <c r="H47" s="197">
        <f t="shared" si="23"/>
        <v>156567064.97302711</v>
      </c>
      <c r="I47" s="197">
        <f t="shared" si="23"/>
        <v>172808979.90553504</v>
      </c>
      <c r="J47" s="197">
        <f t="shared" si="23"/>
        <v>177553511.31000701</v>
      </c>
      <c r="K47" s="197">
        <f t="shared" si="23"/>
        <v>186422636.60996923</v>
      </c>
      <c r="L47" s="197">
        <f t="shared" si="23"/>
        <v>168894616.28708467</v>
      </c>
      <c r="M47" s="197">
        <f t="shared" si="23"/>
        <v>153836371.36261904</v>
      </c>
      <c r="N47" s="197">
        <f t="shared" si="23"/>
        <v>147743219.46485341</v>
      </c>
      <c r="O47" s="846">
        <f>SUM(C47:N47)</f>
        <v>1903522031.7143412</v>
      </c>
      <c r="P47" s="120">
        <f t="shared" si="12"/>
        <v>40</v>
      </c>
    </row>
    <row r="48" spans="1:18" x14ac:dyDescent="0.25">
      <c r="A48" s="120">
        <f t="shared" si="10"/>
        <v>41</v>
      </c>
      <c r="B48" s="125" t="s">
        <v>522</v>
      </c>
      <c r="C48" s="117">
        <f t="shared" ref="C48:N48" si="24">C21*1000</f>
        <v>5418477.1808514334</v>
      </c>
      <c r="D48" s="197">
        <f t="shared" si="24"/>
        <v>4950362.0987190753</v>
      </c>
      <c r="E48" s="197">
        <f t="shared" si="24"/>
        <v>3635932.6576441634</v>
      </c>
      <c r="F48" s="197">
        <f t="shared" si="24"/>
        <v>2188794.1178325163</v>
      </c>
      <c r="G48" s="197">
        <f t="shared" si="24"/>
        <v>2394919.4892067104</v>
      </c>
      <c r="H48" s="197">
        <f t="shared" si="24"/>
        <v>2831240.1534837577</v>
      </c>
      <c r="I48" s="197">
        <f t="shared" si="24"/>
        <v>2183321.1587979528</v>
      </c>
      <c r="J48" s="197">
        <f t="shared" si="24"/>
        <v>4511976.6323372908</v>
      </c>
      <c r="K48" s="197">
        <f t="shared" si="24"/>
        <v>6955164.1350278351</v>
      </c>
      <c r="L48" s="197">
        <f t="shared" si="24"/>
        <v>6251198.115722049</v>
      </c>
      <c r="M48" s="197">
        <f t="shared" si="24"/>
        <v>5674833.1496255528</v>
      </c>
      <c r="N48" s="197">
        <f t="shared" si="24"/>
        <v>5771153.8896126933</v>
      </c>
      <c r="O48" s="846">
        <f t="shared" ref="O48:O50" si="25">SUM(C48:N48)</f>
        <v>52767372.778861031</v>
      </c>
      <c r="P48" s="120">
        <f t="shared" si="12"/>
        <v>41</v>
      </c>
    </row>
    <row r="49" spans="1:16" x14ac:dyDescent="0.25">
      <c r="A49" s="120">
        <f t="shared" si="10"/>
        <v>42</v>
      </c>
      <c r="B49" s="125" t="s">
        <v>523</v>
      </c>
      <c r="C49" s="117">
        <f t="shared" ref="C49:N49" si="26">C22*1000</f>
        <v>76734101.485277578</v>
      </c>
      <c r="D49" s="197">
        <f t="shared" si="26"/>
        <v>74238821.590312481</v>
      </c>
      <c r="E49" s="197">
        <f t="shared" si="26"/>
        <v>76625350.275132716</v>
      </c>
      <c r="F49" s="197">
        <f t="shared" si="26"/>
        <v>80910806.570538074</v>
      </c>
      <c r="G49" s="197">
        <f t="shared" si="26"/>
        <v>80096883.966718748</v>
      </c>
      <c r="H49" s="197">
        <f t="shared" si="26"/>
        <v>81767774.979391113</v>
      </c>
      <c r="I49" s="197">
        <f t="shared" si="26"/>
        <v>89579268.103492856</v>
      </c>
      <c r="J49" s="197">
        <f t="shared" si="26"/>
        <v>94749248.161719054</v>
      </c>
      <c r="K49" s="197">
        <f t="shared" si="26"/>
        <v>100678963.41718495</v>
      </c>
      <c r="L49" s="197">
        <f t="shared" si="26"/>
        <v>95728077.268939406</v>
      </c>
      <c r="M49" s="197">
        <f t="shared" si="26"/>
        <v>92429132.706686959</v>
      </c>
      <c r="N49" s="197">
        <f t="shared" si="26"/>
        <v>94057997.520439103</v>
      </c>
      <c r="O49" s="846">
        <f t="shared" si="25"/>
        <v>1037596426.0458331</v>
      </c>
      <c r="P49" s="120">
        <f t="shared" si="12"/>
        <v>42</v>
      </c>
    </row>
    <row r="50" spans="1:16" x14ac:dyDescent="0.25">
      <c r="A50" s="120">
        <f t="shared" si="10"/>
        <v>43</v>
      </c>
      <c r="B50" s="125" t="s">
        <v>524</v>
      </c>
      <c r="C50" s="117">
        <f t="shared" ref="C50:N50" si="27">C23*1000</f>
        <v>435002982.62123066</v>
      </c>
      <c r="D50" s="197">
        <f t="shared" si="27"/>
        <v>417245929.50055403</v>
      </c>
      <c r="E50" s="197">
        <f t="shared" si="27"/>
        <v>415499724.61433089</v>
      </c>
      <c r="F50" s="197">
        <f t="shared" si="27"/>
        <v>413971090.23463053</v>
      </c>
      <c r="G50" s="197">
        <f t="shared" si="27"/>
        <v>425483432.09103072</v>
      </c>
      <c r="H50" s="197">
        <f t="shared" si="27"/>
        <v>450598089.49600339</v>
      </c>
      <c r="I50" s="197">
        <f t="shared" si="27"/>
        <v>492530275.63424426</v>
      </c>
      <c r="J50" s="197">
        <f t="shared" si="27"/>
        <v>511800689.07681048</v>
      </c>
      <c r="K50" s="197">
        <f t="shared" si="27"/>
        <v>542491161.46823645</v>
      </c>
      <c r="L50" s="197">
        <f t="shared" si="27"/>
        <v>491500782.83301258</v>
      </c>
      <c r="M50" s="197">
        <f t="shared" si="27"/>
        <v>451482041.87507278</v>
      </c>
      <c r="N50" s="197">
        <f t="shared" si="27"/>
        <v>438504208.11148858</v>
      </c>
      <c r="O50" s="846">
        <f t="shared" si="25"/>
        <v>5486110407.5566444</v>
      </c>
      <c r="P50" s="120">
        <f t="shared" si="12"/>
        <v>43</v>
      </c>
    </row>
    <row r="51" spans="1:16" x14ac:dyDescent="0.25">
      <c r="A51" s="120">
        <f t="shared" si="10"/>
        <v>44</v>
      </c>
      <c r="B51" s="125" t="s">
        <v>525</v>
      </c>
      <c r="C51" s="117">
        <f t="shared" ref="C51:N51" si="28">C24*1000</f>
        <v>96112572.236006811</v>
      </c>
      <c r="D51" s="197">
        <f t="shared" si="28"/>
        <v>86681888.42029734</v>
      </c>
      <c r="E51" s="197">
        <f t="shared" si="28"/>
        <v>93739587.70299609</v>
      </c>
      <c r="F51" s="197">
        <f t="shared" si="28"/>
        <v>94237534.362521052</v>
      </c>
      <c r="G51" s="197">
        <f t="shared" si="28"/>
        <v>92955039.765167326</v>
      </c>
      <c r="H51" s="197">
        <f t="shared" si="28"/>
        <v>93795617.042102918</v>
      </c>
      <c r="I51" s="197">
        <f t="shared" si="28"/>
        <v>102316336.65667158</v>
      </c>
      <c r="J51" s="197">
        <f t="shared" si="28"/>
        <v>102737424.79604021</v>
      </c>
      <c r="K51" s="197">
        <f t="shared" si="28"/>
        <v>107504348.86294022</v>
      </c>
      <c r="L51" s="197">
        <f t="shared" si="28"/>
        <v>101347398.3297703</v>
      </c>
      <c r="M51" s="197">
        <f t="shared" si="28"/>
        <v>98054238.983735561</v>
      </c>
      <c r="N51" s="197">
        <f t="shared" si="28"/>
        <v>95348588.420176566</v>
      </c>
      <c r="O51" s="846">
        <f>SUM(C51:N51)</f>
        <v>1164830575.5784259</v>
      </c>
      <c r="P51" s="120">
        <f t="shared" si="12"/>
        <v>44</v>
      </c>
    </row>
    <row r="52" spans="1:16" ht="18.75" thickBot="1" x14ac:dyDescent="0.3">
      <c r="A52" s="120">
        <f t="shared" si="10"/>
        <v>45</v>
      </c>
      <c r="B52" s="120" t="s">
        <v>17</v>
      </c>
      <c r="C52" s="221">
        <f>SUM(C47:C51)</f>
        <v>765705742.69224656</v>
      </c>
      <c r="D52" s="222">
        <f t="shared" ref="D52:O52" si="29">SUM(D47:D51)</f>
        <v>729645227.43934464</v>
      </c>
      <c r="E52" s="222">
        <f t="shared" si="29"/>
        <v>735335993.68216455</v>
      </c>
      <c r="F52" s="222">
        <f t="shared" si="29"/>
        <v>736947447.38345444</v>
      </c>
      <c r="G52" s="222">
        <f t="shared" si="29"/>
        <v>750185451.58503473</v>
      </c>
      <c r="H52" s="222">
        <f t="shared" si="29"/>
        <v>785559786.64400828</v>
      </c>
      <c r="I52" s="222">
        <f t="shared" si="29"/>
        <v>859418181.45874166</v>
      </c>
      <c r="J52" s="222">
        <f t="shared" si="29"/>
        <v>891352849.97691405</v>
      </c>
      <c r="K52" s="222">
        <f t="shared" si="29"/>
        <v>944052274.49335861</v>
      </c>
      <c r="L52" s="222">
        <f t="shared" si="29"/>
        <v>863722072.83452904</v>
      </c>
      <c r="M52" s="222">
        <f t="shared" si="29"/>
        <v>801476618.07773995</v>
      </c>
      <c r="N52" s="222">
        <f t="shared" si="29"/>
        <v>781425167.40657043</v>
      </c>
      <c r="O52" s="223">
        <f t="shared" si="29"/>
        <v>9644826813.6741066</v>
      </c>
      <c r="P52" s="120">
        <f t="shared" si="12"/>
        <v>45</v>
      </c>
    </row>
    <row r="53" spans="1:16" ht="19.5" thickTop="1" thickBot="1" x14ac:dyDescent="0.3">
      <c r="A53" s="121">
        <f>A52+1</f>
        <v>46</v>
      </c>
      <c r="B53" s="126"/>
      <c r="C53" s="212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124"/>
      <c r="P53" s="121">
        <f>P52+1</f>
        <v>46</v>
      </c>
    </row>
  </sheetData>
  <mergeCells count="4">
    <mergeCell ref="B2:O2"/>
    <mergeCell ref="B3:O3"/>
    <mergeCell ref="B29:O29"/>
    <mergeCell ref="B30:O30"/>
  </mergeCells>
  <printOptions horizontalCentered="1"/>
  <pageMargins left="0.25" right="0.25" top="0.5" bottom="0.5" header="0.25" footer="0.25"/>
  <pageSetup scale="50" orientation="landscape" r:id="rId1"/>
  <headerFooter scaleWithDoc="0" alignWithMargins="0">
    <oddFooter>&amp;L&amp;"Times New Roman,Regular"&amp;11&amp;F&amp;C&amp;"Times New Roman,Regular"&amp;11Page 1.2&amp;R&amp;"Times New Roman,Regular"&amp;11&amp;A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29"/>
  <sheetViews>
    <sheetView zoomScale="80" zoomScaleNormal="80" zoomScaleSheetLayoutView="100" workbookViewId="0">
      <selection activeCell="D29" sqref="D29"/>
    </sheetView>
  </sheetViews>
  <sheetFormatPr defaultColWidth="8.5703125" defaultRowHeight="12.75" x14ac:dyDescent="0.2"/>
  <cols>
    <col min="1" max="1" width="5.5703125" style="1" customWidth="1"/>
    <col min="2" max="2" width="52.5703125" style="2" customWidth="1"/>
    <col min="3" max="3" width="18.5703125" style="2" customWidth="1"/>
    <col min="4" max="4" width="21.42578125" style="1" bestFit="1" customWidth="1"/>
    <col min="5" max="5" width="20.5703125" style="1" bestFit="1" customWidth="1"/>
    <col min="6" max="6" width="18.5703125" style="1" customWidth="1"/>
    <col min="7" max="7" width="36.28515625" style="1" customWidth="1"/>
    <col min="8" max="8" width="5.5703125" style="1" customWidth="1"/>
    <col min="9" max="10" width="15.5703125" style="1" customWidth="1"/>
    <col min="11" max="16384" width="8.5703125" style="1"/>
  </cols>
  <sheetData>
    <row r="1" spans="1:8" ht="15.75" x14ac:dyDescent="0.2">
      <c r="B1" s="5"/>
      <c r="C1" s="5"/>
      <c r="D1" s="6"/>
      <c r="E1" s="6"/>
      <c r="F1" s="6"/>
      <c r="G1" s="6"/>
    </row>
    <row r="2" spans="1:8" ht="15.75" x14ac:dyDescent="0.2">
      <c r="B2" s="5" t="s">
        <v>1</v>
      </c>
      <c r="C2" s="5"/>
      <c r="D2" s="6"/>
      <c r="E2" s="6"/>
      <c r="F2" s="6"/>
      <c r="G2" s="6"/>
    </row>
    <row r="3" spans="1:8" ht="15.75" customHeight="1" x14ac:dyDescent="0.2">
      <c r="B3" s="970" t="str">
        <f>'Stmnt BD - Recorded KWH'!A4</f>
        <v>2027 - TRBAA Rate Filing</v>
      </c>
      <c r="C3" s="970"/>
      <c r="D3" s="970"/>
      <c r="E3" s="970"/>
      <c r="F3" s="970"/>
      <c r="G3" s="970"/>
    </row>
    <row r="4" spans="1:8" ht="15.75" x14ac:dyDescent="0.2">
      <c r="B4" s="5" t="s">
        <v>242</v>
      </c>
      <c r="C4" s="5"/>
      <c r="D4" s="6"/>
      <c r="E4" s="6"/>
      <c r="F4" s="6"/>
      <c r="G4" s="6"/>
    </row>
    <row r="5" spans="1:8" ht="16.5" thickBot="1" x14ac:dyDescent="0.25">
      <c r="B5" s="5"/>
      <c r="C5" s="5"/>
      <c r="D5" s="6"/>
      <c r="E5" s="6"/>
      <c r="F5" s="6"/>
      <c r="G5" s="6"/>
    </row>
    <row r="6" spans="1:8" ht="15.75" x14ac:dyDescent="0.25">
      <c r="A6" s="286"/>
      <c r="B6" s="583"/>
      <c r="C6" s="541" t="s">
        <v>3</v>
      </c>
      <c r="D6" s="541" t="s">
        <v>4</v>
      </c>
      <c r="E6" s="541" t="s">
        <v>107</v>
      </c>
      <c r="F6" s="541" t="s">
        <v>108</v>
      </c>
      <c r="G6" s="455"/>
      <c r="H6" s="542"/>
    </row>
    <row r="7" spans="1:8" ht="15.75" x14ac:dyDescent="0.25">
      <c r="A7" s="545" t="s">
        <v>7</v>
      </c>
      <c r="B7" s="75"/>
      <c r="C7" s="75" t="s">
        <v>243</v>
      </c>
      <c r="D7" s="581" t="s">
        <v>210</v>
      </c>
      <c r="E7" s="581" t="s">
        <v>211</v>
      </c>
      <c r="F7" s="75"/>
      <c r="G7" s="581"/>
      <c r="H7" s="546" t="s">
        <v>7</v>
      </c>
    </row>
    <row r="8" spans="1:8" ht="16.5" thickBot="1" x14ac:dyDescent="0.3">
      <c r="A8" s="563" t="s">
        <v>10</v>
      </c>
      <c r="B8" s="153" t="s">
        <v>163</v>
      </c>
      <c r="C8" s="153" t="s">
        <v>244</v>
      </c>
      <c r="D8" s="587" t="s">
        <v>245</v>
      </c>
      <c r="E8" s="587" t="s">
        <v>245</v>
      </c>
      <c r="F8" s="153" t="s">
        <v>17</v>
      </c>
      <c r="G8" s="587" t="s">
        <v>15</v>
      </c>
      <c r="H8" s="564" t="s">
        <v>10</v>
      </c>
    </row>
    <row r="9" spans="1:8" ht="15.75" x14ac:dyDescent="0.25">
      <c r="A9" s="332"/>
      <c r="B9" s="10"/>
      <c r="C9" s="75"/>
      <c r="D9" s="19"/>
      <c r="E9" s="19"/>
      <c r="F9" s="10"/>
      <c r="G9" s="23"/>
      <c r="H9" s="348"/>
    </row>
    <row r="10" spans="1:8" ht="16.5" thickBot="1" x14ac:dyDescent="0.3">
      <c r="A10" s="262">
        <v>1</v>
      </c>
      <c r="B10" s="18" t="s">
        <v>498</v>
      </c>
      <c r="C10" s="42">
        <f>'WP 4 Monthly TRBAA '!O38</f>
        <v>-6237733.0167837702</v>
      </c>
      <c r="D10" s="19"/>
      <c r="E10" s="19"/>
      <c r="F10" s="24"/>
      <c r="G10" s="23" t="s">
        <v>165</v>
      </c>
      <c r="H10" s="263">
        <v>1</v>
      </c>
    </row>
    <row r="11" spans="1:8" ht="16.5" thickTop="1" x14ac:dyDescent="0.25">
      <c r="A11" s="262">
        <f t="shared" ref="A11:A24" si="0">A10+1</f>
        <v>2</v>
      </c>
      <c r="B11" s="18"/>
      <c r="C11" s="18"/>
      <c r="D11" s="19"/>
      <c r="E11" s="19"/>
      <c r="F11" s="24"/>
      <c r="G11" s="23"/>
      <c r="H11" s="263">
        <f t="shared" ref="H11:H22" si="1">H10+1</f>
        <v>2</v>
      </c>
    </row>
    <row r="12" spans="1:8" ht="15.75" x14ac:dyDescent="0.25">
      <c r="A12" s="262">
        <f t="shared" si="0"/>
        <v>3</v>
      </c>
      <c r="B12" s="18" t="s">
        <v>246</v>
      </c>
      <c r="C12" s="811"/>
      <c r="D12" s="44">
        <f>'WP 6 HV LV Alloc Summary'!C26</f>
        <v>-36254660.200000003</v>
      </c>
      <c r="E12" s="44">
        <f>'WP 6 HV LV Alloc Summary'!D26</f>
        <v>0</v>
      </c>
      <c r="F12" s="398">
        <f>SUM(D12:E12)</f>
        <v>-36254660.200000003</v>
      </c>
      <c r="G12" s="736" t="s">
        <v>193</v>
      </c>
      <c r="H12" s="263">
        <f t="shared" si="1"/>
        <v>3</v>
      </c>
    </row>
    <row r="13" spans="1:8" ht="15.75" x14ac:dyDescent="0.25">
      <c r="A13" s="262">
        <f t="shared" si="0"/>
        <v>4</v>
      </c>
      <c r="B13" s="18"/>
      <c r="C13" s="811"/>
      <c r="D13" s="31"/>
      <c r="E13" s="31"/>
      <c r="F13" s="39"/>
      <c r="G13" s="23"/>
      <c r="H13" s="263">
        <f t="shared" si="1"/>
        <v>4</v>
      </c>
    </row>
    <row r="14" spans="1:8" ht="15.75" x14ac:dyDescent="0.25">
      <c r="A14" s="262">
        <f t="shared" si="0"/>
        <v>5</v>
      </c>
      <c r="B14" s="18" t="s">
        <v>247</v>
      </c>
      <c r="C14" s="811"/>
      <c r="D14" s="31">
        <f>'WP 6 HV LV Alloc Summary'!C33</f>
        <v>7943.4000000000005</v>
      </c>
      <c r="E14" s="31">
        <f>'WP 6 HV LV Alloc Summary'!D33</f>
        <v>10056.6</v>
      </c>
      <c r="F14" s="39">
        <f>SUM(D14:E14)</f>
        <v>18000</v>
      </c>
      <c r="G14" s="23" t="s">
        <v>195</v>
      </c>
      <c r="H14" s="263">
        <f t="shared" si="1"/>
        <v>5</v>
      </c>
    </row>
    <row r="15" spans="1:8" ht="15.75" x14ac:dyDescent="0.25">
      <c r="A15" s="262">
        <f t="shared" si="0"/>
        <v>6</v>
      </c>
      <c r="B15" s="65"/>
      <c r="C15" s="811"/>
      <c r="D15" s="31"/>
      <c r="E15" s="31"/>
      <c r="F15" s="237"/>
      <c r="G15" s="61"/>
      <c r="H15" s="263">
        <f t="shared" si="1"/>
        <v>6</v>
      </c>
    </row>
    <row r="16" spans="1:8" ht="15.75" x14ac:dyDescent="0.25">
      <c r="A16" s="262">
        <f t="shared" si="0"/>
        <v>7</v>
      </c>
      <c r="B16" s="65" t="s">
        <v>248</v>
      </c>
      <c r="C16" s="811"/>
      <c r="D16" s="31">
        <f>'WP 6 HV LV Alloc Summary'!C39</f>
        <v>-245518.45200859819</v>
      </c>
      <c r="E16" s="31">
        <f>'WP 6 HV LV Alloc Summary'!D39</f>
        <v>-310834.26045140222</v>
      </c>
      <c r="F16" s="237">
        <f>SUM(D16:E16)</f>
        <v>-556352.71246000042</v>
      </c>
      <c r="G16" s="61" t="s">
        <v>197</v>
      </c>
      <c r="H16" s="263">
        <f t="shared" si="1"/>
        <v>7</v>
      </c>
    </row>
    <row r="17" spans="1:8" ht="15.75" x14ac:dyDescent="0.25">
      <c r="A17" s="262">
        <f t="shared" si="0"/>
        <v>8</v>
      </c>
      <c r="B17" s="65"/>
      <c r="C17" s="812"/>
      <c r="D17" s="31"/>
      <c r="E17" s="31"/>
      <c r="F17" s="237"/>
      <c r="G17" s="61"/>
      <c r="H17" s="263">
        <f t="shared" si="1"/>
        <v>8</v>
      </c>
    </row>
    <row r="18" spans="1:8" ht="15.75" x14ac:dyDescent="0.25">
      <c r="A18" s="262">
        <f t="shared" si="0"/>
        <v>9</v>
      </c>
      <c r="B18" s="65" t="s">
        <v>249</v>
      </c>
      <c r="C18" s="812"/>
      <c r="D18" s="38">
        <f>'WP 6 HV LV Alloc Summary'!C49</f>
        <v>-7117514.1613034019</v>
      </c>
      <c r="E18" s="38">
        <f>'WP 6 HV LV Alloc Summary'!D49</f>
        <v>-5685289.8962365985</v>
      </c>
      <c r="F18" s="40">
        <f>SUM(D18:E18)</f>
        <v>-12802804.057539999</v>
      </c>
      <c r="G18" s="61" t="s">
        <v>198</v>
      </c>
      <c r="H18" s="263">
        <f t="shared" si="1"/>
        <v>9</v>
      </c>
    </row>
    <row r="19" spans="1:8" ht="15.75" x14ac:dyDescent="0.25">
      <c r="A19" s="262">
        <f t="shared" si="0"/>
        <v>10</v>
      </c>
      <c r="B19" s="18"/>
      <c r="C19" s="18"/>
      <c r="D19" s="19"/>
      <c r="E19" s="19"/>
      <c r="F19" s="19"/>
      <c r="G19" s="23"/>
      <c r="H19" s="263">
        <f t="shared" si="1"/>
        <v>10</v>
      </c>
    </row>
    <row r="20" spans="1:8" ht="15.75" x14ac:dyDescent="0.25">
      <c r="A20" s="262">
        <f t="shared" si="0"/>
        <v>11</v>
      </c>
      <c r="B20" s="18" t="s">
        <v>499</v>
      </c>
      <c r="C20" s="18"/>
      <c r="D20" s="14">
        <f>SUM(D12:D18)</f>
        <v>-43609749.413312003</v>
      </c>
      <c r="E20" s="14">
        <f>SUM(E12:E18)</f>
        <v>-5986067.5566880004</v>
      </c>
      <c r="F20" s="14">
        <f>SUM(F12:F18)</f>
        <v>-49595816.970000006</v>
      </c>
      <c r="G20" s="23" t="s">
        <v>250</v>
      </c>
      <c r="H20" s="263">
        <f t="shared" si="1"/>
        <v>11</v>
      </c>
    </row>
    <row r="21" spans="1:8" ht="15.75" x14ac:dyDescent="0.25">
      <c r="A21" s="262">
        <f t="shared" si="0"/>
        <v>12</v>
      </c>
      <c r="B21" s="11"/>
      <c r="C21" s="11"/>
      <c r="D21" s="16"/>
      <c r="E21" s="16"/>
      <c r="F21" s="17"/>
      <c r="G21" s="10"/>
      <c r="H21" s="263">
        <f t="shared" si="1"/>
        <v>12</v>
      </c>
    </row>
    <row r="22" spans="1:8" ht="15.75" x14ac:dyDescent="0.25">
      <c r="A22" s="262">
        <f t="shared" si="0"/>
        <v>13</v>
      </c>
      <c r="B22" s="18" t="s">
        <v>251</v>
      </c>
      <c r="C22" s="18"/>
      <c r="D22" s="25">
        <f>D20/$F20</f>
        <v>0.87930297508136801</v>
      </c>
      <c r="E22" s="25">
        <f>E20/$F20</f>
        <v>0.12069702491863196</v>
      </c>
      <c r="F22" s="30">
        <f>SUM(D22:E22)</f>
        <v>1</v>
      </c>
      <c r="G22" s="23" t="s">
        <v>252</v>
      </c>
      <c r="H22" s="263">
        <f t="shared" si="1"/>
        <v>13</v>
      </c>
    </row>
    <row r="23" spans="1:8" ht="15.75" x14ac:dyDescent="0.25">
      <c r="A23" s="262">
        <f t="shared" si="0"/>
        <v>14</v>
      </c>
      <c r="B23" s="18"/>
      <c r="C23" s="18"/>
      <c r="D23" s="21"/>
      <c r="E23" s="21"/>
      <c r="F23" s="21"/>
      <c r="G23" s="23"/>
      <c r="H23" s="263">
        <f>H22+1</f>
        <v>14</v>
      </c>
    </row>
    <row r="24" spans="1:8" ht="19.5" thickBot="1" x14ac:dyDescent="0.3">
      <c r="A24" s="262">
        <f t="shared" si="0"/>
        <v>15</v>
      </c>
      <c r="B24" s="11" t="s">
        <v>253</v>
      </c>
      <c r="C24" s="11"/>
      <c r="D24" s="232">
        <f>ROUND($C10*D22,0)</f>
        <v>-5484857</v>
      </c>
      <c r="E24" s="232">
        <f>ROUND($C10*E22,0)</f>
        <v>-752876</v>
      </c>
      <c r="F24" s="232">
        <f>SUM(D24:E24)</f>
        <v>-6237733</v>
      </c>
      <c r="G24" s="23" t="s">
        <v>254</v>
      </c>
      <c r="H24" s="263">
        <f>H23+1</f>
        <v>15</v>
      </c>
    </row>
    <row r="25" spans="1:8" ht="17.25" thickTop="1" thickBot="1" x14ac:dyDescent="0.3">
      <c r="A25" s="570"/>
      <c r="B25" s="81"/>
      <c r="C25" s="81"/>
      <c r="D25" s="471"/>
      <c r="E25" s="81"/>
      <c r="F25" s="81"/>
      <c r="G25" s="81"/>
      <c r="H25" s="406"/>
    </row>
    <row r="26" spans="1:8" ht="15.75" x14ac:dyDescent="0.25">
      <c r="A26" s="22"/>
      <c r="B26" s="22"/>
      <c r="C26" s="22"/>
      <c r="D26" s="22"/>
      <c r="E26" s="22"/>
      <c r="F26" s="22"/>
      <c r="G26" s="22"/>
      <c r="H26" s="22"/>
    </row>
    <row r="27" spans="1:8" ht="18.75" x14ac:dyDescent="0.25">
      <c r="A27" s="83">
        <v>1</v>
      </c>
      <c r="B27" s="22" t="s">
        <v>255</v>
      </c>
      <c r="C27" s="22"/>
      <c r="D27" s="22"/>
      <c r="E27" s="22"/>
      <c r="F27" s="22"/>
      <c r="G27" s="22"/>
      <c r="H27" s="22"/>
    </row>
    <row r="28" spans="1:8" ht="18.75" x14ac:dyDescent="0.25">
      <c r="A28" s="83"/>
      <c r="B28" s="22"/>
      <c r="C28" s="22"/>
      <c r="D28" s="22"/>
      <c r="E28" s="22"/>
      <c r="F28" s="22"/>
      <c r="G28" s="22"/>
      <c r="H28" s="22"/>
    </row>
    <row r="29" spans="1:8" ht="18.75" x14ac:dyDescent="0.25">
      <c r="A29" s="83"/>
      <c r="B29" s="22"/>
      <c r="C29" s="22"/>
      <c r="D29" s="22"/>
      <c r="E29" s="22"/>
      <c r="F29" s="22"/>
      <c r="G29" s="22"/>
      <c r="H29" s="22"/>
    </row>
  </sheetData>
  <mergeCells count="1">
    <mergeCell ref="B3:G3"/>
  </mergeCells>
  <phoneticPr fontId="0" type="noConversion"/>
  <printOptions horizontalCentered="1"/>
  <pageMargins left="0.5" right="0.5" top="0.5" bottom="0.5" header="0.25" footer="0.25"/>
  <pageSetup scale="72" orientation="landscape" r:id="rId1"/>
  <headerFooter scaleWithDoc="0" alignWithMargins="0">
    <oddFooter>&amp;L&amp;"Times New Roman,Regular"&amp;11&amp;F&amp;C&amp;"Times New Roman,Regular"&amp;11Page 2.1&amp;R&amp;"Times New Roman,Regular"&amp;11&amp;A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17E2-3CF5-42BB-A5C6-39DBD5ACCBFA}">
  <sheetPr>
    <pageSetUpPr fitToPage="1"/>
  </sheetPr>
  <dimension ref="A1:G26"/>
  <sheetViews>
    <sheetView zoomScale="80" zoomScaleNormal="80" workbookViewId="0">
      <selection activeCell="B23" sqref="B23"/>
    </sheetView>
  </sheetViews>
  <sheetFormatPr defaultColWidth="8.5703125" defaultRowHeight="15.75" x14ac:dyDescent="0.25"/>
  <cols>
    <col min="1" max="1" width="5.5703125" style="22" customWidth="1"/>
    <col min="2" max="2" width="60.5703125" style="50" customWidth="1"/>
    <col min="3" max="5" width="18.5703125" style="22" customWidth="1"/>
    <col min="6" max="6" width="40.5703125" style="22" customWidth="1"/>
    <col min="7" max="7" width="5.5703125" style="22" customWidth="1"/>
    <col min="8" max="9" width="15.5703125" style="22" customWidth="1"/>
    <col min="10" max="16384" width="8.5703125" style="22"/>
  </cols>
  <sheetData>
    <row r="1" spans="1:7" x14ac:dyDescent="0.25">
      <c r="B1" s="5"/>
      <c r="C1" s="5"/>
      <c r="D1" s="5"/>
      <c r="E1" s="5"/>
      <c r="F1" s="5"/>
    </row>
    <row r="2" spans="1:7" x14ac:dyDescent="0.25">
      <c r="B2" s="5" t="s">
        <v>1</v>
      </c>
      <c r="C2" s="5"/>
      <c r="D2" s="5"/>
      <c r="E2" s="5"/>
      <c r="F2" s="5"/>
    </row>
    <row r="3" spans="1:7" x14ac:dyDescent="0.25">
      <c r="B3" s="5" t="str">
        <f>'Stmnt BK1 - TRBAA'!B4</f>
        <v>2027 - TRBAA Rate Filing</v>
      </c>
      <c r="C3" s="5"/>
      <c r="D3" s="5"/>
      <c r="E3" s="5"/>
      <c r="F3" s="5"/>
    </row>
    <row r="4" spans="1:7" x14ac:dyDescent="0.25">
      <c r="B4" s="5" t="s">
        <v>256</v>
      </c>
      <c r="C4" s="5"/>
      <c r="D4" s="5"/>
      <c r="E4" s="5"/>
      <c r="F4" s="5"/>
    </row>
    <row r="5" spans="1:7" ht="16.5" thickBot="1" x14ac:dyDescent="0.3">
      <c r="B5" s="5"/>
      <c r="C5" s="5"/>
      <c r="D5" s="5"/>
      <c r="E5" s="5"/>
      <c r="F5" s="5"/>
    </row>
    <row r="6" spans="1:7" x14ac:dyDescent="0.25">
      <c r="A6" s="591" t="s">
        <v>7</v>
      </c>
      <c r="B6" s="980" t="s">
        <v>163</v>
      </c>
      <c r="C6" s="592" t="s">
        <v>257</v>
      </c>
      <c r="D6" s="593" t="s">
        <v>258</v>
      </c>
      <c r="E6" s="592" t="s">
        <v>259</v>
      </c>
      <c r="F6" s="594"/>
      <c r="G6" s="553" t="s">
        <v>7</v>
      </c>
    </row>
    <row r="7" spans="1:7" ht="16.5" thickBot="1" x14ac:dyDescent="0.3">
      <c r="A7" s="181" t="s">
        <v>10</v>
      </c>
      <c r="B7" s="985"/>
      <c r="C7" s="587" t="s">
        <v>210</v>
      </c>
      <c r="D7" s="578" t="s">
        <v>211</v>
      </c>
      <c r="E7" s="587" t="s">
        <v>260</v>
      </c>
      <c r="F7" s="587" t="s">
        <v>15</v>
      </c>
      <c r="G7" s="564" t="s">
        <v>10</v>
      </c>
    </row>
    <row r="8" spans="1:7" x14ac:dyDescent="0.25">
      <c r="A8" s="246"/>
      <c r="C8" s="166"/>
      <c r="D8" s="183"/>
      <c r="E8" s="166"/>
      <c r="F8" s="249"/>
      <c r="G8" s="123"/>
    </row>
    <row r="9" spans="1:7" ht="16.5" thickBot="1" x14ac:dyDescent="0.3">
      <c r="A9" s="120">
        <v>1</v>
      </c>
      <c r="B9" s="50" t="s">
        <v>261</v>
      </c>
      <c r="C9" s="17"/>
      <c r="D9" s="810"/>
      <c r="E9" s="232">
        <v>-9446352</v>
      </c>
      <c r="F9" s="33" t="s">
        <v>190</v>
      </c>
      <c r="G9" s="349">
        <v>1</v>
      </c>
    </row>
    <row r="10" spans="1:7" ht="16.5" thickTop="1" x14ac:dyDescent="0.25">
      <c r="A10" s="120">
        <f>A9+1</f>
        <v>2</v>
      </c>
      <c r="C10" s="17"/>
      <c r="E10" s="17"/>
      <c r="F10" s="91"/>
      <c r="G10" s="349">
        <f>G9+1</f>
        <v>2</v>
      </c>
    </row>
    <row r="11" spans="1:7" ht="18.75" x14ac:dyDescent="0.35">
      <c r="A11" s="120">
        <f t="shared" ref="A11:A15" si="0">A10+1</f>
        <v>3</v>
      </c>
      <c r="B11" s="50" t="s">
        <v>549</v>
      </c>
      <c r="C11" s="141">
        <f>'Stmnt BK2 - TRBAA'!C13</f>
        <v>590788908.51250827</v>
      </c>
      <c r="D11" s="327">
        <f>'Stmnt BK2 - TRBAA'!D13</f>
        <v>754739449.99175179</v>
      </c>
      <c r="E11" s="141">
        <f>SUM(C11:D11)</f>
        <v>1345528358.5042601</v>
      </c>
      <c r="F11" s="509" t="s">
        <v>262</v>
      </c>
      <c r="G11" s="349">
        <f t="shared" ref="G11:G15" si="1">G10+1</f>
        <v>3</v>
      </c>
    </row>
    <row r="12" spans="1:7" x14ac:dyDescent="0.25">
      <c r="A12" s="120">
        <f t="shared" si="0"/>
        <v>4</v>
      </c>
      <c r="C12" s="19"/>
      <c r="D12" s="28"/>
      <c r="E12" s="19"/>
      <c r="F12" s="33"/>
      <c r="G12" s="349">
        <f t="shared" si="1"/>
        <v>4</v>
      </c>
    </row>
    <row r="13" spans="1:7" x14ac:dyDescent="0.25">
      <c r="A13" s="120">
        <f t="shared" si="0"/>
        <v>5</v>
      </c>
      <c r="B13" s="50" t="s">
        <v>263</v>
      </c>
      <c r="C13" s="735">
        <f>C11/$E11</f>
        <v>0.43907577627665273</v>
      </c>
      <c r="D13" s="943">
        <f>D11/$E11</f>
        <v>0.56092422372334727</v>
      </c>
      <c r="E13" s="735">
        <f>SUM(C13:D13)</f>
        <v>1</v>
      </c>
      <c r="F13" s="33" t="s">
        <v>264</v>
      </c>
      <c r="G13" s="349">
        <f t="shared" si="1"/>
        <v>5</v>
      </c>
    </row>
    <row r="14" spans="1:7" x14ac:dyDescent="0.25">
      <c r="A14" s="120">
        <f t="shared" si="0"/>
        <v>6</v>
      </c>
      <c r="B14" s="508"/>
      <c r="C14" s="31"/>
      <c r="D14" s="54"/>
      <c r="E14" s="19"/>
      <c r="F14" s="33"/>
      <c r="G14" s="349">
        <f t="shared" si="1"/>
        <v>6</v>
      </c>
    </row>
    <row r="15" spans="1:7" ht="16.5" thickBot="1" x14ac:dyDescent="0.3">
      <c r="A15" s="120">
        <f t="shared" si="0"/>
        <v>7</v>
      </c>
      <c r="B15" s="50" t="s">
        <v>265</v>
      </c>
      <c r="C15" s="232">
        <f>ROUND($E$9*C13,0)</f>
        <v>-4147664</v>
      </c>
      <c r="D15" s="520">
        <f>ROUND($E$9*D13,0)</f>
        <v>-5298688</v>
      </c>
      <c r="E15" s="232">
        <f>SUM(C15:D15)</f>
        <v>-9446352</v>
      </c>
      <c r="F15" s="33" t="s">
        <v>266</v>
      </c>
      <c r="G15" s="349">
        <f t="shared" si="1"/>
        <v>7</v>
      </c>
    </row>
    <row r="16" spans="1:7" ht="17.25" thickTop="1" thickBot="1" x14ac:dyDescent="0.3">
      <c r="A16" s="121"/>
      <c r="B16" s="76"/>
      <c r="C16" s="81"/>
      <c r="D16" s="80"/>
      <c r="E16" s="81"/>
      <c r="F16" s="77"/>
      <c r="G16" s="301"/>
    </row>
    <row r="17" spans="1:7" x14ac:dyDescent="0.25">
      <c r="A17" s="37"/>
      <c r="B17" s="92"/>
      <c r="G17" s="37"/>
    </row>
    <row r="18" spans="1:7" ht="18.75" x14ac:dyDescent="0.25">
      <c r="A18" s="83">
        <v>1</v>
      </c>
      <c r="B18" s="50" t="s">
        <v>520</v>
      </c>
    </row>
    <row r="19" spans="1:7" ht="20.25" x14ac:dyDescent="0.35">
      <c r="A19" s="83">
        <v>2</v>
      </c>
      <c r="B19" s="50" t="s">
        <v>550</v>
      </c>
    </row>
    <row r="22" spans="1:7" x14ac:dyDescent="0.25">
      <c r="C22" s="847"/>
      <c r="D22" s="847"/>
      <c r="E22" s="848"/>
    </row>
    <row r="24" spans="1:7" x14ac:dyDescent="0.25">
      <c r="C24" s="143"/>
      <c r="D24" s="143"/>
      <c r="E24" s="143"/>
    </row>
    <row r="26" spans="1:7" x14ac:dyDescent="0.25">
      <c r="C26" s="143"/>
      <c r="D26" s="143"/>
      <c r="E26" s="143"/>
    </row>
  </sheetData>
  <mergeCells count="1">
    <mergeCell ref="B6:B7"/>
  </mergeCells>
  <printOptions horizontalCentered="1"/>
  <pageMargins left="0.5" right="0.5" top="0.5" bottom="0.5" header="0.25" footer="0.25"/>
  <pageSetup scale="76" orientation="landscape" r:id="rId1"/>
  <headerFooter alignWithMargins="0">
    <oddFooter>&amp;L&amp;"Times New Roman,Regular"&amp;12&amp;F&amp;C&amp;"Times New Roman,Regular"&amp;12Page 3.1&amp;R&amp;"Times New Roman,Regular"&amp;12&amp;A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72"/>
  <sheetViews>
    <sheetView zoomScale="80" zoomScaleNormal="80" workbookViewId="0">
      <pane xSplit="2" ySplit="5" topLeftCell="C6" activePane="bottomRight" state="frozen"/>
      <selection pane="topRight"/>
      <selection pane="bottomLeft"/>
      <selection pane="bottomRight" activeCell="B44" sqref="B44"/>
    </sheetView>
  </sheetViews>
  <sheetFormatPr defaultColWidth="9.28515625" defaultRowHeight="12.75" x14ac:dyDescent="0.2"/>
  <cols>
    <col min="1" max="1" width="5.5703125" style="242" customWidth="1"/>
    <col min="2" max="2" width="66.5703125" style="242" customWidth="1"/>
    <col min="3" max="4" width="16.5703125" style="242" customWidth="1"/>
    <col min="5" max="5" width="17.28515625" style="242" customWidth="1"/>
    <col min="6" max="7" width="16.5703125" style="242" customWidth="1"/>
    <col min="8" max="8" width="17.5703125" style="242" customWidth="1"/>
    <col min="9" max="11" width="16.5703125" style="242" customWidth="1"/>
    <col min="12" max="12" width="15.5703125" style="242" bestFit="1" customWidth="1"/>
    <col min="13" max="15" width="16.5703125" style="242" customWidth="1"/>
    <col min="16" max="16" width="37.42578125" style="242" bestFit="1" customWidth="1"/>
    <col min="17" max="17" width="5.5703125" style="242" customWidth="1"/>
    <col min="18" max="18" width="9.28515625" style="242"/>
    <col min="19" max="19" width="2.5703125" style="242" bestFit="1" customWidth="1"/>
    <col min="20" max="16384" width="9.28515625" style="242"/>
  </cols>
  <sheetData>
    <row r="1" spans="1:17" ht="15.75" x14ac:dyDescent="0.25">
      <c r="A1" s="22"/>
      <c r="B1" s="88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22"/>
    </row>
    <row r="2" spans="1:17" ht="16.5" thickBot="1" x14ac:dyDescent="0.3">
      <c r="A2" s="22"/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22"/>
    </row>
    <row r="3" spans="1:17" ht="15.75" x14ac:dyDescent="0.25">
      <c r="A3" s="595"/>
      <c r="B3" s="595"/>
      <c r="C3" s="286"/>
      <c r="D3" s="540"/>
      <c r="E3" s="597"/>
      <c r="F3" s="698"/>
      <c r="G3" s="286"/>
      <c r="H3" s="540"/>
      <c r="I3" s="597"/>
      <c r="J3" s="542"/>
      <c r="K3" s="286"/>
      <c r="L3" s="597"/>
      <c r="M3" s="540"/>
      <c r="N3" s="553"/>
      <c r="O3" s="596"/>
      <c r="P3" s="595"/>
      <c r="Q3" s="698"/>
    </row>
    <row r="4" spans="1:17" ht="15.75" x14ac:dyDescent="0.25">
      <c r="A4" s="186" t="s">
        <v>7</v>
      </c>
      <c r="B4" s="353"/>
      <c r="C4" s="545" t="s">
        <v>267</v>
      </c>
      <c r="D4" s="75" t="s">
        <v>268</v>
      </c>
      <c r="E4" s="572" t="s">
        <v>269</v>
      </c>
      <c r="F4" s="699" t="s">
        <v>270</v>
      </c>
      <c r="G4" s="545" t="s">
        <v>271</v>
      </c>
      <c r="H4" s="75" t="s">
        <v>272</v>
      </c>
      <c r="I4" s="572" t="s">
        <v>273</v>
      </c>
      <c r="J4" s="546" t="s">
        <v>51</v>
      </c>
      <c r="K4" s="545" t="s">
        <v>52</v>
      </c>
      <c r="L4" s="572" t="s">
        <v>53</v>
      </c>
      <c r="M4" s="75" t="s">
        <v>274</v>
      </c>
      <c r="N4" s="546" t="s">
        <v>275</v>
      </c>
      <c r="O4" s="90"/>
      <c r="P4" s="186"/>
      <c r="Q4" s="699" t="s">
        <v>7</v>
      </c>
    </row>
    <row r="5" spans="1:17" ht="16.5" thickBot="1" x14ac:dyDescent="0.3">
      <c r="A5" s="181" t="s">
        <v>10</v>
      </c>
      <c r="B5" s="181" t="s">
        <v>64</v>
      </c>
      <c r="C5" s="563">
        <v>2025</v>
      </c>
      <c r="D5" s="153">
        <f>C5</f>
        <v>2025</v>
      </c>
      <c r="E5" s="577">
        <f>C5</f>
        <v>2025</v>
      </c>
      <c r="F5" s="566">
        <f>E5+1</f>
        <v>2026</v>
      </c>
      <c r="G5" s="563">
        <f>$F$5</f>
        <v>2026</v>
      </c>
      <c r="H5" s="153">
        <f>$F$5</f>
        <v>2026</v>
      </c>
      <c r="I5" s="577">
        <f t="shared" ref="I5:N5" si="0">$F$5</f>
        <v>2026</v>
      </c>
      <c r="J5" s="564">
        <f t="shared" si="0"/>
        <v>2026</v>
      </c>
      <c r="K5" s="563">
        <f t="shared" si="0"/>
        <v>2026</v>
      </c>
      <c r="L5" s="577">
        <f t="shared" si="0"/>
        <v>2026</v>
      </c>
      <c r="M5" s="153">
        <f t="shared" si="0"/>
        <v>2026</v>
      </c>
      <c r="N5" s="564">
        <f t="shared" si="0"/>
        <v>2026</v>
      </c>
      <c r="O5" s="598" t="s">
        <v>17</v>
      </c>
      <c r="P5" s="181" t="s">
        <v>15</v>
      </c>
      <c r="Q5" s="566" t="s">
        <v>10</v>
      </c>
    </row>
    <row r="6" spans="1:17" ht="15.75" x14ac:dyDescent="0.25">
      <c r="A6" s="125"/>
      <c r="B6" s="795"/>
      <c r="C6" s="545"/>
      <c r="D6" s="75"/>
      <c r="E6" s="572"/>
      <c r="F6" s="699"/>
      <c r="G6" s="545"/>
      <c r="H6" s="75"/>
      <c r="I6" s="572"/>
      <c r="J6" s="546"/>
      <c r="K6" s="545"/>
      <c r="L6" s="572"/>
      <c r="M6" s="75"/>
      <c r="N6" s="546"/>
      <c r="O6" s="90"/>
      <c r="P6" s="591"/>
      <c r="Q6" s="123"/>
    </row>
    <row r="7" spans="1:17" ht="15.75" x14ac:dyDescent="0.25">
      <c r="A7" s="120">
        <v>1</v>
      </c>
      <c r="B7" s="125" t="s">
        <v>276</v>
      </c>
      <c r="C7" s="265">
        <v>-5881073</v>
      </c>
      <c r="D7" s="19">
        <f t="shared" ref="D7:K7" si="1">C38</f>
        <v>-6006600.769147519</v>
      </c>
      <c r="E7" s="239">
        <f t="shared" si="1"/>
        <v>-5858625.5595109323</v>
      </c>
      <c r="F7" s="700">
        <f t="shared" si="1"/>
        <v>-4692509.6227757894</v>
      </c>
      <c r="G7" s="265">
        <f t="shared" si="1"/>
        <v>-2310193.3071116777</v>
      </c>
      <c r="H7" s="19">
        <f t="shared" si="1"/>
        <v>-618431.69185656484</v>
      </c>
      <c r="I7" s="239">
        <f t="shared" si="1"/>
        <v>1978741.1041774263</v>
      </c>
      <c r="J7" s="277">
        <f t="shared" si="1"/>
        <v>2134249.4484294644</v>
      </c>
      <c r="K7" s="280">
        <f t="shared" si="1"/>
        <v>857047.68594398547</v>
      </c>
      <c r="L7" s="239">
        <f>K38</f>
        <v>770922.96031537605</v>
      </c>
      <c r="M7" s="19">
        <f>L38</f>
        <v>2216608.8595194062</v>
      </c>
      <c r="N7" s="277">
        <f>M38</f>
        <v>1986226.7279520894</v>
      </c>
      <c r="O7" s="28">
        <f>C7</f>
        <v>-5881073</v>
      </c>
      <c r="P7" s="872" t="s">
        <v>277</v>
      </c>
      <c r="Q7" s="349">
        <v>1</v>
      </c>
    </row>
    <row r="8" spans="1:17" ht="15.75" x14ac:dyDescent="0.25">
      <c r="A8" s="120">
        <f>A7+1</f>
        <v>2</v>
      </c>
      <c r="B8" s="125"/>
      <c r="C8" s="267"/>
      <c r="D8" s="79"/>
      <c r="E8" s="251"/>
      <c r="F8" s="701"/>
      <c r="G8" s="267"/>
      <c r="H8" s="79"/>
      <c r="I8" s="251"/>
      <c r="J8" s="287"/>
      <c r="K8" s="267"/>
      <c r="L8" s="251"/>
      <c r="M8" s="79"/>
      <c r="N8" s="287"/>
      <c r="O8" s="859"/>
      <c r="P8" s="873"/>
      <c r="Q8" s="349">
        <f>Q7+1</f>
        <v>2</v>
      </c>
    </row>
    <row r="9" spans="1:17" ht="15.75" x14ac:dyDescent="0.25">
      <c r="A9" s="120">
        <f t="shared" ref="A9:A44" si="2">A8+1</f>
        <v>3</v>
      </c>
      <c r="B9" s="125" t="s">
        <v>278</v>
      </c>
      <c r="C9" s="267"/>
      <c r="D9" s="79"/>
      <c r="E9" s="251"/>
      <c r="F9" s="701"/>
      <c r="G9" s="267"/>
      <c r="H9" s="79"/>
      <c r="I9" s="251"/>
      <c r="J9" s="287"/>
      <c r="K9" s="267"/>
      <c r="L9" s="251"/>
      <c r="M9" s="79"/>
      <c r="N9" s="287"/>
      <c r="O9" s="859"/>
      <c r="P9" s="873"/>
      <c r="Q9" s="349">
        <f t="shared" ref="Q9:Q37" si="3">Q8+1</f>
        <v>3</v>
      </c>
    </row>
    <row r="10" spans="1:17" ht="15.75" x14ac:dyDescent="0.25">
      <c r="A10" s="120">
        <f t="shared" si="2"/>
        <v>4</v>
      </c>
      <c r="B10" s="125" t="s">
        <v>279</v>
      </c>
      <c r="C10" s="267">
        <f>'WP 1.1 Recorded Sales'!C41</f>
        <v>1638300694</v>
      </c>
      <c r="D10" s="79">
        <f>'WP 1.1 Recorded Sales'!D41</f>
        <v>1240088104</v>
      </c>
      <c r="E10" s="251">
        <f>'WP 1.1 Recorded Sales'!E41</f>
        <v>1477379730</v>
      </c>
      <c r="F10" s="287">
        <f>'WP 1.1 Recorded Sales'!F41</f>
        <v>1487837971</v>
      </c>
      <c r="G10" s="267">
        <f>'WP 1.1 Recorded Sales'!G41</f>
        <v>1135409538</v>
      </c>
      <c r="H10" s="79">
        <f>'WP 1.1 Recorded Sales'!H41</f>
        <v>1363529102</v>
      </c>
      <c r="I10" s="79">
        <f>'WP 1.1 Recorded Sales'!I41</f>
        <v>1371646695</v>
      </c>
      <c r="J10" s="287">
        <f>'WP 1.1 Recorded Sales'!J41</f>
        <v>1059815269</v>
      </c>
      <c r="K10" s="267">
        <f>'WP 1.1 Recorded Sales'!K41</f>
        <v>1458139063</v>
      </c>
      <c r="L10" s="79">
        <f>'WP 1.1 Recorded Sales'!L41</f>
        <v>1526848381</v>
      </c>
      <c r="M10" s="79">
        <f>'WP 1.1 Recorded Sales'!M41</f>
        <v>1719036176</v>
      </c>
      <c r="N10" s="287">
        <f>'WP 1.1 Recorded Sales'!N41</f>
        <v>1986346915</v>
      </c>
      <c r="O10" s="54">
        <f>SUM(C10:N10)</f>
        <v>17464377638</v>
      </c>
      <c r="P10" s="872" t="s">
        <v>280</v>
      </c>
      <c r="Q10" s="349">
        <f t="shared" si="3"/>
        <v>4</v>
      </c>
    </row>
    <row r="11" spans="1:17" ht="32.85" customHeight="1" x14ac:dyDescent="0.25">
      <c r="A11" s="120">
        <f t="shared" si="2"/>
        <v>5</v>
      </c>
      <c r="B11" s="125" t="s">
        <v>281</v>
      </c>
      <c r="C11" s="270">
        <f>C48</f>
        <v>-2.4499999999999999E-3</v>
      </c>
      <c r="D11" s="102">
        <f>C11</f>
        <v>-2.4499999999999999E-3</v>
      </c>
      <c r="E11" s="307">
        <f>D11</f>
        <v>-2.4499999999999999E-3</v>
      </c>
      <c r="F11" s="946">
        <f>C51</f>
        <v>-2.745E-3</v>
      </c>
      <c r="G11" s="270">
        <f>C49</f>
        <v>-3.0400000000000002E-3</v>
      </c>
      <c r="H11" s="102">
        <f>C49</f>
        <v>-3.0400000000000002E-3</v>
      </c>
      <c r="I11" s="307">
        <f t="shared" ref="I11:N11" si="4">H11</f>
        <v>-3.0400000000000002E-3</v>
      </c>
      <c r="J11" s="271">
        <f t="shared" si="4"/>
        <v>-3.0400000000000002E-3</v>
      </c>
      <c r="K11" s="270">
        <f t="shared" si="4"/>
        <v>-3.0400000000000002E-3</v>
      </c>
      <c r="L11" s="307">
        <f t="shared" si="4"/>
        <v>-3.0400000000000002E-3</v>
      </c>
      <c r="M11" s="102">
        <f t="shared" si="4"/>
        <v>-3.0400000000000002E-3</v>
      </c>
      <c r="N11" s="271">
        <f t="shared" si="4"/>
        <v>-3.0400000000000002E-3</v>
      </c>
      <c r="O11" s="860"/>
      <c r="P11" s="947" t="s">
        <v>491</v>
      </c>
      <c r="Q11" s="349">
        <f t="shared" si="3"/>
        <v>5</v>
      </c>
    </row>
    <row r="12" spans="1:17" ht="15.75" x14ac:dyDescent="0.25">
      <c r="A12" s="120">
        <f t="shared" si="2"/>
        <v>6</v>
      </c>
      <c r="B12" s="125" t="s">
        <v>282</v>
      </c>
      <c r="C12" s="272">
        <f>C10*C11</f>
        <v>-4013836.7002999997</v>
      </c>
      <c r="D12" s="21">
        <f t="shared" ref="D12:M12" si="5">D10*D11</f>
        <v>-3038215.8547999999</v>
      </c>
      <c r="E12" s="134">
        <f t="shared" si="5"/>
        <v>-3619580.3385000001</v>
      </c>
      <c r="F12" s="702">
        <f t="shared" si="5"/>
        <v>-4084115.230395</v>
      </c>
      <c r="G12" s="272">
        <f t="shared" si="5"/>
        <v>-3451644.9955200003</v>
      </c>
      <c r="H12" s="21">
        <f t="shared" si="5"/>
        <v>-4145128.4700800003</v>
      </c>
      <c r="I12" s="134">
        <f t="shared" si="5"/>
        <v>-4169805.9528000001</v>
      </c>
      <c r="J12" s="288">
        <f t="shared" si="5"/>
        <v>-3221838.4177600001</v>
      </c>
      <c r="K12" s="686">
        <f t="shared" si="5"/>
        <v>-4432742.7515200004</v>
      </c>
      <c r="L12" s="134">
        <f t="shared" si="5"/>
        <v>-4641619.0782400006</v>
      </c>
      <c r="M12" s="21">
        <f t="shared" si="5"/>
        <v>-5225869.9750399999</v>
      </c>
      <c r="N12" s="288">
        <f>(N10*N11)</f>
        <v>-6038494.6216000002</v>
      </c>
      <c r="O12" s="861">
        <f>SUM(C12:N12)</f>
        <v>-50082892.386555001</v>
      </c>
      <c r="P12" s="872" t="s">
        <v>283</v>
      </c>
      <c r="Q12" s="349">
        <f t="shared" si="3"/>
        <v>6</v>
      </c>
    </row>
    <row r="13" spans="1:17" ht="15.75" x14ac:dyDescent="0.25">
      <c r="A13" s="120">
        <f t="shared" si="2"/>
        <v>7</v>
      </c>
      <c r="B13" s="125" t="s">
        <v>284</v>
      </c>
      <c r="C13" s="600">
        <f>(+C12/(1+C44)*C$44)</f>
        <v>-50011.581523601802</v>
      </c>
      <c r="D13" s="599">
        <f t="shared" ref="D13:M13" si="6">(+D12/(1+D44)*D$44)</f>
        <v>-37855.546015928623</v>
      </c>
      <c r="E13" s="875">
        <f t="shared" si="6"/>
        <v>-45099.228169045651</v>
      </c>
      <c r="F13" s="601">
        <f t="shared" si="6"/>
        <v>-63196.775357819381</v>
      </c>
      <c r="G13" s="600">
        <f t="shared" si="6"/>
        <v>-53410.05850506376</v>
      </c>
      <c r="H13" s="599">
        <f t="shared" si="6"/>
        <v>-64140.881923062596</v>
      </c>
      <c r="I13" s="599">
        <f t="shared" si="6"/>
        <v>-64522.736313518042</v>
      </c>
      <c r="J13" s="601">
        <f t="shared" si="6"/>
        <v>-49854.077870050343</v>
      </c>
      <c r="K13" s="600">
        <f t="shared" si="6"/>
        <v>-68591.367305696229</v>
      </c>
      <c r="L13" s="599">
        <f t="shared" si="6"/>
        <v>-71823.477457498593</v>
      </c>
      <c r="M13" s="599">
        <f t="shared" si="6"/>
        <v>-80864.057998146818</v>
      </c>
      <c r="N13" s="687">
        <f>(+N12/(1+N44)*N$44)</f>
        <v>-93438.447882320776</v>
      </c>
      <c r="O13" s="331">
        <f>SUM(C13:N13)</f>
        <v>-742808.23632175254</v>
      </c>
      <c r="P13" s="872" t="s">
        <v>285</v>
      </c>
      <c r="Q13" s="349">
        <f t="shared" si="3"/>
        <v>7</v>
      </c>
    </row>
    <row r="14" spans="1:17" ht="15.75" x14ac:dyDescent="0.25">
      <c r="A14" s="120">
        <f t="shared" si="2"/>
        <v>8</v>
      </c>
      <c r="B14" s="125" t="s">
        <v>286</v>
      </c>
      <c r="C14" s="274">
        <f t="shared" ref="C14:N14" si="7">C12-C13</f>
        <v>-3963825.1187763978</v>
      </c>
      <c r="D14" s="97">
        <f t="shared" si="7"/>
        <v>-3000360.3087840714</v>
      </c>
      <c r="E14" s="253">
        <f t="shared" si="7"/>
        <v>-3574481.1103309542</v>
      </c>
      <c r="F14" s="703">
        <f t="shared" si="7"/>
        <v>-4020918.4550371808</v>
      </c>
      <c r="G14" s="274">
        <f t="shared" si="7"/>
        <v>-3398234.9370149365</v>
      </c>
      <c r="H14" s="97">
        <f t="shared" si="7"/>
        <v>-4080987.5881569376</v>
      </c>
      <c r="I14" s="253">
        <f t="shared" si="7"/>
        <v>-4105283.2164864819</v>
      </c>
      <c r="J14" s="275">
        <f t="shared" si="7"/>
        <v>-3171984.3398899497</v>
      </c>
      <c r="K14" s="274">
        <f t="shared" si="7"/>
        <v>-4364151.3842143044</v>
      </c>
      <c r="L14" s="253">
        <f t="shared" si="7"/>
        <v>-4569795.6007825024</v>
      </c>
      <c r="M14" s="97">
        <f t="shared" si="7"/>
        <v>-5145005.9170418531</v>
      </c>
      <c r="N14" s="275">
        <f t="shared" si="7"/>
        <v>-5945056.1737176795</v>
      </c>
      <c r="O14" s="862">
        <f>SUM(C14:N14)</f>
        <v>-49340084.150233254</v>
      </c>
      <c r="P14" s="872" t="s">
        <v>287</v>
      </c>
      <c r="Q14" s="349">
        <f t="shared" si="3"/>
        <v>8</v>
      </c>
    </row>
    <row r="15" spans="1:17" ht="15.75" x14ac:dyDescent="0.25">
      <c r="A15" s="120">
        <f t="shared" si="2"/>
        <v>9</v>
      </c>
      <c r="B15" s="125"/>
      <c r="C15" s="267"/>
      <c r="D15" s="79"/>
      <c r="E15" s="251"/>
      <c r="F15" s="701"/>
      <c r="G15" s="267"/>
      <c r="H15" s="79"/>
      <c r="I15" s="251"/>
      <c r="J15" s="287"/>
      <c r="K15" s="267"/>
      <c r="L15" s="251"/>
      <c r="M15" s="79"/>
      <c r="N15" s="344"/>
      <c r="O15" s="859"/>
      <c r="P15" s="873"/>
      <c r="Q15" s="349">
        <f t="shared" si="3"/>
        <v>9</v>
      </c>
    </row>
    <row r="16" spans="1:17" ht="15.75" x14ac:dyDescent="0.25">
      <c r="A16" s="120">
        <f t="shared" si="2"/>
        <v>10</v>
      </c>
      <c r="B16" s="125" t="s">
        <v>288</v>
      </c>
      <c r="C16" s="267"/>
      <c r="D16" s="79"/>
      <c r="E16" s="251"/>
      <c r="F16" s="701"/>
      <c r="G16" s="267"/>
      <c r="H16" s="79"/>
      <c r="I16" s="251"/>
      <c r="J16" s="287"/>
      <c r="K16" s="267"/>
      <c r="L16" s="251"/>
      <c r="M16" s="79"/>
      <c r="N16" s="287"/>
      <c r="O16" s="859"/>
      <c r="P16" s="873"/>
      <c r="Q16" s="349">
        <f t="shared" si="3"/>
        <v>10</v>
      </c>
    </row>
    <row r="17" spans="1:17" ht="15.75" x14ac:dyDescent="0.25">
      <c r="A17" s="120">
        <f t="shared" si="2"/>
        <v>11</v>
      </c>
      <c r="B17" s="125" t="s">
        <v>289</v>
      </c>
      <c r="C17" s="268">
        <f>'WP 5 CAISO Charges'!C10</f>
        <v>-2775834.5700000003</v>
      </c>
      <c r="D17" s="31">
        <f>'WP 5 CAISO Charges'!D10</f>
        <v>-1868822.8900000001</v>
      </c>
      <c r="E17" s="238">
        <f>'WP 5 CAISO Charges'!E10</f>
        <v>-1911300.05</v>
      </c>
      <c r="F17" s="118">
        <f>'WP 5 CAISO Charges'!F10</f>
        <v>-914497.53000000014</v>
      </c>
      <c r="G17" s="268">
        <f>'WP 5 CAISO Charges'!G10</f>
        <v>-1213633.4100000001</v>
      </c>
      <c r="H17" s="31">
        <f>'WP 5 CAISO Charges'!H10</f>
        <v>-817667.36</v>
      </c>
      <c r="I17" s="238">
        <f>'WP 5 CAISO Charges'!I10</f>
        <v>-3280119.76</v>
      </c>
      <c r="J17" s="269">
        <f>'WP 5 CAISO Charges'!J10</f>
        <v>-4103102.92</v>
      </c>
      <c r="K17" s="268">
        <f>'WP 5 CAISO Charges'!K10</f>
        <v>-4138771.72</v>
      </c>
      <c r="L17" s="238">
        <f>'WP 5 CAISO Charges'!L10</f>
        <v>-2662543.8200000003</v>
      </c>
      <c r="M17" s="31">
        <f>'WP 5 CAISO Charges'!M10</f>
        <v>-5061005.96</v>
      </c>
      <c r="N17" s="269">
        <f>'WP 5 CAISO Charges'!N10</f>
        <v>-7507360.21</v>
      </c>
      <c r="O17" s="54">
        <f>SUM(C17:N17)</f>
        <v>-36254660.200000003</v>
      </c>
      <c r="P17" s="872" t="s">
        <v>290</v>
      </c>
      <c r="Q17" s="349">
        <f t="shared" si="3"/>
        <v>11</v>
      </c>
    </row>
    <row r="18" spans="1:17" ht="15.75" x14ac:dyDescent="0.25">
      <c r="A18" s="120">
        <f t="shared" si="2"/>
        <v>12</v>
      </c>
      <c r="B18" s="125" t="s">
        <v>291</v>
      </c>
      <c r="C18" s="268">
        <f>'WP 5 CAISO Charges'!C13</f>
        <v>1500</v>
      </c>
      <c r="D18" s="31">
        <f>'WP 5 CAISO Charges'!D13</f>
        <v>1500</v>
      </c>
      <c r="E18" s="238">
        <f>'WP 5 CAISO Charges'!E13</f>
        <v>1500</v>
      </c>
      <c r="F18" s="118">
        <f>'WP 5 CAISO Charges'!F13</f>
        <v>1500</v>
      </c>
      <c r="G18" s="268">
        <f>'WP 5 CAISO Charges'!G13</f>
        <v>1500</v>
      </c>
      <c r="H18" s="31">
        <f>'WP 5 CAISO Charges'!H13</f>
        <v>1500</v>
      </c>
      <c r="I18" s="238">
        <f>'WP 5 CAISO Charges'!I13</f>
        <v>1500</v>
      </c>
      <c r="J18" s="269">
        <f>'WP 5 CAISO Charges'!J13</f>
        <v>1500</v>
      </c>
      <c r="K18" s="268">
        <f>'WP 5 CAISO Charges'!K13</f>
        <v>1500</v>
      </c>
      <c r="L18" s="238">
        <f>'WP 5 CAISO Charges'!L13</f>
        <v>1500</v>
      </c>
      <c r="M18" s="31">
        <f>'WP 5 CAISO Charges'!M13</f>
        <v>1500</v>
      </c>
      <c r="N18" s="269">
        <f>'WP 5 CAISO Charges'!N13</f>
        <v>1500</v>
      </c>
      <c r="O18" s="54">
        <f>SUM(C18:N18)</f>
        <v>18000</v>
      </c>
      <c r="P18" s="872" t="s">
        <v>292</v>
      </c>
      <c r="Q18" s="349">
        <f t="shared" si="3"/>
        <v>12</v>
      </c>
    </row>
    <row r="19" spans="1:17" ht="15.75" x14ac:dyDescent="0.25">
      <c r="A19" s="120">
        <f>A18+1</f>
        <v>13</v>
      </c>
      <c r="B19" s="125" t="s">
        <v>293</v>
      </c>
      <c r="C19" s="116">
        <f>'WP 5 CAISO Charges'!C16</f>
        <v>-849605.3600000001</v>
      </c>
      <c r="D19" s="31">
        <f>'WP 5 CAISO Charges'!D16</f>
        <v>-48116.040000000052</v>
      </c>
      <c r="E19" s="238">
        <f>'WP 5 CAISO Charges'!E16</f>
        <v>71552.929999999964</v>
      </c>
      <c r="F19" s="118">
        <f>'WP 5 CAISO Charges'!F16</f>
        <v>75403.47</v>
      </c>
      <c r="G19" s="268">
        <f>'WP 5 CAISO Charges'!G16</f>
        <v>91378.789999999906</v>
      </c>
      <c r="H19" s="238">
        <f>'WP 5 CAISO Charges'!H16</f>
        <v>7763.6499999999342</v>
      </c>
      <c r="I19" s="54">
        <f>'WP 5 CAISO Charges'!I16</f>
        <v>18147.450000000073</v>
      </c>
      <c r="J19" s="269">
        <f>'WP 5 CAISO Charges'!J16</f>
        <v>83699.37</v>
      </c>
      <c r="K19" s="268">
        <f>'WP 5 CAISO Charges'!K16</f>
        <v>102512.79000000001</v>
      </c>
      <c r="L19" s="54">
        <f>'WP 5 CAISO Charges'!L16</f>
        <v>53320.55000000009</v>
      </c>
      <c r="M19" s="31">
        <f>'WP 5 CAISO Charges'!M16</f>
        <v>38491.419999999984</v>
      </c>
      <c r="N19" s="118">
        <f>'WP 5 CAISO Charges'!N16</f>
        <v>-200901.73246000017</v>
      </c>
      <c r="O19" s="54">
        <f>SUM(C19:N19)</f>
        <v>-556352.71246000042</v>
      </c>
      <c r="P19" s="872" t="s">
        <v>294</v>
      </c>
      <c r="Q19" s="349">
        <f>Q18+1</f>
        <v>13</v>
      </c>
    </row>
    <row r="20" spans="1:17" ht="15.75" x14ac:dyDescent="0.25">
      <c r="A20" s="120">
        <f t="shared" ref="A20:A21" si="8">A19+1</f>
        <v>14</v>
      </c>
      <c r="B20" s="125" t="s">
        <v>295</v>
      </c>
      <c r="C20" s="329">
        <f>'WP 5 CAISO Charges'!C19</f>
        <v>-427494.79</v>
      </c>
      <c r="D20" s="38">
        <f>'WP 5 CAISO Charges'!D19</f>
        <v>-900277.63</v>
      </c>
      <c r="E20" s="252">
        <f>'WP 5 CAISO Charges'!E19</f>
        <v>-536462.12</v>
      </c>
      <c r="F20" s="330">
        <f>'WP 5 CAISO Charges'!F19</f>
        <v>-779714.78</v>
      </c>
      <c r="G20" s="273">
        <f>'WP 5 CAISO Charges'!G19</f>
        <v>-577687.06999999995</v>
      </c>
      <c r="H20" s="252">
        <f>'WP 5 CAISO Charges'!H19</f>
        <v>-679547.41999999993</v>
      </c>
      <c r="I20" s="331">
        <f>'WP 5 CAISO Charges'!I19</f>
        <v>-699836.77</v>
      </c>
      <c r="J20" s="276">
        <f>'WP 5 CAISO Charges'!J19</f>
        <v>-439932.23000000004</v>
      </c>
      <c r="K20" s="273">
        <f>'WP 5 CAISO Charges'!K19</f>
        <v>-420062.77</v>
      </c>
      <c r="L20" s="331">
        <f>'WP 5 CAISO Charges'!L19</f>
        <v>-524876.70000000007</v>
      </c>
      <c r="M20" s="38">
        <f>'WP 5 CAISO Charges'!M19</f>
        <v>-366317.38</v>
      </c>
      <c r="N20" s="330">
        <f>'WP 5 CAISO Charges'!N19</f>
        <v>-6450594.3975400003</v>
      </c>
      <c r="O20" s="331">
        <f>SUM(C20:N20)</f>
        <v>-12802804.057539999</v>
      </c>
      <c r="P20" s="872" t="s">
        <v>296</v>
      </c>
      <c r="Q20" s="349">
        <f t="shared" ref="Q20:Q22" si="9">Q19+1</f>
        <v>14</v>
      </c>
    </row>
    <row r="21" spans="1:17" ht="15.75" x14ac:dyDescent="0.25">
      <c r="A21" s="120">
        <f t="shared" si="8"/>
        <v>15</v>
      </c>
      <c r="B21" s="149" t="s">
        <v>297</v>
      </c>
      <c r="C21" s="265">
        <f t="shared" ref="C21:O21" si="10">SUM(C17:C20)</f>
        <v>-4051434.7200000007</v>
      </c>
      <c r="D21" s="19">
        <f t="shared" si="10"/>
        <v>-2815716.56</v>
      </c>
      <c r="E21" s="239">
        <f t="shared" si="10"/>
        <v>-2374709.2400000002</v>
      </c>
      <c r="F21" s="700">
        <f t="shared" si="10"/>
        <v>-1617308.8400000003</v>
      </c>
      <c r="G21" s="265">
        <f t="shared" si="10"/>
        <v>-1698441.6900000004</v>
      </c>
      <c r="H21" s="19">
        <f t="shared" si="10"/>
        <v>-1487951.13</v>
      </c>
      <c r="I21" s="239">
        <f t="shared" si="10"/>
        <v>-3960309.0799999996</v>
      </c>
      <c r="J21" s="277">
        <f t="shared" si="10"/>
        <v>-4457835.78</v>
      </c>
      <c r="K21" s="265">
        <f t="shared" si="10"/>
        <v>-4454821.7</v>
      </c>
      <c r="L21" s="239">
        <f t="shared" si="10"/>
        <v>-3132599.97</v>
      </c>
      <c r="M21" s="19">
        <f t="shared" si="10"/>
        <v>-5387331.9199999999</v>
      </c>
      <c r="N21" s="277">
        <f t="shared" si="10"/>
        <v>-14157356.34</v>
      </c>
      <c r="O21" s="28">
        <f t="shared" si="10"/>
        <v>-49595816.970000006</v>
      </c>
      <c r="P21" s="872" t="s">
        <v>298</v>
      </c>
      <c r="Q21" s="349">
        <f t="shared" si="9"/>
        <v>15</v>
      </c>
    </row>
    <row r="22" spans="1:17" ht="15.75" x14ac:dyDescent="0.25">
      <c r="A22" s="120">
        <f t="shared" si="2"/>
        <v>16</v>
      </c>
      <c r="B22" s="149"/>
      <c r="C22" s="268"/>
      <c r="D22" s="31"/>
      <c r="E22" s="238"/>
      <c r="F22" s="118"/>
      <c r="G22" s="268"/>
      <c r="H22" s="31"/>
      <c r="I22" s="238"/>
      <c r="J22" s="269"/>
      <c r="K22" s="289"/>
      <c r="L22" s="238"/>
      <c r="M22" s="31"/>
      <c r="N22" s="269"/>
      <c r="O22" s="54"/>
      <c r="P22" s="872"/>
      <c r="Q22" s="349">
        <f t="shared" si="9"/>
        <v>16</v>
      </c>
    </row>
    <row r="23" spans="1:17" ht="15.75" x14ac:dyDescent="0.25">
      <c r="A23" s="120">
        <f t="shared" si="2"/>
        <v>17</v>
      </c>
      <c r="B23" s="149" t="s">
        <v>299</v>
      </c>
      <c r="C23" s="289">
        <v>0</v>
      </c>
      <c r="D23" s="31">
        <v>0</v>
      </c>
      <c r="E23" s="238">
        <v>0</v>
      </c>
      <c r="F23" s="118">
        <v>0</v>
      </c>
      <c r="G23" s="379">
        <v>0</v>
      </c>
      <c r="H23" s="163">
        <v>0</v>
      </c>
      <c r="I23" s="238">
        <v>0</v>
      </c>
      <c r="J23" s="269">
        <v>0</v>
      </c>
      <c r="K23" s="289">
        <v>0</v>
      </c>
      <c r="L23" s="238">
        <v>0</v>
      </c>
      <c r="M23" s="31">
        <v>0</v>
      </c>
      <c r="N23" s="276">
        <v>0</v>
      </c>
      <c r="O23" s="54">
        <f>SUM(C23:N23)</f>
        <v>0</v>
      </c>
      <c r="P23" s="872" t="str">
        <f>B23</f>
        <v>Other CAISO Adjustment</v>
      </c>
      <c r="Q23" s="349">
        <f t="shared" si="3"/>
        <v>17</v>
      </c>
    </row>
    <row r="24" spans="1:17" ht="15.75" x14ac:dyDescent="0.25">
      <c r="A24" s="120">
        <f t="shared" si="2"/>
        <v>18</v>
      </c>
      <c r="B24" s="125" t="s">
        <v>300</v>
      </c>
      <c r="C24" s="274">
        <f t="shared" ref="C24:O24" si="11">SUM(C23:C23)</f>
        <v>0</v>
      </c>
      <c r="D24" s="97">
        <f>SUM(D23:D23)</f>
        <v>0</v>
      </c>
      <c r="E24" s="253">
        <f t="shared" si="11"/>
        <v>0</v>
      </c>
      <c r="F24" s="703">
        <f t="shared" si="11"/>
        <v>0</v>
      </c>
      <c r="G24" s="274">
        <f t="shared" si="11"/>
        <v>0</v>
      </c>
      <c r="H24" s="97">
        <f t="shared" si="11"/>
        <v>0</v>
      </c>
      <c r="I24" s="253">
        <f t="shared" si="11"/>
        <v>0</v>
      </c>
      <c r="J24" s="275">
        <f t="shared" si="11"/>
        <v>0</v>
      </c>
      <c r="K24" s="274">
        <f t="shared" si="11"/>
        <v>0</v>
      </c>
      <c r="L24" s="253">
        <f t="shared" si="11"/>
        <v>0</v>
      </c>
      <c r="M24" s="97">
        <f t="shared" si="11"/>
        <v>0</v>
      </c>
      <c r="N24" s="275">
        <f t="shared" si="11"/>
        <v>0</v>
      </c>
      <c r="O24" s="862">
        <f t="shared" si="11"/>
        <v>0</v>
      </c>
      <c r="P24" s="872" t="s">
        <v>301</v>
      </c>
      <c r="Q24" s="349">
        <f t="shared" si="3"/>
        <v>18</v>
      </c>
    </row>
    <row r="25" spans="1:17" ht="15.75" x14ac:dyDescent="0.25">
      <c r="A25" s="120">
        <f t="shared" si="2"/>
        <v>19</v>
      </c>
      <c r="B25" s="149" t="s">
        <v>302</v>
      </c>
      <c r="C25" s="274">
        <f>C21+C24</f>
        <v>-4051434.7200000007</v>
      </c>
      <c r="D25" s="97">
        <f>D21+D24</f>
        <v>-2815716.56</v>
      </c>
      <c r="E25" s="253">
        <f t="shared" ref="E25:N25" si="12">E21+E24</f>
        <v>-2374709.2400000002</v>
      </c>
      <c r="F25" s="703">
        <f t="shared" si="12"/>
        <v>-1617308.8400000003</v>
      </c>
      <c r="G25" s="274">
        <f t="shared" si="12"/>
        <v>-1698441.6900000004</v>
      </c>
      <c r="H25" s="97">
        <f t="shared" si="12"/>
        <v>-1487951.13</v>
      </c>
      <c r="I25" s="253">
        <f t="shared" si="12"/>
        <v>-3960309.0799999996</v>
      </c>
      <c r="J25" s="275">
        <f t="shared" si="12"/>
        <v>-4457835.78</v>
      </c>
      <c r="K25" s="274">
        <f t="shared" si="12"/>
        <v>-4454821.7</v>
      </c>
      <c r="L25" s="253">
        <f t="shared" si="12"/>
        <v>-3132599.97</v>
      </c>
      <c r="M25" s="97">
        <f t="shared" si="12"/>
        <v>-5387331.9199999999</v>
      </c>
      <c r="N25" s="275">
        <f t="shared" si="12"/>
        <v>-14157356.34</v>
      </c>
      <c r="O25" s="862">
        <f>O24+O21</f>
        <v>-49595816.970000006</v>
      </c>
      <c r="P25" s="872" t="s">
        <v>303</v>
      </c>
      <c r="Q25" s="349">
        <f t="shared" si="3"/>
        <v>19</v>
      </c>
    </row>
    <row r="26" spans="1:17" ht="15.75" x14ac:dyDescent="0.25">
      <c r="A26" s="120">
        <f t="shared" si="2"/>
        <v>20</v>
      </c>
      <c r="B26" s="149"/>
      <c r="C26" s="265"/>
      <c r="D26" s="19"/>
      <c r="E26" s="239"/>
      <c r="F26" s="700"/>
      <c r="G26" s="265"/>
      <c r="H26" s="19"/>
      <c r="I26" s="239"/>
      <c r="J26" s="277"/>
      <c r="K26" s="280"/>
      <c r="L26" s="239"/>
      <c r="M26" s="19"/>
      <c r="N26" s="277"/>
      <c r="O26" s="28"/>
      <c r="P26" s="872"/>
      <c r="Q26" s="349">
        <f t="shared" si="3"/>
        <v>20</v>
      </c>
    </row>
    <row r="27" spans="1:17" ht="15.75" x14ac:dyDescent="0.25">
      <c r="A27" s="120">
        <f t="shared" si="2"/>
        <v>21</v>
      </c>
      <c r="B27" s="149" t="s">
        <v>304</v>
      </c>
      <c r="C27" s="278">
        <f t="shared" ref="C27:O27" si="13">-C14+C25</f>
        <v>-87609.601223602891</v>
      </c>
      <c r="D27" s="14">
        <f t="shared" si="13"/>
        <v>184643.7487840713</v>
      </c>
      <c r="E27" s="254">
        <f t="shared" si="13"/>
        <v>1199771.870330954</v>
      </c>
      <c r="F27" s="704">
        <f t="shared" si="13"/>
        <v>2403609.6150371805</v>
      </c>
      <c r="G27" s="278">
        <f t="shared" si="13"/>
        <v>1699793.2470149361</v>
      </c>
      <c r="H27" s="14">
        <f t="shared" si="13"/>
        <v>2593036.4581569377</v>
      </c>
      <c r="I27" s="254">
        <f t="shared" si="13"/>
        <v>144974.13648648234</v>
      </c>
      <c r="J27" s="290">
        <f t="shared" si="13"/>
        <v>-1285851.4401100506</v>
      </c>
      <c r="K27" s="688">
        <f t="shared" si="13"/>
        <v>-90670.315785695799</v>
      </c>
      <c r="L27" s="254">
        <f t="shared" si="13"/>
        <v>1437195.6307825022</v>
      </c>
      <c r="M27" s="14">
        <f t="shared" si="13"/>
        <v>-242326.00295814686</v>
      </c>
      <c r="N27" s="290">
        <f t="shared" si="13"/>
        <v>-8212300.1662823204</v>
      </c>
      <c r="O27" s="863">
        <f t="shared" si="13"/>
        <v>-255732.81976675242</v>
      </c>
      <c r="P27" s="872" t="s">
        <v>455</v>
      </c>
      <c r="Q27" s="349">
        <f t="shared" si="3"/>
        <v>21</v>
      </c>
    </row>
    <row r="28" spans="1:17" ht="15.75" x14ac:dyDescent="0.25">
      <c r="A28" s="120">
        <f t="shared" si="2"/>
        <v>22</v>
      </c>
      <c r="B28" s="125"/>
      <c r="C28" s="279"/>
      <c r="D28" s="95"/>
      <c r="E28" s="255"/>
      <c r="F28" s="705"/>
      <c r="G28" s="279"/>
      <c r="H28" s="95"/>
      <c r="I28" s="255"/>
      <c r="J28" s="291"/>
      <c r="K28" s="279"/>
      <c r="L28" s="255"/>
      <c r="M28" s="95"/>
      <c r="N28" s="291"/>
      <c r="O28" s="864"/>
      <c r="P28" s="874"/>
      <c r="Q28" s="349">
        <f t="shared" si="3"/>
        <v>22</v>
      </c>
    </row>
    <row r="29" spans="1:17" ht="15.75" x14ac:dyDescent="0.25">
      <c r="A29" s="120">
        <f t="shared" si="2"/>
        <v>23</v>
      </c>
      <c r="B29" s="125" t="s">
        <v>305</v>
      </c>
      <c r="C29" s="279"/>
      <c r="D29" s="95"/>
      <c r="E29" s="255"/>
      <c r="F29" s="705"/>
      <c r="G29" s="279"/>
      <c r="H29" s="95"/>
      <c r="I29" s="255"/>
      <c r="J29" s="291"/>
      <c r="K29" s="279"/>
      <c r="L29" s="255"/>
      <c r="M29" s="95"/>
      <c r="N29" s="291"/>
      <c r="O29" s="864"/>
      <c r="P29" s="874"/>
      <c r="Q29" s="349">
        <f t="shared" si="3"/>
        <v>23</v>
      </c>
    </row>
    <row r="30" spans="1:17" ht="15.75" x14ac:dyDescent="0.25">
      <c r="A30" s="120">
        <f t="shared" si="2"/>
        <v>24</v>
      </c>
      <c r="B30" s="125" t="s">
        <v>306</v>
      </c>
      <c r="C30" s="280">
        <f>C7</f>
        <v>-5881073</v>
      </c>
      <c r="D30" s="141">
        <f>D7</f>
        <v>-6006600.769147519</v>
      </c>
      <c r="E30" s="256">
        <f>E7</f>
        <v>-5858625.5595109323</v>
      </c>
      <c r="F30" s="328">
        <f>F7</f>
        <v>-4692509.6227757894</v>
      </c>
      <c r="G30" s="280">
        <f t="shared" ref="G30:N30" si="14">G7</f>
        <v>-2310193.3071116777</v>
      </c>
      <c r="H30" s="141">
        <f t="shared" si="14"/>
        <v>-618431.69185656484</v>
      </c>
      <c r="I30" s="256">
        <f t="shared" si="14"/>
        <v>1978741.1041774263</v>
      </c>
      <c r="J30" s="266">
        <f t="shared" si="14"/>
        <v>2134249.4484294644</v>
      </c>
      <c r="K30" s="280">
        <f t="shared" si="14"/>
        <v>857047.68594398547</v>
      </c>
      <c r="L30" s="256">
        <f t="shared" si="14"/>
        <v>770922.96031537605</v>
      </c>
      <c r="M30" s="141">
        <f t="shared" si="14"/>
        <v>2216608.8595194062</v>
      </c>
      <c r="N30" s="266">
        <f t="shared" si="14"/>
        <v>1986226.7279520894</v>
      </c>
      <c r="O30" s="864"/>
      <c r="P30" s="874" t="s">
        <v>454</v>
      </c>
      <c r="Q30" s="349">
        <f t="shared" si="3"/>
        <v>24</v>
      </c>
    </row>
    <row r="31" spans="1:17" ht="15.75" x14ac:dyDescent="0.25">
      <c r="A31" s="120">
        <f t="shared" si="2"/>
        <v>25</v>
      </c>
      <c r="B31" s="125" t="s">
        <v>307</v>
      </c>
      <c r="C31" s="281">
        <f>C27/2</f>
        <v>-43804.800611801445</v>
      </c>
      <c r="D31" s="96">
        <f>D27/2</f>
        <v>92321.87439203565</v>
      </c>
      <c r="E31" s="257">
        <f>E27/2</f>
        <v>599885.93516547699</v>
      </c>
      <c r="F31" s="706">
        <f t="shared" ref="F31:N31" si="15">F27/2</f>
        <v>1201804.8075185902</v>
      </c>
      <c r="G31" s="281">
        <f t="shared" si="15"/>
        <v>849896.62350746803</v>
      </c>
      <c r="H31" s="96">
        <f t="shared" si="15"/>
        <v>1296518.2290784689</v>
      </c>
      <c r="I31" s="257">
        <f t="shared" si="15"/>
        <v>72487.06824324117</v>
      </c>
      <c r="J31" s="282">
        <f t="shared" si="15"/>
        <v>-642925.7200550253</v>
      </c>
      <c r="K31" s="281">
        <f t="shared" si="15"/>
        <v>-45335.157892847899</v>
      </c>
      <c r="L31" s="257">
        <f t="shared" si="15"/>
        <v>718597.81539125112</v>
      </c>
      <c r="M31" s="96">
        <f t="shared" si="15"/>
        <v>-121163.00147907343</v>
      </c>
      <c r="N31" s="282">
        <f t="shared" si="15"/>
        <v>-4106150.0831411602</v>
      </c>
      <c r="O31" s="864"/>
      <c r="P31" s="874" t="s">
        <v>308</v>
      </c>
      <c r="Q31" s="349">
        <f t="shared" si="3"/>
        <v>25</v>
      </c>
    </row>
    <row r="32" spans="1:17" ht="15.75" x14ac:dyDescent="0.25">
      <c r="A32" s="120">
        <f t="shared" si="2"/>
        <v>26</v>
      </c>
      <c r="B32" s="125" t="s">
        <v>309</v>
      </c>
      <c r="C32" s="279">
        <f t="shared" ref="C32:L32" si="16">C30+C31</f>
        <v>-5924877.8006118014</v>
      </c>
      <c r="D32" s="95">
        <f t="shared" si="16"/>
        <v>-5914278.8947554836</v>
      </c>
      <c r="E32" s="255">
        <f t="shared" si="16"/>
        <v>-5258739.6243454553</v>
      </c>
      <c r="F32" s="705">
        <f t="shared" si="16"/>
        <v>-3490704.8152571991</v>
      </c>
      <c r="G32" s="279">
        <f t="shared" si="16"/>
        <v>-1460296.6836042097</v>
      </c>
      <c r="H32" s="95">
        <f t="shared" si="16"/>
        <v>678086.53722190403</v>
      </c>
      <c r="I32" s="255">
        <f>I30+I31</f>
        <v>2051228.1724206675</v>
      </c>
      <c r="J32" s="291">
        <f t="shared" si="16"/>
        <v>1491323.7283744391</v>
      </c>
      <c r="K32" s="279">
        <f t="shared" si="16"/>
        <v>811712.52805113757</v>
      </c>
      <c r="L32" s="255">
        <f t="shared" si="16"/>
        <v>1489520.7757066272</v>
      </c>
      <c r="M32" s="95">
        <f>M30+M31</f>
        <v>2095445.8580403328</v>
      </c>
      <c r="N32" s="291">
        <f>N30+N31</f>
        <v>-2119923.355189071</v>
      </c>
      <c r="O32" s="864"/>
      <c r="P32" s="874" t="s">
        <v>310</v>
      </c>
      <c r="Q32" s="349">
        <f t="shared" si="3"/>
        <v>26</v>
      </c>
    </row>
    <row r="33" spans="1:17" ht="15.75" x14ac:dyDescent="0.25">
      <c r="A33" s="120">
        <f t="shared" si="2"/>
        <v>27</v>
      </c>
      <c r="B33" s="125" t="s">
        <v>311</v>
      </c>
      <c r="C33" s="283">
        <f>C62</f>
        <v>6.4000000000000003E-3</v>
      </c>
      <c r="D33" s="152">
        <f t="shared" ref="D33:N33" si="17">D62</f>
        <v>6.1999999999999998E-3</v>
      </c>
      <c r="E33" s="258">
        <f t="shared" si="17"/>
        <v>6.4000000000000003E-3</v>
      </c>
      <c r="F33" s="707">
        <f t="shared" si="17"/>
        <v>6.1000000000000004E-3</v>
      </c>
      <c r="G33" s="283">
        <f t="shared" si="17"/>
        <v>5.4999999999999997E-3</v>
      </c>
      <c r="H33" s="152">
        <f t="shared" si="17"/>
        <v>6.1000000000000004E-3</v>
      </c>
      <c r="I33" s="258">
        <f t="shared" si="17"/>
        <v>5.5999999999999999E-3</v>
      </c>
      <c r="J33" s="284">
        <f t="shared" si="17"/>
        <v>5.7999999999999996E-3</v>
      </c>
      <c r="K33" s="283">
        <f t="shared" si="17"/>
        <v>5.5999999999999999E-3</v>
      </c>
      <c r="L33" s="258">
        <f t="shared" si="17"/>
        <v>5.7000000000000002E-3</v>
      </c>
      <c r="M33" s="152">
        <f t="shared" si="17"/>
        <v>5.7000000000000002E-3</v>
      </c>
      <c r="N33" s="284">
        <f t="shared" si="17"/>
        <v>5.4999999999999997E-3</v>
      </c>
      <c r="O33" s="865"/>
      <c r="P33" s="874" t="s">
        <v>312</v>
      </c>
      <c r="Q33" s="349">
        <f t="shared" si="3"/>
        <v>27</v>
      </c>
    </row>
    <row r="34" spans="1:17" ht="15.75" x14ac:dyDescent="0.25">
      <c r="A34" s="120">
        <f t="shared" si="2"/>
        <v>28</v>
      </c>
      <c r="B34" s="125" t="s">
        <v>313</v>
      </c>
      <c r="C34" s="274">
        <f>C32*C33</f>
        <v>-37919.21792391553</v>
      </c>
      <c r="D34" s="97">
        <f t="shared" ref="D34:M34" si="18">D32*D33</f>
        <v>-36668.529147483998</v>
      </c>
      <c r="E34" s="253">
        <f t="shared" si="18"/>
        <v>-33655.933595810915</v>
      </c>
      <c r="F34" s="708">
        <f t="shared" si="18"/>
        <v>-21293.299373068916</v>
      </c>
      <c r="G34" s="274">
        <f t="shared" si="18"/>
        <v>-8031.6317598231526</v>
      </c>
      <c r="H34" s="97">
        <f t="shared" si="18"/>
        <v>4136.3278770536144</v>
      </c>
      <c r="I34" s="522">
        <f t="shared" si="18"/>
        <v>11486.877765555737</v>
      </c>
      <c r="J34" s="523">
        <f t="shared" si="18"/>
        <v>8649.6776245717465</v>
      </c>
      <c r="K34" s="689">
        <f t="shared" si="18"/>
        <v>4545.5901570863707</v>
      </c>
      <c r="L34" s="522">
        <f t="shared" si="18"/>
        <v>8490.268421527775</v>
      </c>
      <c r="M34" s="97">
        <f t="shared" si="18"/>
        <v>11944.041390829898</v>
      </c>
      <c r="N34" s="275">
        <f>N32*N33</f>
        <v>-11659.578453539891</v>
      </c>
      <c r="O34" s="862">
        <f>SUM(C34:N34)</f>
        <v>-99975.407017017278</v>
      </c>
      <c r="P34" s="874" t="s">
        <v>314</v>
      </c>
      <c r="Q34" s="349">
        <f t="shared" si="3"/>
        <v>28</v>
      </c>
    </row>
    <row r="35" spans="1:17" ht="18.75" x14ac:dyDescent="0.25">
      <c r="A35" s="120">
        <f t="shared" si="2"/>
        <v>29</v>
      </c>
      <c r="B35" s="125"/>
      <c r="C35" s="265"/>
      <c r="D35" s="19"/>
      <c r="E35" s="239"/>
      <c r="F35" s="328"/>
      <c r="G35" s="265"/>
      <c r="H35" s="19"/>
      <c r="I35" s="256"/>
      <c r="J35" s="266"/>
      <c r="K35" s="280"/>
      <c r="L35" s="256"/>
      <c r="M35" s="19"/>
      <c r="N35" s="938"/>
      <c r="O35" s="28"/>
      <c r="P35" s="874"/>
      <c r="Q35" s="349">
        <f t="shared" si="3"/>
        <v>29</v>
      </c>
    </row>
    <row r="36" spans="1:17" ht="15.75" x14ac:dyDescent="0.25">
      <c r="A36" s="120">
        <f t="shared" si="2"/>
        <v>30</v>
      </c>
      <c r="B36" s="149" t="s">
        <v>315</v>
      </c>
      <c r="C36" s="278">
        <v>1.05</v>
      </c>
      <c r="D36" s="14">
        <v>-0.01</v>
      </c>
      <c r="E36" s="252"/>
      <c r="F36" s="704"/>
      <c r="G36" s="278"/>
      <c r="H36" s="191">
        <v>0.01</v>
      </c>
      <c r="I36" s="259">
        <v>-952.67</v>
      </c>
      <c r="J36" s="325">
        <v>0</v>
      </c>
      <c r="K36" s="690"/>
      <c r="L36" s="259">
        <v>0</v>
      </c>
      <c r="M36" s="103">
        <v>-0.17</v>
      </c>
      <c r="N36" s="325"/>
      <c r="O36" s="331">
        <f>SUM(C36:N36)</f>
        <v>-951.79</v>
      </c>
      <c r="P36" s="872"/>
      <c r="Q36" s="349">
        <f t="shared" si="3"/>
        <v>30</v>
      </c>
    </row>
    <row r="37" spans="1:17" ht="15.75" x14ac:dyDescent="0.25">
      <c r="A37" s="120">
        <f t="shared" si="2"/>
        <v>31</v>
      </c>
      <c r="B37" s="125"/>
      <c r="C37" s="265"/>
      <c r="D37" s="19"/>
      <c r="E37" s="239"/>
      <c r="F37" s="700"/>
      <c r="G37" s="265"/>
      <c r="H37" s="19"/>
      <c r="I37" s="239"/>
      <c r="J37" s="277"/>
      <c r="K37" s="280"/>
      <c r="L37" s="239"/>
      <c r="M37" s="19"/>
      <c r="N37" s="277"/>
      <c r="O37" s="28"/>
      <c r="P37" s="874"/>
      <c r="Q37" s="349">
        <f t="shared" si="3"/>
        <v>31</v>
      </c>
    </row>
    <row r="38" spans="1:17" ht="16.5" thickBot="1" x14ac:dyDescent="0.3">
      <c r="A38" s="120">
        <f t="shared" si="2"/>
        <v>32</v>
      </c>
      <c r="B38" s="353" t="s">
        <v>316</v>
      </c>
      <c r="C38" s="514">
        <f>C7+C27+C34+C36</f>
        <v>-6006600.769147519</v>
      </c>
      <c r="D38" s="73">
        <f>D7+D27+D34+D36</f>
        <v>-5858625.5595109323</v>
      </c>
      <c r="E38" s="713">
        <f>E7+E27+E34+E36</f>
        <v>-4692509.6227757894</v>
      </c>
      <c r="F38" s="709">
        <f t="shared" ref="F38:I38" si="19">F7+F27+F34+F36</f>
        <v>-2310193.3071116777</v>
      </c>
      <c r="G38" s="953">
        <f>G7+G27+G34+G36</f>
        <v>-618431.69185656484</v>
      </c>
      <c r="H38" s="192">
        <f t="shared" si="19"/>
        <v>1978741.1041774263</v>
      </c>
      <c r="I38" s="713">
        <f t="shared" si="19"/>
        <v>2134249.4484294644</v>
      </c>
      <c r="J38" s="954">
        <f t="shared" ref="J38:M38" si="20">J7+J27+J34+J36</f>
        <v>857047.68594398547</v>
      </c>
      <c r="K38" s="953">
        <f t="shared" si="20"/>
        <v>770922.96031537605</v>
      </c>
      <c r="L38" s="713">
        <f t="shared" si="20"/>
        <v>2216608.8595194062</v>
      </c>
      <c r="M38" s="192">
        <f t="shared" si="20"/>
        <v>1986226.7279520894</v>
      </c>
      <c r="N38" s="954">
        <f>N7+N27+N34+N36</f>
        <v>-6237733.0167837711</v>
      </c>
      <c r="O38" s="485">
        <f>O7+O27+O34+O36</f>
        <v>-6237733.0167837702</v>
      </c>
      <c r="P38" s="872" t="s">
        <v>317</v>
      </c>
      <c r="Q38" s="349">
        <f>Q37+1</f>
        <v>32</v>
      </c>
    </row>
    <row r="39" spans="1:17" ht="18.75" thickTop="1" thickBot="1" x14ac:dyDescent="0.35">
      <c r="A39" s="120">
        <f>A38+1</f>
        <v>33</v>
      </c>
      <c r="B39" s="354"/>
      <c r="C39" s="292"/>
      <c r="D39" s="100"/>
      <c r="E39" s="260"/>
      <c r="F39" s="710"/>
      <c r="G39" s="292"/>
      <c r="H39" s="100"/>
      <c r="I39" s="260"/>
      <c r="J39" s="293"/>
      <c r="K39" s="691"/>
      <c r="L39" s="100"/>
      <c r="M39" s="100"/>
      <c r="N39" s="293"/>
      <c r="O39" s="858"/>
      <c r="P39" s="126"/>
      <c r="Q39" s="463">
        <f>Q38+1</f>
        <v>33</v>
      </c>
    </row>
    <row r="40" spans="1:17" ht="17.25" x14ac:dyDescent="0.3">
      <c r="A40" s="150">
        <f t="shared" si="2"/>
        <v>34</v>
      </c>
      <c r="B40" s="490"/>
      <c r="C40" s="294"/>
      <c r="D40" s="243"/>
      <c r="E40" s="342"/>
      <c r="F40" s="693"/>
      <c r="G40" s="346"/>
      <c r="H40" s="342"/>
      <c r="I40" s="340"/>
      <c r="J40" s="347"/>
      <c r="K40" s="692"/>
      <c r="L40" s="244"/>
      <c r="M40" s="245"/>
      <c r="N40" s="693"/>
      <c r="O40" s="866"/>
      <c r="P40" s="246"/>
      <c r="Q40" s="459">
        <f>Q39+1</f>
        <v>34</v>
      </c>
    </row>
    <row r="41" spans="1:17" ht="15.75" x14ac:dyDescent="0.25">
      <c r="A41" s="120">
        <f t="shared" si="2"/>
        <v>35</v>
      </c>
      <c r="B41" s="218" t="s">
        <v>318</v>
      </c>
      <c r="C41" s="285"/>
      <c r="D41" s="114"/>
      <c r="E41" s="91"/>
      <c r="F41" s="711"/>
      <c r="G41" s="332"/>
      <c r="H41" s="91"/>
      <c r="I41" s="22"/>
      <c r="J41" s="348"/>
      <c r="K41" s="219"/>
      <c r="L41" s="94"/>
      <c r="M41" s="91"/>
      <c r="N41" s="123"/>
      <c r="O41" s="22"/>
      <c r="P41" s="125"/>
      <c r="Q41" s="349">
        <f t="shared" ref="Q41:Q44" si="21">Q40+1</f>
        <v>35</v>
      </c>
    </row>
    <row r="42" spans="1:17" ht="15.75" x14ac:dyDescent="0.25">
      <c r="A42" s="120">
        <f t="shared" si="2"/>
        <v>36</v>
      </c>
      <c r="B42" s="125" t="s">
        <v>319</v>
      </c>
      <c r="C42" s="796">
        <f>F48</f>
        <v>1.0207000000000001E-2</v>
      </c>
      <c r="D42" s="421">
        <f>$C$42</f>
        <v>1.0207000000000001E-2</v>
      </c>
      <c r="E42" s="422">
        <f>$C$42</f>
        <v>1.0207000000000001E-2</v>
      </c>
      <c r="F42" s="695">
        <f>I48</f>
        <v>1.0207000000000001E-2</v>
      </c>
      <c r="G42" s="295">
        <f>I48</f>
        <v>1.0207000000000001E-2</v>
      </c>
      <c r="H42" s="341">
        <f t="shared" ref="H42:N42" si="22">$G$42</f>
        <v>1.0207000000000001E-2</v>
      </c>
      <c r="I42" s="345">
        <f t="shared" si="22"/>
        <v>1.0207000000000001E-2</v>
      </c>
      <c r="J42" s="296">
        <f t="shared" si="22"/>
        <v>1.0207000000000001E-2</v>
      </c>
      <c r="K42" s="694">
        <f t="shared" si="22"/>
        <v>1.0207000000000001E-2</v>
      </c>
      <c r="L42" s="115">
        <f t="shared" si="22"/>
        <v>1.0207000000000001E-2</v>
      </c>
      <c r="M42" s="341">
        <f t="shared" si="22"/>
        <v>1.0207000000000001E-2</v>
      </c>
      <c r="N42" s="695">
        <f t="shared" si="22"/>
        <v>1.0207000000000001E-2</v>
      </c>
      <c r="O42" s="22"/>
      <c r="P42" s="120" t="s">
        <v>319</v>
      </c>
      <c r="Q42" s="349">
        <f t="shared" si="21"/>
        <v>36</v>
      </c>
    </row>
    <row r="43" spans="1:17" ht="15.75" x14ac:dyDescent="0.25">
      <c r="A43" s="120">
        <f t="shared" si="2"/>
        <v>37</v>
      </c>
      <c r="B43" s="125" t="s">
        <v>320</v>
      </c>
      <c r="C43" s="797">
        <f>F49</f>
        <v>2.4099999999999998E-3</v>
      </c>
      <c r="D43" s="423">
        <f>$C$43</f>
        <v>2.4099999999999998E-3</v>
      </c>
      <c r="E43" s="424">
        <f>$C$43</f>
        <v>2.4099999999999998E-3</v>
      </c>
      <c r="F43" s="697">
        <f>I49</f>
        <v>5.5100000000000001E-3</v>
      </c>
      <c r="G43" s="426">
        <f>I49</f>
        <v>5.5100000000000001E-3</v>
      </c>
      <c r="H43" s="427">
        <f t="shared" ref="H43" si="23">$G$43</f>
        <v>5.5100000000000001E-3</v>
      </c>
      <c r="I43" s="425">
        <f t="shared" ref="I43:N43" si="24">$G$43</f>
        <v>5.5100000000000001E-3</v>
      </c>
      <c r="J43" s="428">
        <f t="shared" si="24"/>
        <v>5.5100000000000001E-3</v>
      </c>
      <c r="K43" s="696">
        <f t="shared" si="24"/>
        <v>5.5100000000000001E-3</v>
      </c>
      <c r="L43" s="429">
        <f t="shared" si="24"/>
        <v>5.5100000000000001E-3</v>
      </c>
      <c r="M43" s="427">
        <f t="shared" si="24"/>
        <v>5.5100000000000001E-3</v>
      </c>
      <c r="N43" s="697">
        <f t="shared" si="24"/>
        <v>5.5100000000000001E-3</v>
      </c>
      <c r="O43" s="22"/>
      <c r="P43" s="120" t="s">
        <v>320</v>
      </c>
      <c r="Q43" s="349">
        <f t="shared" si="21"/>
        <v>37</v>
      </c>
    </row>
    <row r="44" spans="1:17" ht="16.5" thickBot="1" x14ac:dyDescent="0.3">
      <c r="A44" s="121">
        <f t="shared" si="2"/>
        <v>38</v>
      </c>
      <c r="B44" s="126" t="s">
        <v>321</v>
      </c>
      <c r="C44" s="603">
        <f t="shared" ref="C44:N44" si="25">C42+C43</f>
        <v>1.2617E-2</v>
      </c>
      <c r="D44" s="604">
        <f t="shared" si="25"/>
        <v>1.2617E-2</v>
      </c>
      <c r="E44" s="605">
        <f t="shared" si="25"/>
        <v>1.2617E-2</v>
      </c>
      <c r="F44" s="712">
        <f t="shared" si="25"/>
        <v>1.5717000000000002E-2</v>
      </c>
      <c r="G44" s="607">
        <f t="shared" si="25"/>
        <v>1.5717000000000002E-2</v>
      </c>
      <c r="H44" s="604">
        <f t="shared" si="25"/>
        <v>1.5717000000000002E-2</v>
      </c>
      <c r="I44" s="606">
        <f t="shared" si="25"/>
        <v>1.5717000000000002E-2</v>
      </c>
      <c r="J44" s="608">
        <f t="shared" si="25"/>
        <v>1.5717000000000002E-2</v>
      </c>
      <c r="K44" s="603">
        <f t="shared" si="25"/>
        <v>1.5717000000000002E-2</v>
      </c>
      <c r="L44" s="604">
        <f t="shared" si="25"/>
        <v>1.5717000000000002E-2</v>
      </c>
      <c r="M44" s="604">
        <f t="shared" si="25"/>
        <v>1.5717000000000002E-2</v>
      </c>
      <c r="N44" s="608">
        <f t="shared" si="25"/>
        <v>1.5717000000000002E-2</v>
      </c>
      <c r="O44" s="80"/>
      <c r="P44" s="121" t="s">
        <v>322</v>
      </c>
      <c r="Q44" s="463">
        <f t="shared" si="21"/>
        <v>38</v>
      </c>
    </row>
    <row r="45" spans="1:17" ht="15.75" x14ac:dyDescent="0.25">
      <c r="A45" s="22"/>
      <c r="B45" s="343"/>
      <c r="C45" s="602"/>
      <c r="D45" s="19"/>
      <c r="E45" s="28"/>
      <c r="F45" s="700"/>
      <c r="G45" s="852"/>
      <c r="H45" s="28"/>
      <c r="I45" s="28"/>
      <c r="J45" s="700"/>
      <c r="K45" s="852"/>
      <c r="L45" s="345"/>
      <c r="M45" s="28"/>
      <c r="N45" s="700"/>
      <c r="O45" s="22"/>
      <c r="P45" s="120"/>
      <c r="Q45" s="33"/>
    </row>
    <row r="46" spans="1:17" ht="16.5" thickBot="1" x14ac:dyDescent="0.3">
      <c r="A46" s="80"/>
      <c r="B46" s="726"/>
      <c r="C46" s="602"/>
      <c r="D46" s="19"/>
      <c r="E46" s="28"/>
      <c r="F46" s="700"/>
      <c r="G46" s="852"/>
      <c r="H46" s="28"/>
      <c r="I46" s="28"/>
      <c r="J46" s="700"/>
      <c r="K46" s="852"/>
      <c r="L46" s="28"/>
      <c r="M46" s="28"/>
      <c r="N46" s="700"/>
      <c r="O46" s="22"/>
      <c r="P46" s="120"/>
      <c r="Q46" s="33"/>
    </row>
    <row r="47" spans="1:17" ht="19.5" x14ac:dyDescent="0.25">
      <c r="A47" s="168"/>
      <c r="B47" s="725" t="s">
        <v>492</v>
      </c>
      <c r="C47" s="171"/>
      <c r="D47" s="114"/>
      <c r="E47" s="390" t="s">
        <v>496</v>
      </c>
      <c r="F47" s="123"/>
      <c r="G47" s="219"/>
      <c r="H47" s="390" t="s">
        <v>497</v>
      </c>
      <c r="I47" s="390"/>
      <c r="J47" s="123"/>
      <c r="K47" s="955"/>
      <c r="L47" s="22"/>
      <c r="M47" s="939"/>
      <c r="N47" s="123"/>
      <c r="O47" s="22"/>
      <c r="P47" s="125"/>
      <c r="Q47" s="91"/>
    </row>
    <row r="48" spans="1:17" ht="15.75" x14ac:dyDescent="0.25">
      <c r="A48" s="66"/>
      <c r="B48" s="146" t="s">
        <v>493</v>
      </c>
      <c r="C48" s="798">
        <v>-2.4499999999999999E-3</v>
      </c>
      <c r="D48" s="114"/>
      <c r="E48" s="22" t="s">
        <v>323</v>
      </c>
      <c r="F48" s="695">
        <v>1.0207000000000001E-2</v>
      </c>
      <c r="G48" s="219"/>
      <c r="H48" s="22" t="s">
        <v>323</v>
      </c>
      <c r="I48" s="945">
        <v>1.0207000000000001E-2</v>
      </c>
      <c r="J48" s="123"/>
      <c r="K48" s="219"/>
      <c r="L48" s="22"/>
      <c r="M48" s="22"/>
      <c r="N48" s="123"/>
      <c r="O48" s="22"/>
      <c r="P48" s="125"/>
      <c r="Q48" s="91"/>
    </row>
    <row r="49" spans="1:17" ht="15.75" x14ac:dyDescent="0.25">
      <c r="A49" s="66"/>
      <c r="B49" s="146" t="s">
        <v>494</v>
      </c>
      <c r="C49" s="798">
        <v>-3.0400000000000002E-3</v>
      </c>
      <c r="D49" s="114"/>
      <c r="E49" s="22" t="s">
        <v>324</v>
      </c>
      <c r="F49" s="695">
        <v>2.4099999999999998E-3</v>
      </c>
      <c r="G49" s="912"/>
      <c r="H49" s="22" t="s">
        <v>324</v>
      </c>
      <c r="I49" s="945">
        <v>5.5100000000000001E-3</v>
      </c>
      <c r="J49" s="912"/>
      <c r="K49" s="219"/>
      <c r="L49" s="22"/>
      <c r="M49" s="22"/>
      <c r="N49" s="123"/>
      <c r="O49" s="22"/>
      <c r="P49" s="125"/>
      <c r="Q49" s="91"/>
    </row>
    <row r="50" spans="1:17" ht="16.5" thickBot="1" x14ac:dyDescent="0.3">
      <c r="A50" s="66"/>
      <c r="B50" s="146" t="s">
        <v>325</v>
      </c>
      <c r="C50" s="172">
        <f>C48+C49</f>
        <v>-5.4900000000000001E-3</v>
      </c>
      <c r="D50" s="114"/>
      <c r="E50" s="22" t="s">
        <v>326</v>
      </c>
      <c r="F50" s="853">
        <f>SUM(F48:F49)</f>
        <v>1.2617E-2</v>
      </c>
      <c r="G50" s="219"/>
      <c r="H50" s="22" t="s">
        <v>326</v>
      </c>
      <c r="I50" s="878">
        <f>SUM(I48:I49)</f>
        <v>1.5717000000000002E-2</v>
      </c>
      <c r="J50" s="123"/>
      <c r="K50" s="219"/>
      <c r="L50" s="22"/>
      <c r="M50" s="22"/>
      <c r="N50" s="123"/>
      <c r="O50" s="22"/>
      <c r="P50" s="125"/>
      <c r="Q50" s="91"/>
    </row>
    <row r="51" spans="1:17" ht="17.25" thickTop="1" thickBot="1" x14ac:dyDescent="0.3">
      <c r="A51" s="66"/>
      <c r="B51" s="146" t="s">
        <v>495</v>
      </c>
      <c r="C51" s="898">
        <f>C50/2</f>
        <v>-2.745E-3</v>
      </c>
      <c r="D51" s="114"/>
      <c r="E51" s="22"/>
      <c r="F51" s="123"/>
      <c r="G51" s="219"/>
      <c r="H51" s="22"/>
      <c r="I51" s="22"/>
      <c r="J51" s="123"/>
      <c r="K51" s="219"/>
      <c r="L51" s="22"/>
      <c r="M51" s="22"/>
      <c r="N51" s="123"/>
      <c r="O51" s="22"/>
      <c r="P51" s="125"/>
      <c r="Q51" s="91"/>
    </row>
    <row r="52" spans="1:17" ht="16.5" thickTop="1" x14ac:dyDescent="0.25">
      <c r="A52" s="27"/>
      <c r="B52" s="169"/>
      <c r="C52" s="173"/>
      <c r="D52" s="952"/>
      <c r="E52" s="22"/>
      <c r="F52" s="123"/>
      <c r="G52" s="219"/>
      <c r="H52" s="22"/>
      <c r="I52" s="22"/>
      <c r="J52" s="123"/>
      <c r="K52" s="219"/>
      <c r="L52" s="22"/>
      <c r="M52" s="22"/>
      <c r="N52" s="123"/>
      <c r="O52" s="22"/>
      <c r="P52" s="125"/>
      <c r="Q52" s="91"/>
    </row>
    <row r="53" spans="1:17" ht="20.25" thickBot="1" x14ac:dyDescent="0.3">
      <c r="A53" s="167"/>
      <c r="B53" s="147"/>
      <c r="C53" s="174"/>
      <c r="D53" s="876"/>
      <c r="E53" s="80"/>
      <c r="F53" s="124"/>
      <c r="G53" s="212"/>
      <c r="H53" s="80"/>
      <c r="I53" s="80"/>
      <c r="J53" s="124"/>
      <c r="K53" s="212"/>
      <c r="L53" s="80"/>
      <c r="M53" s="80"/>
      <c r="N53" s="124"/>
      <c r="O53" s="80"/>
      <c r="P53" s="126"/>
      <c r="Q53" s="550"/>
    </row>
    <row r="54" spans="1:17" ht="15.75" x14ac:dyDescent="0.25">
      <c r="A54" s="66"/>
      <c r="B54" s="146"/>
      <c r="C54" s="175"/>
      <c r="D54" s="17"/>
      <c r="E54" s="249"/>
      <c r="F54" s="122"/>
      <c r="G54" s="324"/>
      <c r="H54" s="166"/>
      <c r="I54" s="249"/>
      <c r="J54" s="261"/>
      <c r="K54" s="324"/>
      <c r="L54" s="249"/>
      <c r="M54" s="166"/>
      <c r="N54" s="261"/>
      <c r="O54" s="183"/>
      <c r="P54" s="125"/>
      <c r="Q54" s="122"/>
    </row>
    <row r="55" spans="1:17" ht="15.75" x14ac:dyDescent="0.25">
      <c r="A55" s="32"/>
      <c r="B55" s="170"/>
      <c r="C55" s="135" t="s">
        <v>267</v>
      </c>
      <c r="D55" s="10" t="s">
        <v>268</v>
      </c>
      <c r="E55" s="33" t="s">
        <v>269</v>
      </c>
      <c r="F55" s="349" t="s">
        <v>270</v>
      </c>
      <c r="G55" s="262" t="s">
        <v>271</v>
      </c>
      <c r="H55" s="10" t="s">
        <v>272</v>
      </c>
      <c r="I55" s="33" t="s">
        <v>273</v>
      </c>
      <c r="J55" s="263" t="s">
        <v>51</v>
      </c>
      <c r="K55" s="262" t="s">
        <v>52</v>
      </c>
      <c r="L55" s="33" t="s">
        <v>53</v>
      </c>
      <c r="M55" s="10" t="s">
        <v>274</v>
      </c>
      <c r="N55" s="263" t="s">
        <v>275</v>
      </c>
      <c r="O55" s="37"/>
      <c r="P55" s="120"/>
      <c r="Q55" s="349" t="s">
        <v>7</v>
      </c>
    </row>
    <row r="56" spans="1:17" ht="19.5" x14ac:dyDescent="0.25">
      <c r="A56" s="168"/>
      <c r="B56" s="139" t="s">
        <v>327</v>
      </c>
      <c r="C56" s="136">
        <f>C5</f>
        <v>2025</v>
      </c>
      <c r="D56" s="13">
        <f t="shared" ref="D56:N56" si="26">D5</f>
        <v>2025</v>
      </c>
      <c r="E56" s="64">
        <f t="shared" si="26"/>
        <v>2025</v>
      </c>
      <c r="F56" s="851">
        <f t="shared" si="26"/>
        <v>2026</v>
      </c>
      <c r="G56" s="308">
        <f t="shared" si="26"/>
        <v>2026</v>
      </c>
      <c r="H56" s="13">
        <f t="shared" si="26"/>
        <v>2026</v>
      </c>
      <c r="I56" s="64">
        <f t="shared" si="26"/>
        <v>2026</v>
      </c>
      <c r="J56" s="264">
        <f t="shared" si="26"/>
        <v>2026</v>
      </c>
      <c r="K56" s="308">
        <f t="shared" si="26"/>
        <v>2026</v>
      </c>
      <c r="L56" s="64">
        <f t="shared" si="26"/>
        <v>2026</v>
      </c>
      <c r="M56" s="13">
        <f t="shared" si="26"/>
        <v>2026</v>
      </c>
      <c r="N56" s="264">
        <f t="shared" si="26"/>
        <v>2026</v>
      </c>
      <c r="O56" s="176" t="s">
        <v>17</v>
      </c>
      <c r="P56" s="250" t="s">
        <v>15</v>
      </c>
      <c r="Q56" s="851" t="s">
        <v>10</v>
      </c>
    </row>
    <row r="57" spans="1:17" ht="15.75" x14ac:dyDescent="0.25">
      <c r="A57" s="66"/>
      <c r="B57" s="146"/>
      <c r="C57" s="137"/>
      <c r="D57" s="7"/>
      <c r="E57" s="60"/>
      <c r="F57" s="854"/>
      <c r="G57" s="351"/>
      <c r="H57" s="7"/>
      <c r="I57" s="60"/>
      <c r="J57" s="352"/>
      <c r="K57" s="351"/>
      <c r="L57" s="60"/>
      <c r="M57" s="7"/>
      <c r="N57" s="352"/>
      <c r="O57" s="87"/>
      <c r="P57" s="326"/>
      <c r="Q57" s="854"/>
    </row>
    <row r="58" spans="1:17" ht="15.75" x14ac:dyDescent="0.25">
      <c r="A58" s="66"/>
      <c r="B58" s="146" t="s">
        <v>328</v>
      </c>
      <c r="C58" s="529">
        <v>7.4999999999999997E-2</v>
      </c>
      <c r="D58" s="25">
        <f>C58</f>
        <v>7.4999999999999997E-2</v>
      </c>
      <c r="E58" s="521">
        <f>C58</f>
        <v>7.4999999999999997E-2</v>
      </c>
      <c r="F58" s="855">
        <v>7.1999999999999995E-2</v>
      </c>
      <c r="G58" s="435">
        <f>F58</f>
        <v>7.1999999999999995E-2</v>
      </c>
      <c r="H58" s="25">
        <f>F58</f>
        <v>7.1999999999999995E-2</v>
      </c>
      <c r="I58" s="521">
        <v>6.7799999999999999E-2</v>
      </c>
      <c r="J58" s="432">
        <f>I58</f>
        <v>6.7799999999999999E-2</v>
      </c>
      <c r="K58" s="433">
        <f>I58</f>
        <v>6.7799999999999999E-2</v>
      </c>
      <c r="L58" s="799">
        <v>6.7500000000000004E-2</v>
      </c>
      <c r="M58" s="436">
        <f>L58</f>
        <v>6.7500000000000004E-2</v>
      </c>
      <c r="N58" s="437">
        <f>L58</f>
        <v>6.7500000000000004E-2</v>
      </c>
      <c r="O58" s="22"/>
      <c r="P58" s="125"/>
      <c r="Q58" s="123"/>
    </row>
    <row r="59" spans="1:17" ht="15.75" x14ac:dyDescent="0.25">
      <c r="A59" s="66"/>
      <c r="B59" s="146" t="s">
        <v>329</v>
      </c>
      <c r="C59" s="800">
        <v>365</v>
      </c>
      <c r="D59" s="17">
        <f>C59</f>
        <v>365</v>
      </c>
      <c r="E59" s="91">
        <f>C59</f>
        <v>365</v>
      </c>
      <c r="F59" s="123">
        <v>365</v>
      </c>
      <c r="G59" s="332">
        <f>F59</f>
        <v>365</v>
      </c>
      <c r="H59" s="17">
        <f>F59</f>
        <v>365</v>
      </c>
      <c r="I59" s="91">
        <f>F59</f>
        <v>365</v>
      </c>
      <c r="J59" s="348">
        <f>F59</f>
        <v>365</v>
      </c>
      <c r="K59" s="332">
        <f>F59</f>
        <v>365</v>
      </c>
      <c r="L59" s="91">
        <f>G59</f>
        <v>365</v>
      </c>
      <c r="M59" s="17">
        <f>F59</f>
        <v>365</v>
      </c>
      <c r="N59" s="348">
        <f>F59</f>
        <v>365</v>
      </c>
      <c r="O59" s="22">
        <f>N59</f>
        <v>365</v>
      </c>
      <c r="P59" s="125"/>
      <c r="Q59" s="123"/>
    </row>
    <row r="60" spans="1:17" ht="15.75" x14ac:dyDescent="0.25">
      <c r="A60" s="66"/>
      <c r="B60" s="146" t="s">
        <v>330</v>
      </c>
      <c r="C60" s="800">
        <v>31</v>
      </c>
      <c r="D60" s="17">
        <v>30</v>
      </c>
      <c r="E60" s="91">
        <v>31</v>
      </c>
      <c r="F60" s="123">
        <v>31</v>
      </c>
      <c r="G60" s="332">
        <v>28</v>
      </c>
      <c r="H60" s="17">
        <v>31</v>
      </c>
      <c r="I60" s="91">
        <v>30</v>
      </c>
      <c r="J60" s="348">
        <v>31</v>
      </c>
      <c r="K60" s="332">
        <v>30</v>
      </c>
      <c r="L60" s="91">
        <v>31</v>
      </c>
      <c r="M60" s="17">
        <v>31</v>
      </c>
      <c r="N60" s="348">
        <v>30</v>
      </c>
      <c r="O60" s="22">
        <f>SUM(C60:N60)</f>
        <v>365</v>
      </c>
      <c r="P60" s="125"/>
      <c r="Q60" s="123"/>
    </row>
    <row r="61" spans="1:17" ht="15.75" x14ac:dyDescent="0.25">
      <c r="A61" s="66"/>
      <c r="B61" s="146" t="s">
        <v>331</v>
      </c>
      <c r="C61" s="529">
        <f>(C58/C59)*C60</f>
        <v>6.3698630136986298E-3</v>
      </c>
      <c r="D61" s="25">
        <f t="shared" ref="D61:N61" si="27">(D58/D59)*D60</f>
        <v>6.1643835616438354E-3</v>
      </c>
      <c r="E61" s="521">
        <f t="shared" si="27"/>
        <v>6.3698630136986298E-3</v>
      </c>
      <c r="F61" s="855">
        <f t="shared" si="27"/>
        <v>6.1150684931506848E-3</v>
      </c>
      <c r="G61" s="435">
        <f t="shared" si="27"/>
        <v>5.5232876712328766E-3</v>
      </c>
      <c r="H61" s="25">
        <f t="shared" si="27"/>
        <v>6.1150684931506848E-3</v>
      </c>
      <c r="I61" s="521">
        <f t="shared" si="27"/>
        <v>5.5726027397260272E-3</v>
      </c>
      <c r="J61" s="432">
        <f t="shared" si="27"/>
        <v>5.7583561643835615E-3</v>
      </c>
      <c r="K61" s="433">
        <f t="shared" si="27"/>
        <v>5.5726027397260272E-3</v>
      </c>
      <c r="L61" s="521">
        <f t="shared" si="27"/>
        <v>5.7328767123287676E-3</v>
      </c>
      <c r="M61" s="25">
        <f t="shared" si="27"/>
        <v>5.7328767123287676E-3</v>
      </c>
      <c r="N61" s="432">
        <f t="shared" si="27"/>
        <v>5.5479452054794523E-3</v>
      </c>
      <c r="O61" s="867">
        <f>SUM(C61:N61)</f>
        <v>7.0574794520547948E-2</v>
      </c>
      <c r="P61" s="125"/>
      <c r="Q61" s="123"/>
    </row>
    <row r="62" spans="1:17" ht="15.75" x14ac:dyDescent="0.25">
      <c r="A62" s="801"/>
      <c r="B62" s="146" t="s">
        <v>332</v>
      </c>
      <c r="C62" s="802">
        <v>6.4000000000000003E-3</v>
      </c>
      <c r="D62" s="735">
        <v>6.1999999999999998E-3</v>
      </c>
      <c r="E62" s="804">
        <v>6.4000000000000003E-3</v>
      </c>
      <c r="F62" s="856">
        <v>6.1000000000000004E-3</v>
      </c>
      <c r="G62" s="803">
        <v>5.4999999999999997E-3</v>
      </c>
      <c r="H62" s="735">
        <v>6.1000000000000004E-3</v>
      </c>
      <c r="I62" s="804">
        <v>5.5999999999999999E-3</v>
      </c>
      <c r="J62" s="805">
        <v>5.7999999999999996E-3</v>
      </c>
      <c r="K62" s="806">
        <v>5.5999999999999999E-3</v>
      </c>
      <c r="L62" s="804">
        <v>5.7000000000000002E-3</v>
      </c>
      <c r="M62" s="735">
        <v>5.7000000000000002E-3</v>
      </c>
      <c r="N62" s="805">
        <v>5.4999999999999997E-3</v>
      </c>
      <c r="O62" s="868">
        <f>SUM(C62:N62)</f>
        <v>7.060000000000001E-2</v>
      </c>
      <c r="P62" s="807"/>
      <c r="Q62" s="870"/>
    </row>
    <row r="63" spans="1:17" ht="16.5" thickBot="1" x14ac:dyDescent="0.3">
      <c r="A63" s="808"/>
      <c r="B63" s="147" t="s">
        <v>69</v>
      </c>
      <c r="C63" s="530">
        <f>C61-C62</f>
        <v>-3.0136986301370489E-5</v>
      </c>
      <c r="D63" s="531">
        <f t="shared" ref="D63:N63" si="28">D61-D62</f>
        <v>-3.5616438356164334E-5</v>
      </c>
      <c r="E63" s="533">
        <f t="shared" si="28"/>
        <v>-3.0136986301370489E-5</v>
      </c>
      <c r="F63" s="857">
        <f t="shared" si="28"/>
        <v>1.5068493150684377E-5</v>
      </c>
      <c r="G63" s="532">
        <f t="shared" si="28"/>
        <v>2.328767123287688E-5</v>
      </c>
      <c r="H63" s="531">
        <f t="shared" si="28"/>
        <v>1.5068493150684377E-5</v>
      </c>
      <c r="I63" s="533">
        <f t="shared" si="28"/>
        <v>-2.7397260273972698E-5</v>
      </c>
      <c r="J63" s="534">
        <f t="shared" si="28"/>
        <v>-4.1643835616438085E-5</v>
      </c>
      <c r="K63" s="532">
        <f t="shared" si="28"/>
        <v>-2.7397260273972698E-5</v>
      </c>
      <c r="L63" s="533">
        <f t="shared" si="28"/>
        <v>3.2876712328767412E-5</v>
      </c>
      <c r="M63" s="531">
        <f t="shared" si="28"/>
        <v>3.2876712328767412E-5</v>
      </c>
      <c r="N63" s="534">
        <f t="shared" si="28"/>
        <v>4.7945205479452656E-5</v>
      </c>
      <c r="O63" s="869">
        <f>SUM(C63:N63)</f>
        <v>-2.520547945205568E-5</v>
      </c>
      <c r="P63" s="809"/>
      <c r="Q63" s="871"/>
    </row>
    <row r="65" spans="1:17" ht="15.75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143"/>
      <c r="L65" s="22"/>
      <c r="M65" s="22"/>
      <c r="N65" s="22"/>
      <c r="O65" s="22"/>
      <c r="P65" s="22"/>
      <c r="Q65" s="22"/>
    </row>
    <row r="66" spans="1:17" ht="15.75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5.75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5.75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ht="15.75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5.75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5.75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ht="15.75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</sheetData>
  <printOptions horizontalCentered="1"/>
  <pageMargins left="0" right="0" top="1" bottom="0.5" header="0.5" footer="0.25"/>
  <pageSetup scale="73" orientation="portrait" r:id="rId1"/>
  <headerFooter alignWithMargins="0">
    <oddHeader>&amp;C&amp;"Times New Roman,Bold"&amp;14San Diego Gas &amp; Electric Co.
TRBAA Monthly Activities Applicable to BK1 and BK2 
For the 12-Month Period Ending September 30,&amp;KFF0000 &amp;K0000002026
2027 Annual TRBAA Rate Filing</oddHeader>
    <oddFooter>&amp;L&amp;"Times New Roman,Regular"&amp;12&amp;F&amp;C&amp;"Times New Roman,Regular"&amp;12Page 4.&amp;P&amp;R&amp;"Times New Roman,Regular"&amp;12&amp;A</oddFooter>
  </headerFooter>
  <colBreaks count="3" manualBreakCount="3">
    <brk id="6" max="43" man="1"/>
    <brk id="10" max="43" man="1"/>
    <brk id="14" max="4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12"/>
  <sheetViews>
    <sheetView zoomScale="80" zoomScaleNormal="80" workbookViewId="0">
      <selection activeCell="B24" sqref="B24"/>
    </sheetView>
  </sheetViews>
  <sheetFormatPr defaultColWidth="9.28515625" defaultRowHeight="12.75" x14ac:dyDescent="0.2"/>
  <cols>
    <col min="1" max="1" width="5.5703125" style="779" bestFit="1" customWidth="1"/>
    <col min="2" max="2" width="135.5703125" style="242" customWidth="1"/>
    <col min="3" max="3" width="5.5703125" style="779" customWidth="1"/>
    <col min="4" max="4" width="5.5703125" style="242" hidden="1" customWidth="1"/>
    <col min="5" max="5" width="11.5703125" style="242" customWidth="1"/>
    <col min="6" max="7" width="9.28515625" style="242"/>
    <col min="8" max="8" width="12.5703125" style="242" bestFit="1" customWidth="1"/>
    <col min="9" max="16384" width="9.28515625" style="242"/>
  </cols>
  <sheetData>
    <row r="1" spans="1:4" ht="16.5" thickBot="1" x14ac:dyDescent="0.3">
      <c r="A1" s="371"/>
      <c r="B1" s="88"/>
      <c r="C1" s="466"/>
      <c r="D1" s="22"/>
    </row>
    <row r="2" spans="1:4" ht="15.75" x14ac:dyDescent="0.25">
      <c r="A2" s="614" t="s">
        <v>7</v>
      </c>
      <c r="B2" s="609"/>
      <c r="C2" s="615" t="s">
        <v>7</v>
      </c>
      <c r="D2" s="59"/>
    </row>
    <row r="3" spans="1:4" ht="16.5" x14ac:dyDescent="0.25">
      <c r="A3" s="616" t="s">
        <v>10</v>
      </c>
      <c r="B3" s="618" t="s">
        <v>333</v>
      </c>
      <c r="C3" s="617" t="s">
        <v>10</v>
      </c>
      <c r="D3" s="64"/>
    </row>
    <row r="4" spans="1:4" ht="22.5" x14ac:dyDescent="0.3">
      <c r="A4" s="610"/>
      <c r="B4" s="145"/>
      <c r="C4" s="611"/>
      <c r="D4" s="144"/>
    </row>
    <row r="5" spans="1:4" ht="35.25" x14ac:dyDescent="0.3">
      <c r="A5" s="355">
        <v>1</v>
      </c>
      <c r="B5" s="879" t="s">
        <v>334</v>
      </c>
      <c r="C5" s="359">
        <v>1</v>
      </c>
      <c r="D5" s="144"/>
    </row>
    <row r="6" spans="1:4" ht="22.5" x14ac:dyDescent="0.3">
      <c r="A6" s="355">
        <f>A5+1</f>
        <v>2</v>
      </c>
      <c r="B6" s="145"/>
      <c r="C6" s="359">
        <f>C5+1</f>
        <v>2</v>
      </c>
      <c r="D6" s="144"/>
    </row>
    <row r="7" spans="1:4" ht="35.25" x14ac:dyDescent="0.3">
      <c r="A7" s="355">
        <f t="shared" ref="A7:A9" si="0">A6+1</f>
        <v>3</v>
      </c>
      <c r="B7" s="879" t="s">
        <v>335</v>
      </c>
      <c r="C7" s="359">
        <f t="shared" ref="C7" si="1">C6+1</f>
        <v>3</v>
      </c>
      <c r="D7" s="144"/>
    </row>
    <row r="8" spans="1:4" ht="22.5" x14ac:dyDescent="0.3">
      <c r="A8" s="355">
        <f t="shared" si="0"/>
        <v>4</v>
      </c>
      <c r="B8" s="22"/>
      <c r="C8" s="359">
        <f t="shared" ref="C8:C9" si="2">C7+1</f>
        <v>4</v>
      </c>
      <c r="D8" s="144"/>
    </row>
    <row r="9" spans="1:4" ht="50.25" x14ac:dyDescent="0.3">
      <c r="A9" s="355">
        <f t="shared" si="0"/>
        <v>5</v>
      </c>
      <c r="B9" s="880" t="s">
        <v>336</v>
      </c>
      <c r="C9" s="359">
        <f t="shared" si="2"/>
        <v>5</v>
      </c>
      <c r="D9" s="144"/>
    </row>
    <row r="10" spans="1:4" ht="16.5" thickBot="1" x14ac:dyDescent="0.25">
      <c r="A10" s="612"/>
      <c r="B10" s="55"/>
      <c r="C10" s="613"/>
      <c r="D10" s="142"/>
    </row>
    <row r="11" spans="1:4" x14ac:dyDescent="0.2">
      <c r="A11" s="360"/>
      <c r="B11" s="1"/>
      <c r="C11" s="360"/>
      <c r="D11" s="1"/>
    </row>
    <row r="12" spans="1:4" x14ac:dyDescent="0.2">
      <c r="A12" s="360"/>
      <c r="B12" s="1"/>
      <c r="C12" s="360"/>
      <c r="D12" s="1"/>
    </row>
  </sheetData>
  <phoneticPr fontId="15" type="noConversion"/>
  <printOptions horizontalCentered="1"/>
  <pageMargins left="0.5" right="0.5" top="1.25" bottom="0.5" header="0.5" footer="0.25"/>
  <pageSetup scale="90" orientation="landscape" r:id="rId1"/>
  <headerFooter alignWithMargins="0">
    <oddHeader xml:space="preserve">&amp;C&amp;"Times New Roman,Bold"&amp;14San Diego Gas &amp;&amp; Electric Co.
2027 &amp;K000000TRBAA Rate Filing
Monthly TRBAA Details for Period Ending September 30, 2026
</oddHeader>
    <oddFooter>&amp;L&amp;"Times New Roman,Regular"&amp;11&amp;F&amp;C&amp;"Times New Roman,Regular"&amp;11Page 4.5&amp;R&amp;"Times New Roman,Regular"&amp;11&amp;A</oddFooter>
  </headerFooter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S52"/>
  <sheetViews>
    <sheetView zoomScale="80" zoomScaleNormal="80" workbookViewId="0">
      <pane xSplit="2" ySplit="5" topLeftCell="C6" activePane="bottomRight" state="frozen"/>
      <selection pane="topRight"/>
      <selection pane="bottomLeft"/>
      <selection pane="bottomRight" activeCell="F37" sqref="F37"/>
    </sheetView>
  </sheetViews>
  <sheetFormatPr defaultColWidth="8.7109375" defaultRowHeight="15.75" x14ac:dyDescent="0.25"/>
  <cols>
    <col min="1" max="1" width="5.5703125" style="22" customWidth="1"/>
    <col min="2" max="2" width="65.5703125" style="22" customWidth="1"/>
    <col min="3" max="15" width="15.5703125" style="22" customWidth="1"/>
    <col min="16" max="16" width="40.5703125" style="22" customWidth="1"/>
    <col min="17" max="17" width="5.5703125" style="22" customWidth="1"/>
    <col min="18" max="18" width="8.7109375" style="22"/>
    <col min="19" max="19" width="14.42578125" style="22" bestFit="1" customWidth="1"/>
    <col min="20" max="16384" width="8.7109375" style="22"/>
  </cols>
  <sheetData>
    <row r="2" spans="1:19" ht="16.5" thickBot="1" x14ac:dyDescent="0.3">
      <c r="C2" s="3"/>
    </row>
    <row r="3" spans="1:19" x14ac:dyDescent="0.25">
      <c r="A3" s="286"/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2"/>
    </row>
    <row r="4" spans="1:19" x14ac:dyDescent="0.25">
      <c r="A4" s="545" t="s">
        <v>7</v>
      </c>
      <c r="B4" s="94"/>
      <c r="C4" s="75" t="s">
        <v>267</v>
      </c>
      <c r="D4" s="75" t="s">
        <v>268</v>
      </c>
      <c r="E4" s="75" t="s">
        <v>269</v>
      </c>
      <c r="F4" s="75" t="s">
        <v>270</v>
      </c>
      <c r="G4" s="75" t="s">
        <v>271</v>
      </c>
      <c r="H4" s="75" t="s">
        <v>272</v>
      </c>
      <c r="I4" s="75" t="s">
        <v>273</v>
      </c>
      <c r="J4" s="75" t="s">
        <v>51</v>
      </c>
      <c r="K4" s="75" t="s">
        <v>52</v>
      </c>
      <c r="L4" s="75" t="s">
        <v>53</v>
      </c>
      <c r="M4" s="75" t="s">
        <v>274</v>
      </c>
      <c r="N4" s="75" t="s">
        <v>275</v>
      </c>
      <c r="O4" s="75"/>
      <c r="P4" s="75"/>
      <c r="Q4" s="546" t="s">
        <v>7</v>
      </c>
    </row>
    <row r="5" spans="1:19" ht="16.5" thickBot="1" x14ac:dyDescent="0.3">
      <c r="A5" s="563" t="s">
        <v>10</v>
      </c>
      <c r="B5" s="153" t="s">
        <v>64</v>
      </c>
      <c r="C5" s="153">
        <v>2025</v>
      </c>
      <c r="D5" s="153">
        <f>C5</f>
        <v>2025</v>
      </c>
      <c r="E5" s="153">
        <f>C5</f>
        <v>2025</v>
      </c>
      <c r="F5" s="153">
        <f>$C5+1</f>
        <v>2026</v>
      </c>
      <c r="G5" s="153">
        <f t="shared" ref="G5:N5" si="0">$C5+1</f>
        <v>2026</v>
      </c>
      <c r="H5" s="153">
        <f t="shared" si="0"/>
        <v>2026</v>
      </c>
      <c r="I5" s="153">
        <f t="shared" si="0"/>
        <v>2026</v>
      </c>
      <c r="J5" s="153">
        <f t="shared" si="0"/>
        <v>2026</v>
      </c>
      <c r="K5" s="153">
        <f t="shared" si="0"/>
        <v>2026</v>
      </c>
      <c r="L5" s="153">
        <f t="shared" si="0"/>
        <v>2026</v>
      </c>
      <c r="M5" s="153">
        <f t="shared" si="0"/>
        <v>2026</v>
      </c>
      <c r="N5" s="153">
        <f t="shared" si="0"/>
        <v>2026</v>
      </c>
      <c r="O5" s="153" t="s">
        <v>17</v>
      </c>
      <c r="P5" s="153" t="s">
        <v>15</v>
      </c>
      <c r="Q5" s="564" t="s">
        <v>10</v>
      </c>
    </row>
    <row r="6" spans="1:19" x14ac:dyDescent="0.25">
      <c r="A6" s="332"/>
      <c r="B6" s="76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348"/>
    </row>
    <row r="7" spans="1:19" x14ac:dyDescent="0.25">
      <c r="A7" s="262">
        <v>1</v>
      </c>
      <c r="B7" s="94" t="s">
        <v>337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26"/>
      <c r="Q7" s="263">
        <v>1</v>
      </c>
      <c r="S7" s="468"/>
    </row>
    <row r="8" spans="1:19" x14ac:dyDescent="0.25">
      <c r="A8" s="262">
        <f t="shared" ref="A8:A14" si="1">A7+1</f>
        <v>2</v>
      </c>
      <c r="B8" s="17" t="s">
        <v>338</v>
      </c>
      <c r="C8" s="141">
        <v>-3748399.12</v>
      </c>
      <c r="D8" s="141">
        <v>-2777385.35</v>
      </c>
      <c r="E8" s="327">
        <v>-2287379.23</v>
      </c>
      <c r="F8" s="141">
        <v>-1487306.6300000001</v>
      </c>
      <c r="G8" s="327">
        <v>-1832597.95</v>
      </c>
      <c r="H8" s="141">
        <v>-1575020.07</v>
      </c>
      <c r="I8" s="327">
        <v>-4157426.5799999996</v>
      </c>
      <c r="J8" s="141">
        <v>-5597119.1200000001</v>
      </c>
      <c r="K8" s="327">
        <v>-5332304.78</v>
      </c>
      <c r="L8" s="141">
        <v>-2666302.64</v>
      </c>
      <c r="M8" s="327">
        <v>-3685345.3400000003</v>
      </c>
      <c r="N8" s="141">
        <v>-7504767.8600000003</v>
      </c>
      <c r="O8" s="256">
        <f>SUM(C8:N8)</f>
        <v>-42651354.670000002</v>
      </c>
      <c r="P8" s="33" t="s">
        <v>339</v>
      </c>
      <c r="Q8" s="263">
        <f t="shared" ref="Q8:Q14" si="2">Q7+1</f>
        <v>2</v>
      </c>
      <c r="S8" s="469"/>
    </row>
    <row r="9" spans="1:19" x14ac:dyDescent="0.25">
      <c r="A9" s="262">
        <f t="shared" si="1"/>
        <v>3</v>
      </c>
      <c r="B9" s="17" t="s">
        <v>340</v>
      </c>
      <c r="C9" s="44">
        <v>972564.55</v>
      </c>
      <c r="D9" s="44">
        <v>908562.46</v>
      </c>
      <c r="E9" s="44">
        <v>376079.18</v>
      </c>
      <c r="F9" s="44">
        <v>572809.1</v>
      </c>
      <c r="G9" s="44">
        <v>618964.53999999992</v>
      </c>
      <c r="H9" s="44">
        <v>757352.71000000008</v>
      </c>
      <c r="I9" s="44">
        <v>877306.82</v>
      </c>
      <c r="J9" s="44">
        <v>1494016.2</v>
      </c>
      <c r="K9" s="44">
        <v>1193533.06</v>
      </c>
      <c r="L9" s="44">
        <v>3758.82</v>
      </c>
      <c r="M9" s="44">
        <v>-1375660.6199999999</v>
      </c>
      <c r="N9" s="44">
        <v>-2592.35</v>
      </c>
      <c r="O9" s="44">
        <f>SUM(C9:N9)</f>
        <v>6396694.4700000016</v>
      </c>
      <c r="P9" s="33" t="s">
        <v>341</v>
      </c>
      <c r="Q9" s="263">
        <f t="shared" si="2"/>
        <v>3</v>
      </c>
      <c r="S9" s="469"/>
    </row>
    <row r="10" spans="1:19" s="470" customFormat="1" x14ac:dyDescent="0.25">
      <c r="A10" s="619">
        <f t="shared" si="1"/>
        <v>4</v>
      </c>
      <c r="B10" s="17" t="s">
        <v>342</v>
      </c>
      <c r="C10" s="467">
        <f t="shared" ref="C10:N10" si="3">SUM(C8:C9)</f>
        <v>-2775834.5700000003</v>
      </c>
      <c r="D10" s="467">
        <f t="shared" si="3"/>
        <v>-1868822.8900000001</v>
      </c>
      <c r="E10" s="467">
        <f>SUM(E8:E9)</f>
        <v>-1911300.05</v>
      </c>
      <c r="F10" s="467">
        <f t="shared" si="3"/>
        <v>-914497.53000000014</v>
      </c>
      <c r="G10" s="467">
        <f t="shared" si="3"/>
        <v>-1213633.4100000001</v>
      </c>
      <c r="H10" s="467">
        <f t="shared" si="3"/>
        <v>-817667.36</v>
      </c>
      <c r="I10" s="467">
        <f t="shared" si="3"/>
        <v>-3280119.76</v>
      </c>
      <c r="J10" s="467">
        <f t="shared" si="3"/>
        <v>-4103102.92</v>
      </c>
      <c r="K10" s="467">
        <f t="shared" si="3"/>
        <v>-4138771.72</v>
      </c>
      <c r="L10" s="467">
        <f t="shared" si="3"/>
        <v>-2662543.8200000003</v>
      </c>
      <c r="M10" s="467">
        <f t="shared" si="3"/>
        <v>-5061005.96</v>
      </c>
      <c r="N10" s="467">
        <f t="shared" si="3"/>
        <v>-7507360.21</v>
      </c>
      <c r="O10" s="473">
        <f>SUM(O8:O9)</f>
        <v>-36254660.200000003</v>
      </c>
      <c r="P10" s="10"/>
      <c r="Q10" s="263">
        <f t="shared" si="2"/>
        <v>4</v>
      </c>
    </row>
    <row r="11" spans="1:19" ht="16.5" thickBot="1" x14ac:dyDescent="0.3">
      <c r="A11" s="300">
        <f>A10+1</f>
        <v>5</v>
      </c>
      <c r="B11" s="99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412"/>
      <c r="P11" s="57"/>
      <c r="Q11" s="301">
        <f>Q10+1</f>
        <v>5</v>
      </c>
    </row>
    <row r="12" spans="1:19" x14ac:dyDescent="0.25">
      <c r="A12" s="262">
        <f t="shared" si="1"/>
        <v>6</v>
      </c>
      <c r="B12" s="98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228"/>
      <c r="P12" s="26"/>
      <c r="Q12" s="263">
        <f t="shared" si="2"/>
        <v>6</v>
      </c>
    </row>
    <row r="13" spans="1:19" ht="16.5" thickBot="1" x14ac:dyDescent="0.3">
      <c r="A13" s="262">
        <f>A12+1</f>
        <v>7</v>
      </c>
      <c r="B13" s="94" t="s">
        <v>343</v>
      </c>
      <c r="C13" s="232">
        <v>1500</v>
      </c>
      <c r="D13" s="232">
        <v>1500</v>
      </c>
      <c r="E13" s="232">
        <v>1500</v>
      </c>
      <c r="F13" s="232">
        <v>1500</v>
      </c>
      <c r="G13" s="232">
        <v>1500</v>
      </c>
      <c r="H13" s="232">
        <v>1500</v>
      </c>
      <c r="I13" s="232">
        <v>1500</v>
      </c>
      <c r="J13" s="232">
        <v>1500</v>
      </c>
      <c r="K13" s="232">
        <v>1500</v>
      </c>
      <c r="L13" s="232">
        <v>1500</v>
      </c>
      <c r="M13" s="232">
        <v>1500</v>
      </c>
      <c r="N13" s="232">
        <v>1500</v>
      </c>
      <c r="O13" s="192">
        <f>SUM(C13:N13)</f>
        <v>18000</v>
      </c>
      <c r="P13" s="10" t="s">
        <v>344</v>
      </c>
      <c r="Q13" s="263">
        <f>Q12+1</f>
        <v>7</v>
      </c>
    </row>
    <row r="14" spans="1:19" ht="17.25" thickTop="1" thickBot="1" x14ac:dyDescent="0.3">
      <c r="A14" s="300">
        <f t="shared" si="1"/>
        <v>8</v>
      </c>
      <c r="B14" s="81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412"/>
      <c r="P14" s="57"/>
      <c r="Q14" s="301">
        <f t="shared" si="2"/>
        <v>8</v>
      </c>
    </row>
    <row r="15" spans="1:19" x14ac:dyDescent="0.25">
      <c r="A15" s="262">
        <f>A14+1</f>
        <v>9</v>
      </c>
      <c r="B15" s="17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228"/>
      <c r="P15" s="10"/>
      <c r="Q15" s="263">
        <f t="shared" ref="Q15:Q20" si="4">Q14+1</f>
        <v>9</v>
      </c>
    </row>
    <row r="16" spans="1:19" ht="16.5" thickBot="1" x14ac:dyDescent="0.3">
      <c r="A16" s="262">
        <f>A15+1</f>
        <v>10</v>
      </c>
      <c r="B16" s="74" t="s">
        <v>345</v>
      </c>
      <c r="C16" s="232">
        <f>'WP 10 ETC Costs'!D62</f>
        <v>-849605.3600000001</v>
      </c>
      <c r="D16" s="232">
        <f>'WP 10 ETC Costs'!E62</f>
        <v>-48116.040000000052</v>
      </c>
      <c r="E16" s="232">
        <f>'WP 10 ETC Costs'!F62</f>
        <v>71552.929999999964</v>
      </c>
      <c r="F16" s="232">
        <f>'WP 10 ETC Costs'!G62</f>
        <v>75403.47</v>
      </c>
      <c r="G16" s="232">
        <f>'WP 10 ETC Costs'!H62</f>
        <v>91378.789999999906</v>
      </c>
      <c r="H16" s="232">
        <f>'WP 10 ETC Costs'!I62</f>
        <v>7763.6499999999342</v>
      </c>
      <c r="I16" s="232">
        <f>'WP 10 ETC Costs'!J62</f>
        <v>18147.450000000073</v>
      </c>
      <c r="J16" s="232">
        <f>'WP 10 ETC Costs'!K62</f>
        <v>83699.37</v>
      </c>
      <c r="K16" s="232">
        <f>'WP 10 ETC Costs'!L62</f>
        <v>102512.79000000001</v>
      </c>
      <c r="L16" s="232">
        <f>'WP 10 ETC Costs'!M62</f>
        <v>53320.55000000009</v>
      </c>
      <c r="M16" s="232">
        <f>'WP 10 ETC Costs'!N62</f>
        <v>38491.419999999984</v>
      </c>
      <c r="N16" s="232">
        <f>'WP 10 ETC Costs'!O62</f>
        <v>-200901.73246000017</v>
      </c>
      <c r="O16" s="192">
        <f>SUM(C16:N16)</f>
        <v>-556352.71246000042</v>
      </c>
      <c r="P16" s="10" t="s">
        <v>465</v>
      </c>
      <c r="Q16" s="263">
        <f t="shared" si="4"/>
        <v>10</v>
      </c>
    </row>
    <row r="17" spans="1:17" ht="17.25" thickTop="1" thickBot="1" x14ac:dyDescent="0.3">
      <c r="A17" s="300">
        <f>A16+1</f>
        <v>11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471"/>
      <c r="P17" s="57"/>
      <c r="Q17" s="301">
        <f t="shared" si="4"/>
        <v>11</v>
      </c>
    </row>
    <row r="18" spans="1:17" x14ac:dyDescent="0.25">
      <c r="A18" s="262">
        <f>A17+1</f>
        <v>12</v>
      </c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28"/>
      <c r="P18" s="10"/>
      <c r="Q18" s="263">
        <f t="shared" si="4"/>
        <v>12</v>
      </c>
    </row>
    <row r="19" spans="1:17" ht="16.5" thickBot="1" x14ac:dyDescent="0.3">
      <c r="A19" s="262">
        <f t="shared" ref="A19:A20" si="5">A18+1</f>
        <v>13</v>
      </c>
      <c r="B19" s="94" t="s">
        <v>346</v>
      </c>
      <c r="C19" s="232">
        <f>'WP 12 PTO'!D17</f>
        <v>-427494.79</v>
      </c>
      <c r="D19" s="232">
        <f>'WP 12 PTO'!E17</f>
        <v>-900277.63</v>
      </c>
      <c r="E19" s="232">
        <f>'WP 12 PTO'!F17</f>
        <v>-536462.12</v>
      </c>
      <c r="F19" s="232">
        <f>'WP 12 PTO'!G17</f>
        <v>-779714.78</v>
      </c>
      <c r="G19" s="232">
        <f>'WP 12 PTO'!H17</f>
        <v>-577687.06999999995</v>
      </c>
      <c r="H19" s="232">
        <f>'WP 12 PTO'!I17</f>
        <v>-679547.41999999993</v>
      </c>
      <c r="I19" s="232">
        <f>'WP 12 PTO'!J17</f>
        <v>-699836.77</v>
      </c>
      <c r="J19" s="232">
        <f>'WP 12 PTO'!K17</f>
        <v>-439932.23000000004</v>
      </c>
      <c r="K19" s="232">
        <f>'WP 12 PTO'!L17</f>
        <v>-420062.77</v>
      </c>
      <c r="L19" s="232">
        <f>'WP 12 PTO'!M17</f>
        <v>-524876.70000000007</v>
      </c>
      <c r="M19" s="232">
        <f>'WP 12 PTO'!N17</f>
        <v>-366317.38</v>
      </c>
      <c r="N19" s="232">
        <f>'WP 12 PTO'!O17</f>
        <v>-6450594.3975400003</v>
      </c>
      <c r="O19" s="192">
        <f>SUM(C19:N19)</f>
        <v>-12802804.057539999</v>
      </c>
      <c r="P19" s="10" t="s">
        <v>457</v>
      </c>
      <c r="Q19" s="263">
        <f t="shared" si="4"/>
        <v>13</v>
      </c>
    </row>
    <row r="20" spans="1:17" ht="17.25" thickTop="1" thickBot="1" x14ac:dyDescent="0.3">
      <c r="A20" s="300">
        <f t="shared" si="5"/>
        <v>14</v>
      </c>
      <c r="B20" s="81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3"/>
      <c r="P20" s="57"/>
      <c r="Q20" s="301">
        <f t="shared" si="4"/>
        <v>14</v>
      </c>
    </row>
    <row r="22" spans="1:17" x14ac:dyDescent="0.25">
      <c r="A22" s="37"/>
    </row>
    <row r="23" spans="1:17" x14ac:dyDescent="0.25">
      <c r="A23" s="37"/>
      <c r="B23" s="22" t="s">
        <v>347</v>
      </c>
    </row>
    <row r="24" spans="1:17" ht="18.75" x14ac:dyDescent="0.25">
      <c r="A24" s="510"/>
      <c r="B24" s="91" t="s">
        <v>17</v>
      </c>
      <c r="C24" s="143">
        <f>C10+C13+C16+C19</f>
        <v>-4051434.7200000007</v>
      </c>
      <c r="D24" s="143">
        <f t="shared" ref="D24:N24" si="6">D10+D13+D16+D19</f>
        <v>-2815716.56</v>
      </c>
      <c r="E24" s="143">
        <f t="shared" si="6"/>
        <v>-2374709.2400000002</v>
      </c>
      <c r="F24" s="143">
        <f t="shared" si="6"/>
        <v>-1617308.8400000003</v>
      </c>
      <c r="G24" s="143">
        <f t="shared" si="6"/>
        <v>-1698441.6900000004</v>
      </c>
      <c r="H24" s="143">
        <f t="shared" si="6"/>
        <v>-1487951.13</v>
      </c>
      <c r="I24" s="143">
        <f t="shared" si="6"/>
        <v>-3960309.0799999996</v>
      </c>
      <c r="J24" s="143">
        <f t="shared" si="6"/>
        <v>-4457835.78</v>
      </c>
      <c r="K24" s="143">
        <f t="shared" si="6"/>
        <v>-4454821.7</v>
      </c>
      <c r="L24" s="143">
        <f t="shared" si="6"/>
        <v>-3132599.97</v>
      </c>
      <c r="M24" s="143">
        <f t="shared" si="6"/>
        <v>-5387331.9199999999</v>
      </c>
      <c r="N24" s="143">
        <f t="shared" si="6"/>
        <v>-14157356.34</v>
      </c>
      <c r="O24" s="143">
        <f>SUM(C24:N24)</f>
        <v>-49595816.969999999</v>
      </c>
    </row>
    <row r="25" spans="1:17" ht="18.75" x14ac:dyDescent="0.25">
      <c r="A25" s="510"/>
      <c r="B25" s="91" t="s">
        <v>348</v>
      </c>
      <c r="C25" s="143">
        <f>'WP 4 Monthly TRBAA '!C21</f>
        <v>-4051434.7200000007</v>
      </c>
      <c r="D25" s="143">
        <f>'WP 4 Monthly TRBAA '!D21</f>
        <v>-2815716.56</v>
      </c>
      <c r="E25" s="143">
        <f>'WP 4 Monthly TRBAA '!E21</f>
        <v>-2374709.2400000002</v>
      </c>
      <c r="F25" s="143">
        <f>'WP 4 Monthly TRBAA '!F21</f>
        <v>-1617308.8400000003</v>
      </c>
      <c r="G25" s="143">
        <f>'WP 4 Monthly TRBAA '!G21</f>
        <v>-1698441.6900000004</v>
      </c>
      <c r="H25" s="143">
        <f>'WP 4 Monthly TRBAA '!H21</f>
        <v>-1487951.13</v>
      </c>
      <c r="I25" s="143">
        <f>'WP 4 Monthly TRBAA '!I21</f>
        <v>-3960309.0799999996</v>
      </c>
      <c r="J25" s="143">
        <f>'WP 4 Monthly TRBAA '!J21</f>
        <v>-4457835.78</v>
      </c>
      <c r="K25" s="143">
        <f>'WP 4 Monthly TRBAA '!K21</f>
        <v>-4454821.7</v>
      </c>
      <c r="L25" s="143">
        <f>'WP 4 Monthly TRBAA '!L21</f>
        <v>-3132599.97</v>
      </c>
      <c r="M25" s="143">
        <f>'WP 4 Monthly TRBAA '!M21</f>
        <v>-5387331.9199999999</v>
      </c>
      <c r="N25" s="143">
        <f>'WP 4 Monthly TRBAA '!N21</f>
        <v>-14157356.34</v>
      </c>
      <c r="O25" s="143">
        <f>SUM(C25:N25)</f>
        <v>-49595816.969999999</v>
      </c>
    </row>
    <row r="26" spans="1:17" ht="19.5" thickBot="1" x14ac:dyDescent="0.3">
      <c r="A26" s="510"/>
      <c r="B26" s="22" t="s">
        <v>69</v>
      </c>
      <c r="C26" s="511">
        <f>C24-C25</f>
        <v>0</v>
      </c>
      <c r="D26" s="511">
        <f t="shared" ref="D26:O26" si="7">D24-D25</f>
        <v>0</v>
      </c>
      <c r="E26" s="511">
        <f t="shared" si="7"/>
        <v>0</v>
      </c>
      <c r="F26" s="511">
        <f t="shared" si="7"/>
        <v>0</v>
      </c>
      <c r="G26" s="511">
        <f t="shared" si="7"/>
        <v>0</v>
      </c>
      <c r="H26" s="511">
        <f t="shared" si="7"/>
        <v>0</v>
      </c>
      <c r="I26" s="511">
        <f t="shared" si="7"/>
        <v>0</v>
      </c>
      <c r="J26" s="511">
        <f t="shared" si="7"/>
        <v>0</v>
      </c>
      <c r="K26" s="511">
        <f t="shared" si="7"/>
        <v>0</v>
      </c>
      <c r="L26" s="511">
        <f t="shared" si="7"/>
        <v>0</v>
      </c>
      <c r="M26" s="511">
        <f t="shared" si="7"/>
        <v>0</v>
      </c>
      <c r="N26" s="511">
        <f>N24-N25</f>
        <v>0</v>
      </c>
      <c r="O26" s="511">
        <f t="shared" si="7"/>
        <v>0</v>
      </c>
    </row>
    <row r="27" spans="1:17" ht="19.5" thickTop="1" x14ac:dyDescent="0.25">
      <c r="A27" s="67"/>
      <c r="C27" s="67"/>
    </row>
    <row r="28" spans="1:17" ht="18.75" x14ac:dyDescent="0.25">
      <c r="A28" s="67"/>
      <c r="C28" s="143"/>
      <c r="O28" s="472"/>
    </row>
    <row r="29" spans="1:17" x14ac:dyDescent="0.25">
      <c r="A29" s="37"/>
    </row>
    <row r="30" spans="1:17" x14ac:dyDescent="0.25">
      <c r="A30" s="37"/>
    </row>
    <row r="31" spans="1:17" x14ac:dyDescent="0.25">
      <c r="A31" s="37"/>
    </row>
    <row r="32" spans="1:17" x14ac:dyDescent="0.25">
      <c r="A32" s="37"/>
    </row>
    <row r="33" spans="1:1" x14ac:dyDescent="0.25">
      <c r="A33" s="37"/>
    </row>
    <row r="34" spans="1:1" x14ac:dyDescent="0.25">
      <c r="A34" s="37"/>
    </row>
    <row r="35" spans="1:1" x14ac:dyDescent="0.25">
      <c r="A35" s="37"/>
    </row>
    <row r="36" spans="1:1" x14ac:dyDescent="0.25">
      <c r="A36" s="37"/>
    </row>
    <row r="37" spans="1:1" x14ac:dyDescent="0.25">
      <c r="A37" s="37"/>
    </row>
    <row r="38" spans="1:1" x14ac:dyDescent="0.25">
      <c r="A38" s="37"/>
    </row>
    <row r="39" spans="1:1" x14ac:dyDescent="0.25">
      <c r="A39" s="37"/>
    </row>
    <row r="40" spans="1:1" x14ac:dyDescent="0.25">
      <c r="A40" s="37"/>
    </row>
    <row r="41" spans="1:1" x14ac:dyDescent="0.25">
      <c r="A41" s="37"/>
    </row>
    <row r="42" spans="1:1" x14ac:dyDescent="0.25">
      <c r="A42" s="37"/>
    </row>
    <row r="43" spans="1:1" x14ac:dyDescent="0.25">
      <c r="A43" s="37"/>
    </row>
    <row r="44" spans="1:1" x14ac:dyDescent="0.25">
      <c r="A44" s="37"/>
    </row>
    <row r="45" spans="1:1" x14ac:dyDescent="0.25">
      <c r="A45" s="37"/>
    </row>
    <row r="46" spans="1:1" x14ac:dyDescent="0.25">
      <c r="A46" s="37"/>
    </row>
    <row r="47" spans="1:1" x14ac:dyDescent="0.25">
      <c r="A47" s="37"/>
    </row>
    <row r="48" spans="1:1" x14ac:dyDescent="0.25">
      <c r="A48" s="37"/>
    </row>
    <row r="49" spans="1:1" x14ac:dyDescent="0.25">
      <c r="A49" s="37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</sheetData>
  <phoneticPr fontId="15" type="noConversion"/>
  <printOptions horizontalCentered="1"/>
  <pageMargins left="0" right="0" top="1" bottom="0.25" header="0.5" footer="0.25"/>
  <pageSetup scale="68" orientation="landscape" r:id="rId1"/>
  <headerFooter alignWithMargins="0">
    <oddHeader xml:space="preserve">&amp;C&amp;"Times New Roman,Bold"&amp;14San Diego Gas &amp;&amp; Electric Company
2027 TRBAA Rate Filing
CAISO Charges Oct. 2025 - Sept. 2026&amp;"Times New Roman,Regular"&amp;K000000
</oddHeader>
    <oddFooter>&amp;L&amp;"Times New Roman,Regular"&amp;12&amp;F&amp;C&amp;"Times New Roman,Regular"&amp;12Page 5.&amp;P&amp;R&amp;"Times New Roman,Regular"&amp;12WP 5  Summary of Monthly CAISO Charges</oddFooter>
  </headerFooter>
  <colBreaks count="1" manualBreakCount="1">
    <brk id="10" max="19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B551-5630-48E8-85A2-2286413BBC13}">
  <sheetPr>
    <pageSetUpPr fitToPage="1"/>
  </sheetPr>
  <dimension ref="A1:M58"/>
  <sheetViews>
    <sheetView zoomScale="80" zoomScaleNormal="80" workbookViewId="0">
      <selection activeCell="F50" sqref="F50"/>
    </sheetView>
  </sheetViews>
  <sheetFormatPr defaultColWidth="8.5703125" defaultRowHeight="12.75" x14ac:dyDescent="0.2"/>
  <cols>
    <col min="1" max="1" width="5.5703125" style="1" customWidth="1"/>
    <col min="2" max="2" width="81.42578125" style="2" customWidth="1"/>
    <col min="3" max="5" width="18.5703125" style="1" customWidth="1"/>
    <col min="6" max="6" width="59.5703125" style="1" bestFit="1" customWidth="1"/>
    <col min="7" max="7" width="5.5703125" style="1" customWidth="1"/>
    <col min="8" max="16384" width="8.5703125" style="1"/>
  </cols>
  <sheetData>
    <row r="1" spans="1:13" x14ac:dyDescent="0.2">
      <c r="H1" s="299"/>
      <c r="I1" s="299"/>
      <c r="J1" s="299"/>
      <c r="K1" s="299"/>
      <c r="L1" s="299"/>
      <c r="M1" s="299"/>
    </row>
    <row r="2" spans="1:13" ht="15.75" x14ac:dyDescent="0.2">
      <c r="A2" s="5" t="s">
        <v>1</v>
      </c>
      <c r="B2" s="620"/>
      <c r="C2" s="620"/>
      <c r="D2" s="620"/>
      <c r="E2" s="620"/>
      <c r="F2" s="620"/>
      <c r="G2" s="620"/>
    </row>
    <row r="3" spans="1:13" ht="15.75" x14ac:dyDescent="0.2">
      <c r="A3" s="970" t="str">
        <f>'WP 7 Wheeling Revenues'!A3:G3</f>
        <v>2027 - TRBAA Rate Filing</v>
      </c>
      <c r="B3" s="970"/>
      <c r="C3" s="970"/>
      <c r="D3" s="970"/>
      <c r="E3" s="970"/>
      <c r="F3" s="970"/>
      <c r="G3" s="970"/>
    </row>
    <row r="4" spans="1:13" ht="15.75" x14ac:dyDescent="0.2">
      <c r="A4" s="5" t="s">
        <v>349</v>
      </c>
      <c r="B4" s="620"/>
      <c r="C4" s="620"/>
      <c r="D4" s="620"/>
      <c r="E4" s="620"/>
      <c r="F4" s="620"/>
      <c r="G4" s="620"/>
    </row>
    <row r="5" spans="1:13" ht="13.5" thickBot="1" x14ac:dyDescent="0.25"/>
    <row r="6" spans="1:13" ht="15.75" x14ac:dyDescent="0.25">
      <c r="A6" s="551" t="s">
        <v>7</v>
      </c>
      <c r="B6" s="621"/>
      <c r="C6" s="621"/>
      <c r="D6" s="621"/>
      <c r="E6" s="622"/>
      <c r="F6" s="457"/>
      <c r="G6" s="553" t="s">
        <v>7</v>
      </c>
    </row>
    <row r="7" spans="1:13" ht="16.5" thickBot="1" x14ac:dyDescent="0.3">
      <c r="A7" s="563" t="s">
        <v>10</v>
      </c>
      <c r="B7" s="623"/>
      <c r="C7" s="623"/>
      <c r="D7" s="623"/>
      <c r="E7" s="624"/>
      <c r="F7" s="153" t="s">
        <v>15</v>
      </c>
      <c r="G7" s="564" t="s">
        <v>10</v>
      </c>
    </row>
    <row r="8" spans="1:13" ht="15.75" x14ac:dyDescent="0.25">
      <c r="A8" s="262">
        <v>1</v>
      </c>
      <c r="B8" s="156" t="s">
        <v>350</v>
      </c>
      <c r="C8" s="625" t="s">
        <v>3</v>
      </c>
      <c r="D8" s="165" t="s">
        <v>4</v>
      </c>
      <c r="E8" s="165" t="s">
        <v>183</v>
      </c>
      <c r="F8" s="36"/>
      <c r="G8" s="263">
        <v>1</v>
      </c>
    </row>
    <row r="9" spans="1:13" ht="15.75" x14ac:dyDescent="0.25">
      <c r="A9" s="262">
        <f t="shared" ref="A9:A27" si="0">A8+1</f>
        <v>2</v>
      </c>
      <c r="B9" s="156"/>
      <c r="C9" s="158"/>
      <c r="D9" s="158"/>
      <c r="E9" s="158"/>
      <c r="F9" s="36"/>
      <c r="G9" s="263">
        <f>A9</f>
        <v>2</v>
      </c>
    </row>
    <row r="10" spans="1:13" ht="16.5" thickBot="1" x14ac:dyDescent="0.3">
      <c r="A10" s="262">
        <f t="shared" si="0"/>
        <v>3</v>
      </c>
      <c r="B10" s="156" t="s">
        <v>351</v>
      </c>
      <c r="C10" s="153" t="s">
        <v>210</v>
      </c>
      <c r="D10" s="153" t="s">
        <v>211</v>
      </c>
      <c r="E10" s="153" t="s">
        <v>17</v>
      </c>
      <c r="F10" s="75"/>
      <c r="G10" s="263">
        <f t="shared" ref="G10:G18" si="1">A10</f>
        <v>3</v>
      </c>
    </row>
    <row r="11" spans="1:13" ht="15.75" x14ac:dyDescent="0.25">
      <c r="A11" s="262">
        <f t="shared" si="0"/>
        <v>4</v>
      </c>
      <c r="B11" s="787"/>
      <c r="C11" s="788"/>
      <c r="D11" s="75"/>
      <c r="E11" s="75"/>
      <c r="F11" s="90"/>
      <c r="G11" s="263">
        <f t="shared" si="1"/>
        <v>4</v>
      </c>
    </row>
    <row r="12" spans="1:13" ht="32.25" customHeight="1" x14ac:dyDescent="0.25">
      <c r="A12" s="355">
        <f t="shared" si="0"/>
        <v>5</v>
      </c>
      <c r="B12" s="356" t="s">
        <v>483</v>
      </c>
      <c r="C12" s="357">
        <v>4228256.9895516736</v>
      </c>
      <c r="D12" s="357">
        <v>4993302.2447280465</v>
      </c>
      <c r="E12" s="357">
        <f>SUM(C12:D12)</f>
        <v>9221559.2342797201</v>
      </c>
      <c r="F12" s="190" t="s">
        <v>489</v>
      </c>
      <c r="G12" s="263">
        <f t="shared" si="1"/>
        <v>5</v>
      </c>
    </row>
    <row r="13" spans="1:13" ht="15.75" x14ac:dyDescent="0.25">
      <c r="A13" s="262">
        <f t="shared" si="0"/>
        <v>6</v>
      </c>
      <c r="B13" s="68"/>
      <c r="C13" s="788"/>
      <c r="D13" s="75"/>
      <c r="E13" s="75"/>
      <c r="F13" s="90"/>
      <c r="G13" s="263">
        <f t="shared" si="1"/>
        <v>6</v>
      </c>
    </row>
    <row r="14" spans="1:13" ht="30" x14ac:dyDescent="0.25">
      <c r="A14" s="355">
        <f t="shared" si="0"/>
        <v>7</v>
      </c>
      <c r="B14" s="356" t="s">
        <v>484</v>
      </c>
      <c r="C14" s="358">
        <v>156299.98278825911</v>
      </c>
      <c r="D14" s="358">
        <v>557118.77017351578</v>
      </c>
      <c r="E14" s="358">
        <f>SUM(C14:D14)</f>
        <v>713418.75296177482</v>
      </c>
      <c r="F14" s="190" t="s">
        <v>490</v>
      </c>
      <c r="G14" s="263">
        <f t="shared" si="1"/>
        <v>7</v>
      </c>
    </row>
    <row r="15" spans="1:13" ht="15.75" x14ac:dyDescent="0.25">
      <c r="A15" s="262">
        <f t="shared" si="0"/>
        <v>8</v>
      </c>
      <c r="B15" s="68"/>
      <c r="C15" s="75"/>
      <c r="D15" s="75"/>
      <c r="E15" s="75"/>
      <c r="F15" s="90"/>
      <c r="G15" s="263">
        <f t="shared" si="1"/>
        <v>8</v>
      </c>
    </row>
    <row r="16" spans="1:13" ht="16.5" thickBot="1" x14ac:dyDescent="0.3">
      <c r="A16" s="262">
        <f t="shared" si="0"/>
        <v>9</v>
      </c>
      <c r="B16" s="302" t="s">
        <v>352</v>
      </c>
      <c r="C16" s="192">
        <f>C12+C14</f>
        <v>4384556.9723399328</v>
      </c>
      <c r="D16" s="192">
        <f t="shared" ref="D16:E16" si="2">D12+D14</f>
        <v>5550421.0149015626</v>
      </c>
      <c r="E16" s="192">
        <f t="shared" si="2"/>
        <v>9934977.9872414954</v>
      </c>
      <c r="F16" s="241" t="s">
        <v>353</v>
      </c>
      <c r="G16" s="263">
        <f t="shared" si="1"/>
        <v>9</v>
      </c>
    </row>
    <row r="17" spans="1:7" ht="16.5" thickTop="1" x14ac:dyDescent="0.25">
      <c r="A17" s="262">
        <f t="shared" si="0"/>
        <v>10</v>
      </c>
      <c r="B17" s="302"/>
      <c r="C17" s="228"/>
      <c r="D17" s="228"/>
      <c r="E17" s="228"/>
      <c r="F17" s="241"/>
      <c r="G17" s="263">
        <f t="shared" si="1"/>
        <v>10</v>
      </c>
    </row>
    <row r="18" spans="1:7" ht="16.5" thickBot="1" x14ac:dyDescent="0.3">
      <c r="A18" s="262">
        <f t="shared" si="0"/>
        <v>11</v>
      </c>
      <c r="B18" s="302" t="s">
        <v>354</v>
      </c>
      <c r="C18" s="229">
        <f>ROUND(C16/$E16,4)</f>
        <v>0.44130000000000003</v>
      </c>
      <c r="D18" s="229">
        <f>ROUND(D16/$E16,4)</f>
        <v>0.55869999999999997</v>
      </c>
      <c r="E18" s="229">
        <f>SUM(C18:D18)</f>
        <v>1</v>
      </c>
      <c r="F18" s="241" t="s">
        <v>355</v>
      </c>
      <c r="G18" s="263">
        <f t="shared" si="1"/>
        <v>11</v>
      </c>
    </row>
    <row r="19" spans="1:7" ht="17.25" thickTop="1" thickBot="1" x14ac:dyDescent="0.3">
      <c r="A19" s="300">
        <f t="shared" si="0"/>
        <v>12</v>
      </c>
      <c r="B19" s="230"/>
      <c r="C19" s="231"/>
      <c r="D19" s="231"/>
      <c r="E19" s="231"/>
      <c r="F19" s="77"/>
      <c r="G19" s="301">
        <f>A19</f>
        <v>12</v>
      </c>
    </row>
    <row r="20" spans="1:7" ht="18.75" x14ac:dyDescent="0.3">
      <c r="A20" s="262">
        <f t="shared" si="0"/>
        <v>13</v>
      </c>
      <c r="B20" s="156" t="s">
        <v>356</v>
      </c>
      <c r="C20" s="737"/>
      <c r="D20" s="737"/>
      <c r="E20" s="737"/>
      <c r="F20" s="36"/>
      <c r="G20" s="263">
        <f>A20</f>
        <v>13</v>
      </c>
    </row>
    <row r="21" spans="1:7" ht="18.75" x14ac:dyDescent="0.3">
      <c r="A21" s="262">
        <f t="shared" si="0"/>
        <v>14</v>
      </c>
      <c r="B21" s="68"/>
      <c r="C21" s="737"/>
      <c r="D21" s="737"/>
      <c r="E21" s="789"/>
      <c r="F21" s="36"/>
      <c r="G21" s="263">
        <f t="shared" ref="G21:G26" si="3">A21</f>
        <v>14</v>
      </c>
    </row>
    <row r="22" spans="1:7" ht="31.5" x14ac:dyDescent="0.25">
      <c r="A22" s="262">
        <f t="shared" si="0"/>
        <v>15</v>
      </c>
      <c r="B22" s="738" t="s">
        <v>485</v>
      </c>
      <c r="C22" s="739">
        <f>'WP 7 Wheeling Revenues'!C37</f>
        <v>-36254660.200000003</v>
      </c>
      <c r="D22" s="739">
        <f>'WP 7 Wheeling Revenues'!D37</f>
        <v>0</v>
      </c>
      <c r="E22" s="740">
        <f>SUM(C22:D22)</f>
        <v>-36254660.200000003</v>
      </c>
      <c r="F22" s="241" t="s">
        <v>357</v>
      </c>
      <c r="G22" s="263">
        <f t="shared" si="3"/>
        <v>15</v>
      </c>
    </row>
    <row r="23" spans="1:7" ht="15.75" x14ac:dyDescent="0.25">
      <c r="A23" s="262">
        <f t="shared" si="0"/>
        <v>16</v>
      </c>
      <c r="B23" s="302"/>
      <c r="C23" s="739"/>
      <c r="D23" s="739"/>
      <c r="E23" s="740"/>
      <c r="F23" s="241"/>
      <c r="G23" s="263">
        <f t="shared" si="3"/>
        <v>16</v>
      </c>
    </row>
    <row r="24" spans="1:7" ht="15.75" x14ac:dyDescent="0.25">
      <c r="A24" s="262">
        <f t="shared" si="0"/>
        <v>17</v>
      </c>
      <c r="B24" s="302" t="s">
        <v>358</v>
      </c>
      <c r="C24" s="741">
        <f>E18</f>
        <v>1</v>
      </c>
      <c r="D24" s="741">
        <v>0</v>
      </c>
      <c r="E24" s="741">
        <f>SUM(C24:D24)</f>
        <v>1</v>
      </c>
      <c r="F24" s="37" t="s">
        <v>359</v>
      </c>
      <c r="G24" s="263">
        <f t="shared" si="3"/>
        <v>17</v>
      </c>
    </row>
    <row r="25" spans="1:7" ht="15.75" x14ac:dyDescent="0.25">
      <c r="A25" s="262">
        <f t="shared" si="0"/>
        <v>18</v>
      </c>
      <c r="B25" s="302"/>
      <c r="C25" s="742"/>
      <c r="D25" s="742"/>
      <c r="E25" s="742"/>
      <c r="F25" s="241"/>
      <c r="G25" s="263">
        <f t="shared" si="3"/>
        <v>18</v>
      </c>
    </row>
    <row r="26" spans="1:7" ht="16.5" thickBot="1" x14ac:dyDescent="0.3">
      <c r="A26" s="262">
        <f>A25+1</f>
        <v>19</v>
      </c>
      <c r="B26" s="92" t="s">
        <v>360</v>
      </c>
      <c r="C26" s="743">
        <f>C22*C24</f>
        <v>-36254660.200000003</v>
      </c>
      <c r="D26" s="743">
        <f>D22*D24</f>
        <v>0</v>
      </c>
      <c r="E26" s="744">
        <f>SUM(C26:D26)</f>
        <v>-36254660.200000003</v>
      </c>
      <c r="F26" s="37" t="s">
        <v>361</v>
      </c>
      <c r="G26" s="263">
        <f t="shared" si="3"/>
        <v>19</v>
      </c>
    </row>
    <row r="27" spans="1:7" ht="17.25" thickTop="1" thickBot="1" x14ac:dyDescent="0.3">
      <c r="A27" s="300">
        <f t="shared" si="0"/>
        <v>20</v>
      </c>
      <c r="B27" s="745"/>
      <c r="C27" s="790"/>
      <c r="D27" s="746"/>
      <c r="E27" s="746"/>
      <c r="F27" s="747"/>
      <c r="G27" s="301">
        <f t="shared" ref="G27" si="4">G26+1</f>
        <v>20</v>
      </c>
    </row>
    <row r="28" spans="1:7" ht="15.75" x14ac:dyDescent="0.25">
      <c r="A28" s="298">
        <f>A27+1</f>
        <v>21</v>
      </c>
      <c r="B28" s="626" t="s">
        <v>362</v>
      </c>
      <c r="C28" s="627"/>
      <c r="D28" s="628"/>
      <c r="E28" s="627"/>
      <c r="F28" s="586"/>
      <c r="G28" s="459">
        <f>G27+1</f>
        <v>21</v>
      </c>
    </row>
    <row r="29" spans="1:7" ht="15.75" x14ac:dyDescent="0.25">
      <c r="A29" s="262">
        <f>A28+1</f>
        <v>22</v>
      </c>
      <c r="B29" s="385"/>
      <c r="C29" s="159"/>
      <c r="D29" s="36"/>
      <c r="E29" s="789"/>
      <c r="F29" s="629"/>
      <c r="G29" s="349">
        <f>G28+1</f>
        <v>22</v>
      </c>
    </row>
    <row r="30" spans="1:7" ht="31.5" thickBot="1" x14ac:dyDescent="0.35">
      <c r="A30" s="262">
        <f t="shared" ref="A30:A39" si="5">A29+1</f>
        <v>23</v>
      </c>
      <c r="B30" s="727" t="s">
        <v>486</v>
      </c>
      <c r="C30" s="630"/>
      <c r="D30" s="104"/>
      <c r="E30" s="227">
        <f>'WP 8 CT4575'!C34</f>
        <v>18000</v>
      </c>
      <c r="F30" s="71" t="s">
        <v>363</v>
      </c>
      <c r="G30" s="349">
        <f t="shared" ref="G30:G33" si="6">G29+1</f>
        <v>23</v>
      </c>
    </row>
    <row r="31" spans="1:7" ht="16.5" thickTop="1" x14ac:dyDescent="0.25">
      <c r="A31" s="262">
        <f t="shared" si="5"/>
        <v>24</v>
      </c>
      <c r="B31" s="85" t="s">
        <v>364</v>
      </c>
      <c r="C31" s="159"/>
      <c r="D31" s="36"/>
      <c r="E31" s="159"/>
      <c r="F31" s="33"/>
      <c r="G31" s="349">
        <f t="shared" si="6"/>
        <v>24</v>
      </c>
    </row>
    <row r="32" spans="1:7" ht="15.75" x14ac:dyDescent="0.25">
      <c r="A32" s="262">
        <f t="shared" si="5"/>
        <v>25</v>
      </c>
      <c r="B32" s="85"/>
      <c r="C32" s="159"/>
      <c r="D32" s="36"/>
      <c r="E32" s="159"/>
      <c r="F32" s="33"/>
      <c r="G32" s="349">
        <f t="shared" si="6"/>
        <v>25</v>
      </c>
    </row>
    <row r="33" spans="1:7" ht="16.5" thickBot="1" x14ac:dyDescent="0.3">
      <c r="A33" s="262">
        <f t="shared" si="5"/>
        <v>26</v>
      </c>
      <c r="B33" s="74" t="s">
        <v>365</v>
      </c>
      <c r="C33" s="192">
        <f>$E$30*$C$18</f>
        <v>7943.4000000000005</v>
      </c>
      <c r="D33" s="192">
        <f>$E$30*$D$18</f>
        <v>10056.6</v>
      </c>
      <c r="E33" s="192">
        <f>SUM(C33:D33)</f>
        <v>18000</v>
      </c>
      <c r="F33" s="33" t="s">
        <v>366</v>
      </c>
      <c r="G33" s="349">
        <f t="shared" si="6"/>
        <v>26</v>
      </c>
    </row>
    <row r="34" spans="1:7" ht="20.25" thickTop="1" thickBot="1" x14ac:dyDescent="0.35">
      <c r="A34" s="300">
        <f t="shared" si="5"/>
        <v>27</v>
      </c>
      <c r="B34" s="631"/>
      <c r="C34" s="790"/>
      <c r="D34" s="632"/>
      <c r="E34" s="105"/>
      <c r="F34" s="633"/>
      <c r="G34" s="463">
        <f>G33+1</f>
        <v>27</v>
      </c>
    </row>
    <row r="35" spans="1:7" ht="15.75" x14ac:dyDescent="0.25">
      <c r="A35" s="262">
        <f t="shared" si="5"/>
        <v>28</v>
      </c>
      <c r="B35" s="385" t="s">
        <v>367</v>
      </c>
      <c r="C35" s="101"/>
      <c r="D35" s="791"/>
      <c r="E35" s="627"/>
      <c r="F35" s="629"/>
      <c r="G35" s="349">
        <f>G34+1</f>
        <v>28</v>
      </c>
    </row>
    <row r="36" spans="1:7" ht="15.75" x14ac:dyDescent="0.25">
      <c r="A36" s="262">
        <f t="shared" si="5"/>
        <v>29</v>
      </c>
      <c r="B36" s="385"/>
      <c r="C36" s="101"/>
      <c r="D36" s="792"/>
      <c r="E36" s="789"/>
      <c r="F36" s="71"/>
      <c r="G36" s="349">
        <f t="shared" ref="G36:G39" si="7">G35+1</f>
        <v>29</v>
      </c>
    </row>
    <row r="37" spans="1:7" ht="30.75" thickBot="1" x14ac:dyDescent="0.3">
      <c r="A37" s="262">
        <f t="shared" si="5"/>
        <v>30</v>
      </c>
      <c r="B37" s="727" t="s">
        <v>487</v>
      </c>
      <c r="C37" s="101"/>
      <c r="D37" s="792"/>
      <c r="E37" s="73">
        <f>'WP 9 ETC Cost Diffs'!C34</f>
        <v>-556352.71246000042</v>
      </c>
      <c r="F37" s="71" t="s">
        <v>368</v>
      </c>
      <c r="G37" s="349">
        <f t="shared" si="7"/>
        <v>30</v>
      </c>
    </row>
    <row r="38" spans="1:7" ht="16.5" thickTop="1" x14ac:dyDescent="0.25">
      <c r="A38" s="262">
        <f t="shared" si="5"/>
        <v>31</v>
      </c>
      <c r="B38" s="385"/>
      <c r="C38" s="101"/>
      <c r="D38" s="792"/>
      <c r="E38" s="101"/>
      <c r="F38" s="71"/>
      <c r="G38" s="349">
        <f t="shared" si="7"/>
        <v>31</v>
      </c>
    </row>
    <row r="39" spans="1:7" ht="16.5" thickBot="1" x14ac:dyDescent="0.3">
      <c r="A39" s="262">
        <f t="shared" si="5"/>
        <v>32</v>
      </c>
      <c r="B39" s="74" t="s">
        <v>369</v>
      </c>
      <c r="C39" s="192">
        <f>$E$37*$C$18</f>
        <v>-245518.45200859819</v>
      </c>
      <c r="D39" s="192">
        <f>$E$37*$D$18</f>
        <v>-310834.26045140222</v>
      </c>
      <c r="E39" s="192">
        <f>SUM(C39:D39)</f>
        <v>-556352.71246000042</v>
      </c>
      <c r="F39" s="33" t="s">
        <v>370</v>
      </c>
      <c r="G39" s="349">
        <f t="shared" si="7"/>
        <v>32</v>
      </c>
    </row>
    <row r="40" spans="1:7" ht="17.25" thickTop="1" thickBot="1" x14ac:dyDescent="0.3">
      <c r="A40" s="300">
        <f>A39+1</f>
        <v>33</v>
      </c>
      <c r="B40" s="419"/>
      <c r="C40" s="790"/>
      <c r="D40" s="80"/>
      <c r="E40" s="81"/>
      <c r="F40" s="160"/>
      <c r="G40" s="463">
        <f>G39+1</f>
        <v>33</v>
      </c>
    </row>
    <row r="41" spans="1:7" ht="15.75" x14ac:dyDescent="0.25">
      <c r="A41" s="634">
        <f>A40+1</f>
        <v>34</v>
      </c>
      <c r="B41" s="626" t="s">
        <v>371</v>
      </c>
      <c r="C41" s="627"/>
      <c r="D41" s="628"/>
      <c r="E41" s="458"/>
      <c r="F41" s="455"/>
      <c r="G41" s="459">
        <f>G40+1</f>
        <v>34</v>
      </c>
    </row>
    <row r="42" spans="1:7" ht="15.75" x14ac:dyDescent="0.25">
      <c r="A42" s="187">
        <f>A41+1</f>
        <v>35</v>
      </c>
      <c r="B42" s="385"/>
      <c r="C42" s="159"/>
      <c r="D42" s="36"/>
      <c r="E42" s="456"/>
      <c r="F42" s="159"/>
      <c r="G42" s="349">
        <f>G41+1</f>
        <v>35</v>
      </c>
    </row>
    <row r="43" spans="1:7" ht="32.85" customHeight="1" thickBot="1" x14ac:dyDescent="0.35">
      <c r="A43" s="187">
        <f>A42+1</f>
        <v>36</v>
      </c>
      <c r="B43" s="727" t="s">
        <v>488</v>
      </c>
      <c r="C43" s="630"/>
      <c r="D43" s="793"/>
      <c r="E43" s="227">
        <f>'WP 12 PTO'!P17</f>
        <v>-12802804.057539999</v>
      </c>
      <c r="F43" s="71" t="s">
        <v>458</v>
      </c>
      <c r="G43" s="349">
        <f t="shared" ref="G43:G49" si="8">G42+1</f>
        <v>36</v>
      </c>
    </row>
    <row r="44" spans="1:7" ht="19.5" thickTop="1" x14ac:dyDescent="0.3">
      <c r="A44" s="187">
        <f t="shared" ref="A44:A48" si="9">A43+1</f>
        <v>37</v>
      </c>
      <c r="B44" s="727"/>
      <c r="C44" s="630"/>
      <c r="D44" s="793"/>
      <c r="E44" s="843"/>
      <c r="F44" s="71"/>
      <c r="G44" s="349">
        <f t="shared" si="8"/>
        <v>37</v>
      </c>
    </row>
    <row r="45" spans="1:7" ht="30" x14ac:dyDescent="0.25">
      <c r="A45" s="187">
        <f t="shared" si="9"/>
        <v>38</v>
      </c>
      <c r="B45" s="894" t="s">
        <v>372</v>
      </c>
      <c r="C45" s="16">
        <f>'WP 12 PTO'!P29</f>
        <v>-4170183.76</v>
      </c>
      <c r="D45" s="845">
        <f>'WP 12 PTO'!P30</f>
        <v>-1953874.77</v>
      </c>
      <c r="E45" s="16">
        <f>SUM(C45:D45)</f>
        <v>-6124058.5299999993</v>
      </c>
      <c r="F45" s="893" t="s">
        <v>373</v>
      </c>
      <c r="G45" s="349">
        <f t="shared" si="8"/>
        <v>38</v>
      </c>
    </row>
    <row r="46" spans="1:7" ht="18.75" x14ac:dyDescent="0.3">
      <c r="A46" s="187">
        <f t="shared" si="9"/>
        <v>39</v>
      </c>
      <c r="B46" s="85"/>
      <c r="C46" s="630"/>
      <c r="D46" s="793"/>
      <c r="E46" s="16"/>
      <c r="F46" s="71"/>
      <c r="G46" s="349">
        <f t="shared" si="8"/>
        <v>39</v>
      </c>
    </row>
    <row r="47" spans="1:7" ht="15.75" x14ac:dyDescent="0.25">
      <c r="A47" s="187">
        <f t="shared" si="9"/>
        <v>40</v>
      </c>
      <c r="B47" s="85" t="s">
        <v>374</v>
      </c>
      <c r="C47" s="844">
        <f>$E$47*$C$18</f>
        <v>-2947330.4013034021</v>
      </c>
      <c r="D47" s="844">
        <f>$E$47*$D$18</f>
        <v>-3731415.126236598</v>
      </c>
      <c r="E47" s="844">
        <f>E43-E45</f>
        <v>-6678745.5275400002</v>
      </c>
      <c r="F47" s="84" t="s">
        <v>467</v>
      </c>
      <c r="G47" s="349">
        <f t="shared" si="8"/>
        <v>40</v>
      </c>
    </row>
    <row r="48" spans="1:7" ht="15.75" x14ac:dyDescent="0.25">
      <c r="A48" s="187">
        <f t="shared" si="9"/>
        <v>41</v>
      </c>
      <c r="B48" s="385"/>
      <c r="C48" s="228"/>
      <c r="D48" s="680"/>
      <c r="E48" s="681"/>
      <c r="F48" s="84"/>
      <c r="G48" s="349">
        <f t="shared" si="8"/>
        <v>41</v>
      </c>
    </row>
    <row r="49" spans="1:7" ht="16.5" thickBot="1" x14ac:dyDescent="0.3">
      <c r="A49" s="187">
        <f t="shared" ref="A49" si="10">A48+1</f>
        <v>42</v>
      </c>
      <c r="B49" s="74" t="s">
        <v>375</v>
      </c>
      <c r="C49" s="192">
        <f>C45+C47</f>
        <v>-7117514.1613034019</v>
      </c>
      <c r="D49" s="192">
        <f t="shared" ref="D49" si="11">D45+D47</f>
        <v>-5685289.8962365985</v>
      </c>
      <c r="E49" s="192">
        <f>SUM(C49:D49)</f>
        <v>-12802804.057539999</v>
      </c>
      <c r="F49" s="33" t="s">
        <v>376</v>
      </c>
      <c r="G49" s="349">
        <f t="shared" si="8"/>
        <v>42</v>
      </c>
    </row>
    <row r="50" spans="1:7" ht="20.25" thickTop="1" thickBot="1" x14ac:dyDescent="0.35">
      <c r="A50" s="636">
        <f>A49+1</f>
        <v>43</v>
      </c>
      <c r="B50" s="631"/>
      <c r="C50" s="790"/>
      <c r="D50" s="632"/>
      <c r="E50" s="637"/>
      <c r="F50" s="638"/>
      <c r="G50" s="463">
        <f>G49+1</f>
        <v>43</v>
      </c>
    </row>
    <row r="51" spans="1:7" ht="15.75" x14ac:dyDescent="0.25">
      <c r="A51" s="187"/>
      <c r="C51" s="794"/>
      <c r="F51" s="36"/>
      <c r="G51" s="37"/>
    </row>
    <row r="52" spans="1:7" ht="15.75" x14ac:dyDescent="0.25">
      <c r="A52" s="187"/>
      <c r="C52" s="794"/>
      <c r="F52" s="36"/>
      <c r="G52" s="37"/>
    </row>
    <row r="53" spans="1:7" ht="15.75" x14ac:dyDescent="0.25">
      <c r="A53" s="187"/>
      <c r="C53" s="794"/>
      <c r="F53" s="36"/>
      <c r="G53" s="37"/>
    </row>
    <row r="54" spans="1:7" ht="15.75" x14ac:dyDescent="0.25">
      <c r="A54" s="187"/>
      <c r="C54" s="794"/>
      <c r="F54" s="36"/>
      <c r="G54" s="37"/>
    </row>
    <row r="55" spans="1:7" x14ac:dyDescent="0.2">
      <c r="A55" s="639"/>
    </row>
    <row r="56" spans="1:7" ht="18.75" x14ac:dyDescent="0.25">
      <c r="A56" s="640"/>
      <c r="B56" s="50"/>
    </row>
    <row r="57" spans="1:7" ht="18.75" x14ac:dyDescent="0.25">
      <c r="A57" s="641"/>
      <c r="B57" s="50"/>
    </row>
    <row r="58" spans="1:7" x14ac:dyDescent="0.2">
      <c r="A58" s="642"/>
    </row>
  </sheetData>
  <mergeCells count="1">
    <mergeCell ref="A3:G3"/>
  </mergeCells>
  <printOptions horizontalCentered="1"/>
  <pageMargins left="0.25" right="0.25" top="0.5" bottom="0.5" header="0.25" footer="0.25"/>
  <pageSetup scale="58" orientation="landscape" r:id="rId1"/>
  <headerFooter alignWithMargins="0">
    <oddFooter>&amp;L&amp;"Times New Roman,Regular"&amp;14&amp;F&amp;C&amp;"Times New Roman,Regular"&amp;14Page 6.1&amp;R&amp;"Times New Roman,Regular"&amp;14&amp;A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85"/>
  <sheetViews>
    <sheetView zoomScale="80" zoomScaleNormal="80" workbookViewId="0">
      <selection activeCell="E11" sqref="E11"/>
    </sheetView>
  </sheetViews>
  <sheetFormatPr defaultColWidth="8.5703125" defaultRowHeight="15.75" x14ac:dyDescent="0.25"/>
  <cols>
    <col min="1" max="1" width="5.5703125" style="22" customWidth="1"/>
    <col min="2" max="2" width="40.5703125" style="50" customWidth="1"/>
    <col min="3" max="4" width="19.7109375" style="22" bestFit="1" customWidth="1"/>
    <col min="5" max="5" width="17.5703125" style="22" customWidth="1"/>
    <col min="6" max="6" width="41.5703125" style="22" bestFit="1" customWidth="1"/>
    <col min="7" max="7" width="5.5703125" style="22" customWidth="1"/>
    <col min="8" max="16384" width="8.5703125" style="22"/>
  </cols>
  <sheetData>
    <row r="1" spans="1:7" x14ac:dyDescent="0.25">
      <c r="A1" s="5"/>
      <c r="B1" s="41"/>
      <c r="C1" s="41"/>
      <c r="D1" s="41"/>
      <c r="E1" s="41"/>
      <c r="F1" s="41"/>
      <c r="G1" s="41"/>
    </row>
    <row r="2" spans="1:7" x14ac:dyDescent="0.25">
      <c r="A2" s="5" t="s">
        <v>1</v>
      </c>
      <c r="B2" s="41"/>
      <c r="C2" s="41"/>
      <c r="D2" s="41"/>
      <c r="E2" s="41"/>
      <c r="F2" s="41"/>
      <c r="G2" s="41"/>
    </row>
    <row r="3" spans="1:7" x14ac:dyDescent="0.25">
      <c r="A3" s="970" t="str">
        <f>'Stmnt BD - Recorded KWH'!$A$4</f>
        <v>2027 - TRBAA Rate Filing</v>
      </c>
      <c r="B3" s="970"/>
      <c r="C3" s="970"/>
      <c r="D3" s="970"/>
      <c r="E3" s="970"/>
      <c r="F3" s="970"/>
      <c r="G3" s="970"/>
    </row>
    <row r="4" spans="1:7" x14ac:dyDescent="0.25">
      <c r="A4" s="5" t="s">
        <v>377</v>
      </c>
      <c r="B4" s="41"/>
      <c r="C4" s="41"/>
      <c r="D4" s="41"/>
      <c r="E4" s="41"/>
      <c r="F4" s="41"/>
      <c r="G4" s="41"/>
    </row>
    <row r="5" spans="1:7" ht="16.5" thickBot="1" x14ac:dyDescent="0.3">
      <c r="A5" s="41"/>
      <c r="B5" s="41"/>
      <c r="C5" s="41"/>
      <c r="D5" s="41"/>
      <c r="E5" s="41"/>
      <c r="F5" s="41"/>
      <c r="G5" s="41"/>
    </row>
    <row r="6" spans="1:7" x14ac:dyDescent="0.25">
      <c r="A6" s="286"/>
      <c r="B6" s="583"/>
      <c r="C6" s="165" t="s">
        <v>3</v>
      </c>
      <c r="D6" s="165" t="s">
        <v>4</v>
      </c>
      <c r="E6" s="165" t="s">
        <v>107</v>
      </c>
      <c r="F6" s="165" t="s">
        <v>108</v>
      </c>
      <c r="G6" s="542"/>
    </row>
    <row r="7" spans="1:7" x14ac:dyDescent="0.25">
      <c r="A7" s="545"/>
      <c r="B7" s="74"/>
      <c r="C7" s="581" t="s">
        <v>378</v>
      </c>
      <c r="D7" s="581" t="s">
        <v>211</v>
      </c>
      <c r="E7" s="581"/>
      <c r="F7" s="581"/>
      <c r="G7" s="546"/>
    </row>
    <row r="8" spans="1:7" x14ac:dyDescent="0.25">
      <c r="A8" s="545" t="s">
        <v>7</v>
      </c>
      <c r="B8" s="75"/>
      <c r="C8" s="581" t="s">
        <v>379</v>
      </c>
      <c r="D8" s="581" t="s">
        <v>379</v>
      </c>
      <c r="E8" s="581"/>
      <c r="F8" s="581"/>
      <c r="G8" s="546" t="s">
        <v>7</v>
      </c>
    </row>
    <row r="9" spans="1:7" ht="16.5" thickBot="1" x14ac:dyDescent="0.3">
      <c r="A9" s="563" t="s">
        <v>380</v>
      </c>
      <c r="B9" s="337" t="s">
        <v>381</v>
      </c>
      <c r="C9" s="643" t="s">
        <v>382</v>
      </c>
      <c r="D9" s="643" t="s">
        <v>383</v>
      </c>
      <c r="E9" s="587" t="s">
        <v>17</v>
      </c>
      <c r="F9" s="587" t="s">
        <v>15</v>
      </c>
      <c r="G9" s="564" t="s">
        <v>380</v>
      </c>
    </row>
    <row r="10" spans="1:7" x14ac:dyDescent="0.25">
      <c r="A10" s="262"/>
      <c r="B10" s="761"/>
      <c r="C10" s="19"/>
      <c r="D10" s="19"/>
      <c r="E10" s="19"/>
      <c r="F10" s="19"/>
      <c r="G10" s="263"/>
    </row>
    <row r="11" spans="1:7" x14ac:dyDescent="0.25">
      <c r="A11" s="262">
        <v>1</v>
      </c>
      <c r="B11" s="477">
        <f>'Stmnt BD - Recorded KWH'!B12</f>
        <v>45931</v>
      </c>
      <c r="C11" s="19">
        <f>'WP 5 CAISO Charges'!C10</f>
        <v>-2775834.5700000003</v>
      </c>
      <c r="D11" s="19">
        <v>0</v>
      </c>
      <c r="E11" s="19">
        <f>C11+D11</f>
        <v>-2775834.5700000003</v>
      </c>
      <c r="F11" s="23" t="s">
        <v>384</v>
      </c>
      <c r="G11" s="263">
        <v>1</v>
      </c>
    </row>
    <row r="12" spans="1:7" x14ac:dyDescent="0.25">
      <c r="A12" s="262">
        <f>A11+1</f>
        <v>2</v>
      </c>
      <c r="B12" s="10"/>
      <c r="C12" s="19"/>
      <c r="D12" s="19"/>
      <c r="E12" s="19"/>
      <c r="F12" s="10"/>
      <c r="G12" s="263">
        <f>G11+1</f>
        <v>2</v>
      </c>
    </row>
    <row r="13" spans="1:7" x14ac:dyDescent="0.25">
      <c r="A13" s="262">
        <f t="shared" ref="A13:A37" si="0">A12+1</f>
        <v>3</v>
      </c>
      <c r="B13" s="477">
        <f>'Stmnt BD - Recorded KWH'!B13</f>
        <v>45962</v>
      </c>
      <c r="C13" s="31">
        <f>'WP 5 CAISO Charges'!D10</f>
        <v>-1868822.8900000001</v>
      </c>
      <c r="D13" s="31">
        <v>0</v>
      </c>
      <c r="E13" s="31">
        <f t="shared" ref="E13:E33" si="1">C13+D13</f>
        <v>-1868822.8900000001</v>
      </c>
      <c r="F13" s="23" t="str">
        <f>F11</f>
        <v>Work paper No. 5; Page 5.1 and 5.2; Line 4</v>
      </c>
      <c r="G13" s="263">
        <f t="shared" ref="G13:G37" si="2">G12+1</f>
        <v>3</v>
      </c>
    </row>
    <row r="14" spans="1:7" x14ac:dyDescent="0.25">
      <c r="A14" s="262">
        <f t="shared" si="0"/>
        <v>4</v>
      </c>
      <c r="B14" s="10"/>
      <c r="C14" s="31"/>
      <c r="D14" s="31"/>
      <c r="E14" s="31"/>
      <c r="F14" s="10"/>
      <c r="G14" s="263">
        <f t="shared" si="2"/>
        <v>4</v>
      </c>
    </row>
    <row r="15" spans="1:7" ht="16.5" thickBot="1" x14ac:dyDescent="0.3">
      <c r="A15" s="300">
        <f t="shared" si="0"/>
        <v>5</v>
      </c>
      <c r="B15" s="644">
        <f>'Stmnt BD - Recorded KWH'!B14</f>
        <v>45992</v>
      </c>
      <c r="C15" s="58">
        <f>'WP 5 CAISO Charges'!E10</f>
        <v>-1911300.05</v>
      </c>
      <c r="D15" s="58">
        <v>0</v>
      </c>
      <c r="E15" s="58">
        <f t="shared" si="1"/>
        <v>-1911300.05</v>
      </c>
      <c r="F15" s="645" t="str">
        <f>F11</f>
        <v>Work paper No. 5; Page 5.1 and 5.2; Line 4</v>
      </c>
      <c r="G15" s="301">
        <f t="shared" si="2"/>
        <v>5</v>
      </c>
    </row>
    <row r="16" spans="1:7" x14ac:dyDescent="0.25">
      <c r="A16" s="262">
        <f t="shared" si="0"/>
        <v>6</v>
      </c>
      <c r="B16" s="477"/>
      <c r="C16" s="31"/>
      <c r="D16" s="31"/>
      <c r="E16" s="31"/>
      <c r="F16" s="23"/>
      <c r="G16" s="263">
        <f t="shared" si="2"/>
        <v>6</v>
      </c>
    </row>
    <row r="17" spans="1:7" x14ac:dyDescent="0.25">
      <c r="A17" s="262">
        <f t="shared" si="0"/>
        <v>7</v>
      </c>
      <c r="B17" s="477">
        <f>'Stmnt BD - Recorded KWH'!B15</f>
        <v>46023</v>
      </c>
      <c r="C17" s="31">
        <f>'WP 5 CAISO Charges'!F10</f>
        <v>-914497.53000000014</v>
      </c>
      <c r="D17" s="31">
        <v>0</v>
      </c>
      <c r="E17" s="31">
        <f t="shared" si="1"/>
        <v>-914497.53000000014</v>
      </c>
      <c r="F17" s="23" t="str">
        <f>F11</f>
        <v>Work paper No. 5; Page 5.1 and 5.2; Line 4</v>
      </c>
      <c r="G17" s="263">
        <f t="shared" si="2"/>
        <v>7</v>
      </c>
    </row>
    <row r="18" spans="1:7" x14ac:dyDescent="0.25">
      <c r="A18" s="262">
        <f t="shared" si="0"/>
        <v>8</v>
      </c>
      <c r="B18" s="10"/>
      <c r="C18" s="19"/>
      <c r="D18" s="19"/>
      <c r="E18" s="31"/>
      <c r="F18" s="10"/>
      <c r="G18" s="263">
        <f t="shared" si="2"/>
        <v>8</v>
      </c>
    </row>
    <row r="19" spans="1:7" x14ac:dyDescent="0.25">
      <c r="A19" s="262">
        <f t="shared" si="0"/>
        <v>9</v>
      </c>
      <c r="B19" s="477">
        <f>'Stmnt BD - Recorded KWH'!B16</f>
        <v>46054</v>
      </c>
      <c r="C19" s="31">
        <f>'WP 5 CAISO Charges'!G10</f>
        <v>-1213633.4100000001</v>
      </c>
      <c r="D19" s="31">
        <v>0</v>
      </c>
      <c r="E19" s="31">
        <f t="shared" si="1"/>
        <v>-1213633.4100000001</v>
      </c>
      <c r="F19" s="23" t="str">
        <f>F11</f>
        <v>Work paper No. 5; Page 5.1 and 5.2; Line 4</v>
      </c>
      <c r="G19" s="263">
        <f t="shared" si="2"/>
        <v>9</v>
      </c>
    </row>
    <row r="20" spans="1:7" x14ac:dyDescent="0.25">
      <c r="A20" s="262">
        <f t="shared" si="0"/>
        <v>10</v>
      </c>
      <c r="B20" s="10"/>
      <c r="C20" s="31"/>
      <c r="D20" s="31"/>
      <c r="E20" s="31"/>
      <c r="F20" s="10"/>
      <c r="G20" s="263">
        <f t="shared" si="2"/>
        <v>10</v>
      </c>
    </row>
    <row r="21" spans="1:7" ht="16.5" thickBot="1" x14ac:dyDescent="0.3">
      <c r="A21" s="300">
        <f t="shared" si="0"/>
        <v>11</v>
      </c>
      <c r="B21" s="644">
        <f>'Stmnt BD - Recorded KWH'!B17</f>
        <v>46082</v>
      </c>
      <c r="C21" s="58">
        <f>'WP 5 CAISO Charges'!H10</f>
        <v>-817667.36</v>
      </c>
      <c r="D21" s="58">
        <v>0</v>
      </c>
      <c r="E21" s="58">
        <f t="shared" si="1"/>
        <v>-817667.36</v>
      </c>
      <c r="F21" s="645" t="str">
        <f>F11</f>
        <v>Work paper No. 5; Page 5.1 and 5.2; Line 4</v>
      </c>
      <c r="G21" s="301">
        <f t="shared" si="2"/>
        <v>11</v>
      </c>
    </row>
    <row r="22" spans="1:7" x14ac:dyDescent="0.25">
      <c r="A22" s="262">
        <f t="shared" si="0"/>
        <v>12</v>
      </c>
      <c r="B22" s="10"/>
      <c r="C22" s="31"/>
      <c r="D22" s="31"/>
      <c r="E22" s="31"/>
      <c r="F22" s="10"/>
      <c r="G22" s="263">
        <f t="shared" si="2"/>
        <v>12</v>
      </c>
    </row>
    <row r="23" spans="1:7" x14ac:dyDescent="0.25">
      <c r="A23" s="262">
        <f t="shared" si="0"/>
        <v>13</v>
      </c>
      <c r="B23" s="477">
        <f>'Stmnt BD - Recorded KWH'!B18</f>
        <v>46113</v>
      </c>
      <c r="C23" s="31">
        <f>'WP 5 CAISO Charges'!I10</f>
        <v>-3280119.76</v>
      </c>
      <c r="D23" s="31">
        <v>0</v>
      </c>
      <c r="E23" s="31">
        <f t="shared" si="1"/>
        <v>-3280119.76</v>
      </c>
      <c r="F23" s="23" t="str">
        <f>F11</f>
        <v>Work paper No. 5; Page 5.1 and 5.2; Line 4</v>
      </c>
      <c r="G23" s="263">
        <f t="shared" si="2"/>
        <v>13</v>
      </c>
    </row>
    <row r="24" spans="1:7" x14ac:dyDescent="0.25">
      <c r="A24" s="262">
        <f t="shared" si="0"/>
        <v>14</v>
      </c>
      <c r="B24" s="10"/>
      <c r="C24" s="19"/>
      <c r="D24" s="19"/>
      <c r="E24" s="31"/>
      <c r="F24" s="10"/>
      <c r="G24" s="263">
        <f t="shared" si="2"/>
        <v>14</v>
      </c>
    </row>
    <row r="25" spans="1:7" x14ac:dyDescent="0.25">
      <c r="A25" s="262">
        <f t="shared" si="0"/>
        <v>15</v>
      </c>
      <c r="B25" s="477">
        <f>'Stmnt BD - Recorded KWH'!B19</f>
        <v>46143</v>
      </c>
      <c r="C25" s="31">
        <f>'WP 5 CAISO Charges'!J10</f>
        <v>-4103102.92</v>
      </c>
      <c r="D25" s="31">
        <v>0</v>
      </c>
      <c r="E25" s="31">
        <f t="shared" si="1"/>
        <v>-4103102.92</v>
      </c>
      <c r="F25" s="23" t="str">
        <f>F11</f>
        <v>Work paper No. 5; Page 5.1 and 5.2; Line 4</v>
      </c>
      <c r="G25" s="263">
        <f t="shared" si="2"/>
        <v>15</v>
      </c>
    </row>
    <row r="26" spans="1:7" x14ac:dyDescent="0.25">
      <c r="A26" s="262">
        <f t="shared" si="0"/>
        <v>16</v>
      </c>
      <c r="B26" s="10"/>
      <c r="C26" s="31"/>
      <c r="D26" s="31"/>
      <c r="E26" s="31"/>
      <c r="F26" s="10"/>
      <c r="G26" s="263">
        <f t="shared" si="2"/>
        <v>16</v>
      </c>
    </row>
    <row r="27" spans="1:7" ht="16.5" thickBot="1" x14ac:dyDescent="0.3">
      <c r="A27" s="300">
        <f t="shared" si="0"/>
        <v>17</v>
      </c>
      <c r="B27" s="644">
        <f>'Stmnt BD - Recorded KWH'!B20</f>
        <v>46174</v>
      </c>
      <c r="C27" s="58">
        <f>'WP 5 CAISO Charges'!K10</f>
        <v>-4138771.72</v>
      </c>
      <c r="D27" s="58">
        <v>0</v>
      </c>
      <c r="E27" s="58">
        <f t="shared" si="1"/>
        <v>-4138771.72</v>
      </c>
      <c r="F27" s="645" t="str">
        <f>F11</f>
        <v>Work paper No. 5; Page 5.1 and 5.2; Line 4</v>
      </c>
      <c r="G27" s="301">
        <f t="shared" si="2"/>
        <v>17</v>
      </c>
    </row>
    <row r="28" spans="1:7" x14ac:dyDescent="0.25">
      <c r="A28" s="262">
        <f t="shared" si="0"/>
        <v>18</v>
      </c>
      <c r="B28" s="10"/>
      <c r="C28" s="31"/>
      <c r="D28" s="31"/>
      <c r="E28" s="31"/>
      <c r="F28" s="10"/>
      <c r="G28" s="263">
        <f t="shared" si="2"/>
        <v>18</v>
      </c>
    </row>
    <row r="29" spans="1:7" x14ac:dyDescent="0.25">
      <c r="A29" s="262">
        <f t="shared" si="0"/>
        <v>19</v>
      </c>
      <c r="B29" s="477">
        <f>'Stmnt BD - Recorded KWH'!B21</f>
        <v>46204</v>
      </c>
      <c r="C29" s="31">
        <f>'WP 5 CAISO Charges'!L10</f>
        <v>-2662543.8200000003</v>
      </c>
      <c r="D29" s="31">
        <v>0</v>
      </c>
      <c r="E29" s="31">
        <f t="shared" si="1"/>
        <v>-2662543.8200000003</v>
      </c>
      <c r="F29" s="23" t="str">
        <f>F11</f>
        <v>Work paper No. 5; Page 5.1 and 5.2; Line 4</v>
      </c>
      <c r="G29" s="263">
        <f t="shared" si="2"/>
        <v>19</v>
      </c>
    </row>
    <row r="30" spans="1:7" x14ac:dyDescent="0.25">
      <c r="A30" s="262">
        <f t="shared" si="0"/>
        <v>20</v>
      </c>
      <c r="B30" s="10"/>
      <c r="C30" s="19"/>
      <c r="D30" s="19"/>
      <c r="E30" s="31"/>
      <c r="F30" s="10"/>
      <c r="G30" s="263">
        <f t="shared" si="2"/>
        <v>20</v>
      </c>
    </row>
    <row r="31" spans="1:7" x14ac:dyDescent="0.25">
      <c r="A31" s="262">
        <f t="shared" si="0"/>
        <v>21</v>
      </c>
      <c r="B31" s="477">
        <f>'Stmnt BD - Recorded KWH'!B22</f>
        <v>46235</v>
      </c>
      <c r="C31" s="31">
        <f>'WP 5 CAISO Charges'!M10</f>
        <v>-5061005.96</v>
      </c>
      <c r="D31" s="31">
        <v>0</v>
      </c>
      <c r="E31" s="31">
        <f t="shared" si="1"/>
        <v>-5061005.96</v>
      </c>
      <c r="F31" s="23" t="str">
        <f>F11</f>
        <v>Work paper No. 5; Page 5.1 and 5.2; Line 4</v>
      </c>
      <c r="G31" s="263">
        <f t="shared" si="2"/>
        <v>21</v>
      </c>
    </row>
    <row r="32" spans="1:7" x14ac:dyDescent="0.25">
      <c r="A32" s="262">
        <f t="shared" si="0"/>
        <v>22</v>
      </c>
      <c r="B32" s="10"/>
      <c r="C32" s="31"/>
      <c r="D32" s="31"/>
      <c r="E32" s="31"/>
      <c r="F32" s="10"/>
      <c r="G32" s="263">
        <f t="shared" si="2"/>
        <v>22</v>
      </c>
    </row>
    <row r="33" spans="1:7" ht="16.5" thickBot="1" x14ac:dyDescent="0.3">
      <c r="A33" s="300">
        <f t="shared" si="0"/>
        <v>23</v>
      </c>
      <c r="B33" s="644">
        <f>'Stmnt BD - Recorded KWH'!B23</f>
        <v>46266</v>
      </c>
      <c r="C33" s="58">
        <f>'WP 5 CAISO Charges'!N10</f>
        <v>-7507360.21</v>
      </c>
      <c r="D33" s="58">
        <v>0</v>
      </c>
      <c r="E33" s="82">
        <f t="shared" si="1"/>
        <v>-7507360.21</v>
      </c>
      <c r="F33" s="645" t="str">
        <f>F11</f>
        <v>Work paper No. 5; Page 5.1 and 5.2; Line 4</v>
      </c>
      <c r="G33" s="301">
        <f t="shared" si="2"/>
        <v>23</v>
      </c>
    </row>
    <row r="34" spans="1:7" x14ac:dyDescent="0.25">
      <c r="A34" s="262">
        <f t="shared" si="0"/>
        <v>24</v>
      </c>
      <c r="B34" s="10"/>
      <c r="C34" s="19"/>
      <c r="D34" s="19"/>
      <c r="E34" s="19"/>
      <c r="F34" s="10"/>
      <c r="G34" s="263">
        <f t="shared" si="2"/>
        <v>24</v>
      </c>
    </row>
    <row r="35" spans="1:7" ht="16.5" thickBot="1" x14ac:dyDescent="0.3">
      <c r="A35" s="262">
        <f t="shared" si="0"/>
        <v>25</v>
      </c>
      <c r="B35" s="75" t="s">
        <v>385</v>
      </c>
      <c r="C35" s="73">
        <f>SUM(C11:C33)</f>
        <v>-36254660.200000003</v>
      </c>
      <c r="D35" s="526">
        <f>SUM(D11:D33)</f>
        <v>0</v>
      </c>
      <c r="E35" s="73">
        <f>SUM(E11:E33)</f>
        <v>-36254660.200000003</v>
      </c>
      <c r="F35" s="29" t="s">
        <v>386</v>
      </c>
      <c r="G35" s="263">
        <f t="shared" si="2"/>
        <v>25</v>
      </c>
    </row>
    <row r="36" spans="1:7" ht="16.5" thickTop="1" x14ac:dyDescent="0.25">
      <c r="A36" s="262">
        <f t="shared" si="0"/>
        <v>26</v>
      </c>
      <c r="B36" s="75"/>
      <c r="C36" s="786"/>
      <c r="D36" s="655"/>
      <c r="E36" s="635"/>
      <c r="F36" s="23"/>
      <c r="G36" s="263">
        <f t="shared" si="2"/>
        <v>26</v>
      </c>
    </row>
    <row r="37" spans="1:7" ht="16.5" thickBot="1" x14ac:dyDescent="0.3">
      <c r="A37" s="262">
        <f t="shared" si="0"/>
        <v>27</v>
      </c>
      <c r="B37" s="75" t="s">
        <v>387</v>
      </c>
      <c r="C37" s="154">
        <f>C35</f>
        <v>-36254660.200000003</v>
      </c>
      <c r="D37" s="73">
        <f>D35</f>
        <v>0</v>
      </c>
      <c r="E37" s="654">
        <f>E35</f>
        <v>-36254660.200000003</v>
      </c>
      <c r="F37" s="29" t="s">
        <v>388</v>
      </c>
      <c r="G37" s="263">
        <f t="shared" si="2"/>
        <v>27</v>
      </c>
    </row>
    <row r="38" spans="1:7" ht="17.25" thickTop="1" thickBot="1" x14ac:dyDescent="0.3">
      <c r="A38" s="300">
        <f>A37+1</f>
        <v>28</v>
      </c>
      <c r="B38" s="555"/>
      <c r="C38" s="656"/>
      <c r="D38" s="646"/>
      <c r="E38" s="647"/>
      <c r="F38" s="57"/>
      <c r="G38" s="301">
        <f>G37+1</f>
        <v>28</v>
      </c>
    </row>
    <row r="39" spans="1:7" hidden="1" x14ac:dyDescent="0.25">
      <c r="A39" s="10"/>
      <c r="B39" s="22"/>
      <c r="G39" s="10"/>
    </row>
    <row r="40" spans="1:7" ht="16.5" hidden="1" thickBot="1" x14ac:dyDescent="0.3">
      <c r="A40" s="57"/>
      <c r="B40" s="80"/>
      <c r="C40" s="80"/>
      <c r="D40" s="80"/>
      <c r="E40" s="598"/>
      <c r="F40" s="80"/>
      <c r="G40" s="57"/>
    </row>
    <row r="41" spans="1:7" x14ac:dyDescent="0.25">
      <c r="A41" s="37"/>
      <c r="B41" s="156"/>
      <c r="C41" s="648"/>
      <c r="D41" s="648"/>
      <c r="E41" s="37"/>
      <c r="F41" s="37"/>
      <c r="G41" s="37"/>
    </row>
    <row r="42" spans="1:7" x14ac:dyDescent="0.25">
      <c r="A42" s="37"/>
      <c r="B42" s="68"/>
      <c r="C42" s="90"/>
      <c r="D42" s="90"/>
      <c r="E42" s="90"/>
      <c r="F42" s="37"/>
      <c r="G42" s="37"/>
    </row>
    <row r="43" spans="1:7" x14ac:dyDescent="0.25">
      <c r="A43" s="37"/>
      <c r="C43" s="72"/>
      <c r="D43" s="72"/>
      <c r="E43" s="37"/>
      <c r="F43" s="37"/>
      <c r="G43" s="37"/>
    </row>
    <row r="44" spans="1:7" x14ac:dyDescent="0.25">
      <c r="A44" s="37"/>
      <c r="C44" s="28"/>
      <c r="D44" s="434"/>
      <c r="E44" s="37"/>
      <c r="F44" s="37"/>
      <c r="G44" s="37"/>
    </row>
    <row r="45" spans="1:7" x14ac:dyDescent="0.25">
      <c r="A45" s="37"/>
      <c r="C45" s="72"/>
      <c r="D45" s="90"/>
      <c r="E45" s="37"/>
      <c r="F45" s="37"/>
      <c r="G45" s="37"/>
    </row>
    <row r="46" spans="1:7" x14ac:dyDescent="0.25">
      <c r="A46" s="37"/>
      <c r="C46" s="434"/>
      <c r="D46" s="434"/>
      <c r="E46" s="37"/>
      <c r="F46" s="37"/>
      <c r="G46" s="37"/>
    </row>
    <row r="47" spans="1:7" x14ac:dyDescent="0.25">
      <c r="A47" s="37"/>
      <c r="B47" s="68"/>
      <c r="C47" s="37"/>
      <c r="D47" s="37"/>
      <c r="E47" s="37"/>
      <c r="F47" s="37"/>
      <c r="G47" s="37"/>
    </row>
    <row r="48" spans="1:7" x14ac:dyDescent="0.25">
      <c r="A48" s="37"/>
      <c r="B48" s="68"/>
      <c r="C48" s="37"/>
      <c r="D48" s="37"/>
      <c r="E48" s="37"/>
      <c r="F48" s="37"/>
      <c r="G48" s="37"/>
    </row>
    <row r="49" spans="1:7" x14ac:dyDescent="0.25">
      <c r="A49" s="37"/>
      <c r="C49" s="649"/>
      <c r="D49" s="649"/>
      <c r="E49" s="37"/>
      <c r="F49" s="37"/>
      <c r="G49" s="37"/>
    </row>
    <row r="50" spans="1:7" x14ac:dyDescent="0.25">
      <c r="A50" s="37"/>
      <c r="C50" s="650"/>
      <c r="D50" s="650"/>
      <c r="E50" s="37"/>
      <c r="F50" s="37"/>
      <c r="G50" s="37"/>
    </row>
    <row r="51" spans="1:7" x14ac:dyDescent="0.25">
      <c r="A51" s="37"/>
      <c r="C51" s="651"/>
      <c r="D51" s="651"/>
      <c r="E51" s="37"/>
      <c r="F51" s="37"/>
      <c r="G51" s="37"/>
    </row>
    <row r="52" spans="1:7" x14ac:dyDescent="0.25">
      <c r="A52" s="37"/>
      <c r="B52" s="68"/>
      <c r="C52" s="434"/>
      <c r="D52" s="434"/>
      <c r="E52" s="37"/>
      <c r="F52" s="37"/>
      <c r="G52" s="37"/>
    </row>
    <row r="53" spans="1:7" x14ac:dyDescent="0.25">
      <c r="A53" s="37"/>
      <c r="B53" s="68"/>
      <c r="C53" s="37"/>
      <c r="D53" s="37"/>
      <c r="E53" s="37"/>
      <c r="F53" s="37"/>
      <c r="G53" s="37"/>
    </row>
    <row r="54" spans="1:7" x14ac:dyDescent="0.25">
      <c r="A54" s="37"/>
      <c r="C54" s="649"/>
      <c r="D54" s="649"/>
      <c r="E54" s="37"/>
      <c r="F54" s="37"/>
      <c r="G54" s="37"/>
    </row>
    <row r="55" spans="1:7" x14ac:dyDescent="0.25">
      <c r="A55" s="37"/>
      <c r="C55" s="650"/>
      <c r="D55" s="650"/>
      <c r="E55" s="37"/>
      <c r="F55" s="37"/>
      <c r="G55" s="37"/>
    </row>
    <row r="56" spans="1:7" x14ac:dyDescent="0.25">
      <c r="A56" s="37"/>
      <c r="C56" s="651"/>
      <c r="D56" s="651"/>
      <c r="E56" s="37"/>
      <c r="F56" s="37"/>
      <c r="G56" s="37"/>
    </row>
    <row r="57" spans="1:7" x14ac:dyDescent="0.25">
      <c r="A57" s="37"/>
      <c r="B57" s="68"/>
      <c r="C57" s="434"/>
      <c r="D57" s="434"/>
      <c r="E57" s="37"/>
      <c r="F57" s="37"/>
      <c r="G57" s="37"/>
    </row>
    <row r="58" spans="1:7" x14ac:dyDescent="0.25">
      <c r="A58" s="37"/>
      <c r="B58" s="68"/>
      <c r="C58" s="434"/>
      <c r="D58" s="434"/>
      <c r="E58" s="37"/>
      <c r="F58" s="37"/>
      <c r="G58" s="37"/>
    </row>
    <row r="59" spans="1:7" x14ac:dyDescent="0.25">
      <c r="A59" s="37"/>
      <c r="B59" s="68"/>
      <c r="C59" s="652"/>
      <c r="D59" s="652"/>
      <c r="E59" s="37"/>
      <c r="F59" s="37"/>
      <c r="G59" s="37"/>
    </row>
    <row r="60" spans="1:7" x14ac:dyDescent="0.25">
      <c r="A60" s="37"/>
      <c r="E60" s="37"/>
      <c r="F60" s="37"/>
      <c r="G60" s="37"/>
    </row>
    <row r="61" spans="1:7" x14ac:dyDescent="0.25">
      <c r="A61" s="37"/>
      <c r="B61" s="22"/>
      <c r="G61" s="37"/>
    </row>
    <row r="62" spans="1:7" x14ac:dyDescent="0.25">
      <c r="A62" s="37"/>
      <c r="B62" s="22"/>
      <c r="E62" s="90"/>
      <c r="G62" s="37"/>
    </row>
    <row r="63" spans="1:7" x14ac:dyDescent="0.25">
      <c r="A63" s="37"/>
      <c r="B63" s="156"/>
      <c r="E63" s="37"/>
      <c r="F63" s="37"/>
      <c r="G63" s="37"/>
    </row>
    <row r="64" spans="1:7" x14ac:dyDescent="0.25">
      <c r="A64" s="37"/>
      <c r="D64" s="653"/>
      <c r="E64" s="37"/>
      <c r="F64" s="37"/>
      <c r="G64" s="37"/>
    </row>
    <row r="65" spans="1:7" x14ac:dyDescent="0.25">
      <c r="A65" s="37"/>
      <c r="B65" s="92"/>
      <c r="E65" s="90"/>
      <c r="F65" s="37"/>
      <c r="G65" s="37"/>
    </row>
    <row r="66" spans="1:7" x14ac:dyDescent="0.25">
      <c r="A66" s="37"/>
      <c r="B66" s="156"/>
      <c r="C66" s="648"/>
      <c r="D66" s="648"/>
      <c r="E66" s="37"/>
      <c r="F66" s="37"/>
      <c r="G66" s="37"/>
    </row>
    <row r="67" spans="1:7" x14ac:dyDescent="0.25">
      <c r="A67" s="37"/>
      <c r="B67" s="68"/>
      <c r="C67" s="90"/>
      <c r="D67" s="90"/>
      <c r="E67" s="37"/>
      <c r="F67" s="37"/>
      <c r="G67" s="37"/>
    </row>
    <row r="68" spans="1:7" x14ac:dyDescent="0.25">
      <c r="A68" s="37"/>
      <c r="C68" s="72"/>
      <c r="D68" s="72"/>
      <c r="E68" s="37"/>
      <c r="F68" s="37"/>
      <c r="G68" s="37"/>
    </row>
    <row r="69" spans="1:7" x14ac:dyDescent="0.25">
      <c r="A69" s="37"/>
      <c r="C69" s="28"/>
      <c r="D69" s="434"/>
      <c r="E69" s="37"/>
      <c r="F69" s="37"/>
      <c r="G69" s="37"/>
    </row>
    <row r="70" spans="1:7" x14ac:dyDescent="0.25">
      <c r="A70" s="37"/>
      <c r="C70" s="72"/>
      <c r="D70" s="90"/>
      <c r="E70" s="37"/>
      <c r="F70" s="37"/>
      <c r="G70" s="37"/>
    </row>
    <row r="71" spans="1:7" x14ac:dyDescent="0.25">
      <c r="A71" s="37"/>
      <c r="C71" s="434"/>
      <c r="D71" s="434"/>
      <c r="E71" s="37"/>
      <c r="F71" s="37"/>
      <c r="G71" s="37"/>
    </row>
    <row r="72" spans="1:7" x14ac:dyDescent="0.25">
      <c r="A72" s="37"/>
      <c r="B72" s="68"/>
      <c r="C72" s="37"/>
      <c r="D72" s="37"/>
      <c r="E72" s="37"/>
      <c r="F72" s="37"/>
      <c r="G72" s="37"/>
    </row>
    <row r="73" spans="1:7" x14ac:dyDescent="0.25">
      <c r="A73" s="37"/>
      <c r="B73" s="68"/>
      <c r="C73" s="37"/>
      <c r="D73" s="37"/>
      <c r="E73" s="37"/>
      <c r="F73" s="37"/>
      <c r="G73" s="37"/>
    </row>
    <row r="74" spans="1:7" x14ac:dyDescent="0.25">
      <c r="A74" s="37"/>
      <c r="C74" s="649"/>
      <c r="D74" s="649"/>
      <c r="E74" s="37"/>
      <c r="F74" s="37"/>
      <c r="G74" s="37"/>
    </row>
    <row r="75" spans="1:7" x14ac:dyDescent="0.25">
      <c r="A75" s="37"/>
      <c r="C75" s="650"/>
      <c r="D75" s="650"/>
      <c r="E75" s="37"/>
      <c r="F75" s="37"/>
      <c r="G75" s="37"/>
    </row>
    <row r="76" spans="1:7" x14ac:dyDescent="0.25">
      <c r="A76" s="37"/>
      <c r="C76" s="651"/>
      <c r="D76" s="651"/>
      <c r="E76" s="37"/>
      <c r="F76" s="37"/>
      <c r="G76" s="37"/>
    </row>
    <row r="77" spans="1:7" x14ac:dyDescent="0.25">
      <c r="A77" s="37"/>
      <c r="B77" s="68"/>
      <c r="C77" s="434"/>
      <c r="D77" s="434"/>
      <c r="E77" s="37"/>
      <c r="F77" s="37"/>
      <c r="G77" s="37"/>
    </row>
    <row r="78" spans="1:7" x14ac:dyDescent="0.25">
      <c r="A78" s="37"/>
      <c r="B78" s="68"/>
      <c r="C78" s="37"/>
      <c r="D78" s="37"/>
      <c r="E78" s="37"/>
      <c r="F78" s="37"/>
      <c r="G78" s="37"/>
    </row>
    <row r="79" spans="1:7" x14ac:dyDescent="0.25">
      <c r="A79" s="37"/>
      <c r="C79" s="649"/>
      <c r="D79" s="649"/>
      <c r="E79" s="37"/>
      <c r="F79" s="37"/>
      <c r="G79" s="37"/>
    </row>
    <row r="80" spans="1:7" x14ac:dyDescent="0.25">
      <c r="A80" s="37"/>
      <c r="C80" s="650"/>
      <c r="D80" s="650"/>
      <c r="E80" s="37"/>
      <c r="F80" s="37"/>
      <c r="G80" s="37"/>
    </row>
    <row r="81" spans="1:7" x14ac:dyDescent="0.25">
      <c r="A81" s="37"/>
      <c r="C81" s="651"/>
      <c r="D81" s="651"/>
      <c r="E81" s="37"/>
      <c r="F81" s="37"/>
      <c r="G81" s="37"/>
    </row>
    <row r="82" spans="1:7" x14ac:dyDescent="0.25">
      <c r="A82" s="37"/>
      <c r="B82" s="68"/>
      <c r="C82" s="434"/>
      <c r="D82" s="434"/>
      <c r="E82" s="37"/>
      <c r="F82" s="37"/>
      <c r="G82" s="37"/>
    </row>
    <row r="83" spans="1:7" x14ac:dyDescent="0.25">
      <c r="A83" s="37"/>
      <c r="B83" s="68"/>
      <c r="C83" s="434"/>
      <c r="D83" s="434"/>
      <c r="E83" s="37"/>
      <c r="F83" s="37"/>
      <c r="G83" s="37"/>
    </row>
    <row r="84" spans="1:7" x14ac:dyDescent="0.25">
      <c r="A84" s="37"/>
      <c r="B84" s="68"/>
      <c r="C84" s="652"/>
      <c r="D84" s="652"/>
      <c r="E84" s="37"/>
      <c r="F84" s="37"/>
      <c r="G84" s="37"/>
    </row>
    <row r="85" spans="1:7" x14ac:dyDescent="0.25">
      <c r="A85" s="37"/>
      <c r="E85" s="37"/>
      <c r="F85" s="37"/>
      <c r="G85" s="37"/>
    </row>
  </sheetData>
  <mergeCells count="1">
    <mergeCell ref="A3:G3"/>
  </mergeCells>
  <phoneticPr fontId="15" type="noConversion"/>
  <printOptions horizontalCentered="1"/>
  <pageMargins left="0.5" right="0.5" top="0.5" bottom="0.5" header="0.25" footer="0.25"/>
  <pageSetup scale="84" orientation="landscape" r:id="rId1"/>
  <headerFooter alignWithMargins="0">
    <oddFooter>&amp;L&amp;"Times New Roman,Regular"&amp;12&amp;F&amp;C&amp;"Times New Roman,Regular"&amp;12Page 7.1&amp;R&amp;"Times New Roman,Regular"&amp;12&amp;A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G43"/>
  <sheetViews>
    <sheetView zoomScale="80" zoomScaleNormal="80" workbookViewId="0">
      <selection activeCell="L48" sqref="L48"/>
    </sheetView>
  </sheetViews>
  <sheetFormatPr defaultColWidth="9.42578125" defaultRowHeight="15.75" x14ac:dyDescent="0.25"/>
  <cols>
    <col min="1" max="1" width="5.5703125" style="107" customWidth="1"/>
    <col min="2" max="2" width="55.28515625" style="111" customWidth="1"/>
    <col min="3" max="3" width="25.5703125" style="112" customWidth="1"/>
    <col min="4" max="4" width="46.7109375" style="107" customWidth="1"/>
    <col min="5" max="5" width="5.5703125" style="107" customWidth="1"/>
    <col min="6" max="6" width="2.42578125" style="107" bestFit="1" customWidth="1"/>
    <col min="7" max="16384" width="9.42578125" style="107"/>
  </cols>
  <sheetData>
    <row r="2" spans="1:7" ht="15.75" customHeight="1" x14ac:dyDescent="0.25">
      <c r="A2" s="970" t="s">
        <v>1</v>
      </c>
      <c r="B2" s="970"/>
      <c r="C2" s="970"/>
      <c r="D2" s="970"/>
      <c r="E2" s="970"/>
      <c r="F2" s="657"/>
      <c r="G2" s="657"/>
    </row>
    <row r="3" spans="1:7" ht="15.75" customHeight="1" x14ac:dyDescent="0.25">
      <c r="A3" s="970" t="str">
        <f>'WP 7 Wheeling Revenues'!A3:G3</f>
        <v>2027 - TRBAA Rate Filing</v>
      </c>
      <c r="B3" s="970"/>
      <c r="C3" s="970"/>
      <c r="D3" s="970"/>
      <c r="E3" s="970"/>
      <c r="F3" s="658"/>
      <c r="G3" s="658"/>
    </row>
    <row r="4" spans="1:7" ht="15.75" customHeight="1" x14ac:dyDescent="0.25">
      <c r="A4" s="970" t="s">
        <v>389</v>
      </c>
      <c r="B4" s="970"/>
      <c r="C4" s="970"/>
      <c r="D4" s="970"/>
      <c r="E4" s="970"/>
      <c r="F4" s="657"/>
      <c r="G4" s="657"/>
    </row>
    <row r="5" spans="1:7" ht="16.5" customHeight="1" thickBot="1" x14ac:dyDescent="0.3">
      <c r="A5" s="338"/>
      <c r="B5" s="659"/>
      <c r="C5" s="660"/>
      <c r="D5" s="660"/>
      <c r="E5" s="338"/>
    </row>
    <row r="6" spans="1:7" ht="48" thickBot="1" x14ac:dyDescent="0.3">
      <c r="A6" s="661" t="s">
        <v>63</v>
      </c>
      <c r="B6" s="337" t="s">
        <v>381</v>
      </c>
      <c r="C6" s="662" t="s">
        <v>390</v>
      </c>
      <c r="D6" s="587" t="s">
        <v>15</v>
      </c>
      <c r="E6" s="663" t="s">
        <v>63</v>
      </c>
    </row>
    <row r="7" spans="1:7" x14ac:dyDescent="0.25">
      <c r="A7" s="664"/>
      <c r="B7" s="785"/>
      <c r="C7" s="665"/>
      <c r="D7" s="10"/>
      <c r="E7" s="666"/>
    </row>
    <row r="8" spans="1:7" x14ac:dyDescent="0.25">
      <c r="A8" s="334">
        <v>1</v>
      </c>
      <c r="B8" s="108">
        <f>'WP 7 Wheeling Revenues'!B11</f>
        <v>45931</v>
      </c>
      <c r="C8" s="19">
        <f>'WP 5 CAISO Charges'!C13</f>
        <v>1500</v>
      </c>
      <c r="D8" s="23" t="s">
        <v>391</v>
      </c>
      <c r="E8" s="335">
        <v>1</v>
      </c>
      <c r="F8" s="781"/>
    </row>
    <row r="9" spans="1:7" x14ac:dyDescent="0.25">
      <c r="A9" s="334">
        <f>A8+1</f>
        <v>2</v>
      </c>
      <c r="B9" s="108"/>
      <c r="C9" s="19"/>
      <c r="D9" s="10"/>
      <c r="E9" s="335">
        <f>A9</f>
        <v>2</v>
      </c>
      <c r="F9" s="781"/>
    </row>
    <row r="10" spans="1:7" x14ac:dyDescent="0.25">
      <c r="A10" s="334">
        <f t="shared" ref="A10:A35" si="0">A9+1</f>
        <v>3</v>
      </c>
      <c r="B10" s="108">
        <f>'WP 7 Wheeling Revenues'!B13</f>
        <v>45962</v>
      </c>
      <c r="C10" s="31">
        <f>'WP 5 CAISO Charges'!D13</f>
        <v>1500</v>
      </c>
      <c r="D10" s="23" t="str">
        <f>D8</f>
        <v>Work paper No. 5; Page 5.1 and 5.2; Line 7</v>
      </c>
      <c r="E10" s="335">
        <f t="shared" ref="E10:E34" si="1">A10</f>
        <v>3</v>
      </c>
    </row>
    <row r="11" spans="1:7" x14ac:dyDescent="0.25">
      <c r="A11" s="334">
        <f t="shared" si="0"/>
        <v>4</v>
      </c>
      <c r="B11" s="108"/>
      <c r="C11" s="31"/>
      <c r="D11" s="10"/>
      <c r="E11" s="335">
        <f t="shared" si="1"/>
        <v>4</v>
      </c>
    </row>
    <row r="12" spans="1:7" ht="16.5" thickBot="1" x14ac:dyDescent="0.3">
      <c r="A12" s="336">
        <f t="shared" si="0"/>
        <v>5</v>
      </c>
      <c r="B12" s="109">
        <f>'WP 7 Wheeling Revenues'!B15</f>
        <v>45992</v>
      </c>
      <c r="C12" s="58">
        <f>'WP 5 CAISO Charges'!E13</f>
        <v>1500</v>
      </c>
      <c r="D12" s="645" t="str">
        <f>D8</f>
        <v>Work paper No. 5; Page 5.1 and 5.2; Line 7</v>
      </c>
      <c r="E12" s="339">
        <f t="shared" si="1"/>
        <v>5</v>
      </c>
    </row>
    <row r="13" spans="1:7" x14ac:dyDescent="0.25">
      <c r="A13" s="334">
        <f t="shared" si="0"/>
        <v>6</v>
      </c>
      <c r="B13" s="108"/>
      <c r="C13" s="31"/>
      <c r="D13" s="23"/>
      <c r="E13" s="335">
        <f t="shared" si="1"/>
        <v>6</v>
      </c>
    </row>
    <row r="14" spans="1:7" x14ac:dyDescent="0.25">
      <c r="A14" s="334">
        <f t="shared" si="0"/>
        <v>7</v>
      </c>
      <c r="B14" s="108">
        <f>'WP 7 Wheeling Revenues'!B17</f>
        <v>46023</v>
      </c>
      <c r="C14" s="31">
        <f>'WP 5 CAISO Charges'!F13</f>
        <v>1500</v>
      </c>
      <c r="D14" s="23" t="str">
        <f>D8</f>
        <v>Work paper No. 5; Page 5.1 and 5.2; Line 7</v>
      </c>
      <c r="E14" s="335">
        <f t="shared" si="1"/>
        <v>7</v>
      </c>
    </row>
    <row r="15" spans="1:7" x14ac:dyDescent="0.25">
      <c r="A15" s="334">
        <f t="shared" si="0"/>
        <v>8</v>
      </c>
      <c r="B15" s="108"/>
      <c r="C15" s="31"/>
      <c r="D15" s="10"/>
      <c r="E15" s="335">
        <f t="shared" si="1"/>
        <v>8</v>
      </c>
    </row>
    <row r="16" spans="1:7" x14ac:dyDescent="0.25">
      <c r="A16" s="334">
        <f t="shared" si="0"/>
        <v>9</v>
      </c>
      <c r="B16" s="108">
        <f>'WP 7 Wheeling Revenues'!B19</f>
        <v>46054</v>
      </c>
      <c r="C16" s="31">
        <f>'WP 5 CAISO Charges'!G13</f>
        <v>1500</v>
      </c>
      <c r="D16" s="23" t="str">
        <f>D8</f>
        <v>Work paper No. 5; Page 5.1 and 5.2; Line 7</v>
      </c>
      <c r="E16" s="335">
        <f t="shared" si="1"/>
        <v>9</v>
      </c>
    </row>
    <row r="17" spans="1:5" x14ac:dyDescent="0.25">
      <c r="A17" s="334">
        <f t="shared" si="0"/>
        <v>10</v>
      </c>
      <c r="B17" s="108"/>
      <c r="C17" s="31"/>
      <c r="D17" s="10"/>
      <c r="E17" s="335">
        <f t="shared" si="1"/>
        <v>10</v>
      </c>
    </row>
    <row r="18" spans="1:5" ht="16.5" thickBot="1" x14ac:dyDescent="0.3">
      <c r="A18" s="336">
        <f t="shared" si="0"/>
        <v>11</v>
      </c>
      <c r="B18" s="109">
        <f>'WP 7 Wheeling Revenues'!B21</f>
        <v>46082</v>
      </c>
      <c r="C18" s="58">
        <f>'WP 5 CAISO Charges'!H13</f>
        <v>1500</v>
      </c>
      <c r="D18" s="645" t="str">
        <f>D8</f>
        <v>Work paper No. 5; Page 5.1 and 5.2; Line 7</v>
      </c>
      <c r="E18" s="339">
        <f t="shared" si="1"/>
        <v>11</v>
      </c>
    </row>
    <row r="19" spans="1:5" x14ac:dyDescent="0.25">
      <c r="A19" s="334">
        <f t="shared" si="0"/>
        <v>12</v>
      </c>
      <c r="B19" s="108"/>
      <c r="C19" s="31"/>
      <c r="D19" s="10"/>
      <c r="E19" s="335">
        <f t="shared" si="1"/>
        <v>12</v>
      </c>
    </row>
    <row r="20" spans="1:5" x14ac:dyDescent="0.25">
      <c r="A20" s="334">
        <f t="shared" si="0"/>
        <v>13</v>
      </c>
      <c r="B20" s="108">
        <f>'WP 7 Wheeling Revenues'!B23</f>
        <v>46113</v>
      </c>
      <c r="C20" s="31">
        <f>'WP 5 CAISO Charges'!I13</f>
        <v>1500</v>
      </c>
      <c r="D20" s="23" t="str">
        <f>D8</f>
        <v>Work paper No. 5; Page 5.1 and 5.2; Line 7</v>
      </c>
      <c r="E20" s="335">
        <f t="shared" si="1"/>
        <v>13</v>
      </c>
    </row>
    <row r="21" spans="1:5" x14ac:dyDescent="0.25">
      <c r="A21" s="334">
        <f t="shared" si="0"/>
        <v>14</v>
      </c>
      <c r="B21" s="108"/>
      <c r="C21" s="31"/>
      <c r="D21" s="10"/>
      <c r="E21" s="335">
        <f t="shared" si="1"/>
        <v>14</v>
      </c>
    </row>
    <row r="22" spans="1:5" x14ac:dyDescent="0.25">
      <c r="A22" s="334">
        <f t="shared" si="0"/>
        <v>15</v>
      </c>
      <c r="B22" s="108">
        <f>'WP 7 Wheeling Revenues'!B25</f>
        <v>46143</v>
      </c>
      <c r="C22" s="31">
        <f>'WP 5 CAISO Charges'!J13</f>
        <v>1500</v>
      </c>
      <c r="D22" s="23" t="str">
        <f>D8</f>
        <v>Work paper No. 5; Page 5.1 and 5.2; Line 7</v>
      </c>
      <c r="E22" s="335">
        <f t="shared" si="1"/>
        <v>15</v>
      </c>
    </row>
    <row r="23" spans="1:5" x14ac:dyDescent="0.25">
      <c r="A23" s="334">
        <f t="shared" si="0"/>
        <v>16</v>
      </c>
      <c r="B23" s="108"/>
      <c r="C23" s="31"/>
      <c r="D23" s="10"/>
      <c r="E23" s="335">
        <f t="shared" si="1"/>
        <v>16</v>
      </c>
    </row>
    <row r="24" spans="1:5" ht="16.5" thickBot="1" x14ac:dyDescent="0.3">
      <c r="A24" s="336">
        <f t="shared" si="0"/>
        <v>17</v>
      </c>
      <c r="B24" s="109">
        <f>'WP 7 Wheeling Revenues'!B27</f>
        <v>46174</v>
      </c>
      <c r="C24" s="58">
        <f>'WP 5 CAISO Charges'!K13</f>
        <v>1500</v>
      </c>
      <c r="D24" s="645" t="str">
        <f>D8</f>
        <v>Work paper No. 5; Page 5.1 and 5.2; Line 7</v>
      </c>
      <c r="E24" s="339">
        <f t="shared" si="1"/>
        <v>17</v>
      </c>
    </row>
    <row r="25" spans="1:5" x14ac:dyDescent="0.25">
      <c r="A25" s="334">
        <f t="shared" si="0"/>
        <v>18</v>
      </c>
      <c r="B25" s="108"/>
      <c r="C25" s="31"/>
      <c r="D25" s="10"/>
      <c r="E25" s="335">
        <f t="shared" si="1"/>
        <v>18</v>
      </c>
    </row>
    <row r="26" spans="1:5" x14ac:dyDescent="0.25">
      <c r="A26" s="334">
        <f t="shared" si="0"/>
        <v>19</v>
      </c>
      <c r="B26" s="108">
        <f>'WP 7 Wheeling Revenues'!B29</f>
        <v>46204</v>
      </c>
      <c r="C26" s="31">
        <f>'WP 5 CAISO Charges'!L13</f>
        <v>1500</v>
      </c>
      <c r="D26" s="23" t="str">
        <f>D8</f>
        <v>Work paper No. 5; Page 5.1 and 5.2; Line 7</v>
      </c>
      <c r="E26" s="335">
        <f t="shared" si="1"/>
        <v>19</v>
      </c>
    </row>
    <row r="27" spans="1:5" x14ac:dyDescent="0.25">
      <c r="A27" s="334">
        <f t="shared" si="0"/>
        <v>20</v>
      </c>
      <c r="B27" s="108"/>
      <c r="C27" s="31"/>
      <c r="D27" s="10"/>
      <c r="E27" s="335">
        <f t="shared" si="1"/>
        <v>20</v>
      </c>
    </row>
    <row r="28" spans="1:5" x14ac:dyDescent="0.25">
      <c r="A28" s="334">
        <f t="shared" si="0"/>
        <v>21</v>
      </c>
      <c r="B28" s="108">
        <f>'WP 7 Wheeling Revenues'!B31</f>
        <v>46235</v>
      </c>
      <c r="C28" s="31">
        <f>'WP 5 CAISO Charges'!M13</f>
        <v>1500</v>
      </c>
      <c r="D28" s="23" t="str">
        <f>D8</f>
        <v>Work paper No. 5; Page 5.1 and 5.2; Line 7</v>
      </c>
      <c r="E28" s="335">
        <f t="shared" si="1"/>
        <v>21</v>
      </c>
    </row>
    <row r="29" spans="1:5" x14ac:dyDescent="0.25">
      <c r="A29" s="334">
        <f t="shared" si="0"/>
        <v>22</v>
      </c>
      <c r="B29" s="108"/>
      <c r="C29" s="31"/>
      <c r="D29" s="10"/>
      <c r="E29" s="335">
        <f t="shared" si="1"/>
        <v>22</v>
      </c>
    </row>
    <row r="30" spans="1:5" ht="16.5" thickBot="1" x14ac:dyDescent="0.3">
      <c r="A30" s="336">
        <f t="shared" si="0"/>
        <v>23</v>
      </c>
      <c r="B30" s="109">
        <f>'WP 7 Wheeling Revenues'!B33</f>
        <v>46266</v>
      </c>
      <c r="C30" s="82">
        <f>'WP 5 CAISO Charges'!N13</f>
        <v>1500</v>
      </c>
      <c r="D30" s="645" t="str">
        <f>D8</f>
        <v>Work paper No. 5; Page 5.1 and 5.2; Line 7</v>
      </c>
      <c r="E30" s="339">
        <f t="shared" si="1"/>
        <v>23</v>
      </c>
    </row>
    <row r="31" spans="1:5" x14ac:dyDescent="0.25">
      <c r="A31" s="334">
        <f t="shared" si="0"/>
        <v>24</v>
      </c>
      <c r="B31" s="108"/>
      <c r="C31" s="44"/>
      <c r="D31" s="23"/>
      <c r="E31" s="335">
        <f t="shared" si="1"/>
        <v>24</v>
      </c>
    </row>
    <row r="32" spans="1:5" ht="16.5" thickBot="1" x14ac:dyDescent="0.3">
      <c r="A32" s="334">
        <f t="shared" si="0"/>
        <v>25</v>
      </c>
      <c r="B32" s="132" t="s">
        <v>385</v>
      </c>
      <c r="C32" s="73">
        <f>SUM(C8:C30)</f>
        <v>18000</v>
      </c>
      <c r="D32" s="29" t="s">
        <v>386</v>
      </c>
      <c r="E32" s="335">
        <f t="shared" si="1"/>
        <v>25</v>
      </c>
    </row>
    <row r="33" spans="1:5" ht="16.5" thickTop="1" x14ac:dyDescent="0.25">
      <c r="A33" s="334">
        <f t="shared" si="0"/>
        <v>26</v>
      </c>
      <c r="B33" s="84"/>
      <c r="C33" s="161"/>
      <c r="E33" s="335">
        <f t="shared" si="1"/>
        <v>26</v>
      </c>
    </row>
    <row r="34" spans="1:5" ht="33.75" thickBot="1" x14ac:dyDescent="0.3">
      <c r="A34" s="667">
        <f t="shared" si="0"/>
        <v>27</v>
      </c>
      <c r="B34" s="668" t="s">
        <v>392</v>
      </c>
      <c r="C34" s="670">
        <f>C32</f>
        <v>18000</v>
      </c>
      <c r="D34" s="29" t="s">
        <v>388</v>
      </c>
      <c r="E34" s="669">
        <f t="shared" si="1"/>
        <v>27</v>
      </c>
    </row>
    <row r="35" spans="1:5" ht="17.25" thickTop="1" thickBot="1" x14ac:dyDescent="0.3">
      <c r="A35" s="336">
        <f t="shared" si="0"/>
        <v>28</v>
      </c>
      <c r="B35" s="362"/>
      <c r="C35" s="782"/>
      <c r="D35" s="248"/>
      <c r="E35" s="339">
        <f t="shared" ref="E35" si="2">E34+1</f>
        <v>28</v>
      </c>
    </row>
    <row r="36" spans="1:5" x14ac:dyDescent="0.25">
      <c r="B36" s="333"/>
      <c r="C36" s="72"/>
      <c r="D36" s="72"/>
    </row>
    <row r="37" spans="1:5" ht="21.75" x14ac:dyDescent="0.3">
      <c r="A37" s="164" t="s">
        <v>393</v>
      </c>
      <c r="B37" s="302" t="s">
        <v>394</v>
      </c>
      <c r="C37" s="107"/>
    </row>
    <row r="38" spans="1:5" x14ac:dyDescent="0.25">
      <c r="A38" s="37"/>
      <c r="B38" s="302" t="s">
        <v>395</v>
      </c>
      <c r="C38" s="129"/>
      <c r="D38" s="129"/>
    </row>
    <row r="39" spans="1:5" x14ac:dyDescent="0.25">
      <c r="A39" s="1"/>
      <c r="B39" s="302" t="s">
        <v>396</v>
      </c>
      <c r="C39" s="129"/>
      <c r="D39" s="129"/>
    </row>
    <row r="40" spans="1:5" x14ac:dyDescent="0.25">
      <c r="B40" s="129"/>
      <c r="C40" s="130"/>
      <c r="D40" s="129"/>
    </row>
    <row r="41" spans="1:5" x14ac:dyDescent="0.25">
      <c r="B41" s="129"/>
      <c r="C41" s="130"/>
      <c r="D41" s="129"/>
    </row>
    <row r="42" spans="1:5" x14ac:dyDescent="0.25">
      <c r="B42" s="129"/>
      <c r="C42" s="130"/>
      <c r="D42" s="129"/>
    </row>
    <row r="43" spans="1:5" x14ac:dyDescent="0.25">
      <c r="B43" s="131"/>
      <c r="C43" s="113"/>
      <c r="D43" s="113"/>
    </row>
  </sheetData>
  <mergeCells count="3">
    <mergeCell ref="A2:E2"/>
    <mergeCell ref="A3:E3"/>
    <mergeCell ref="A4:E4"/>
  </mergeCells>
  <printOptions horizontalCentered="1"/>
  <pageMargins left="0" right="0" top="0.5" bottom="0.5" header="0.25" footer="0.25"/>
  <pageSetup scale="76" orientation="landscape" r:id="rId1"/>
  <headerFooter scaleWithDoc="0" alignWithMargins="0">
    <oddFooter>&amp;L&amp;"Times New Roman,Regular"&amp;9&amp;F&amp;C&amp;"Times New Roman,Regular"&amp;9Page 8.1&amp;R&amp;"Times New Roman,Regular"&amp;9&amp;A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1F82-ACDE-4E3C-B78C-2E7BFB04A471}">
  <sheetPr>
    <pageSetUpPr fitToPage="1"/>
  </sheetPr>
  <dimension ref="A2:F43"/>
  <sheetViews>
    <sheetView zoomScale="80" zoomScaleNormal="80" workbookViewId="0">
      <selection activeCell="B27" sqref="B27"/>
    </sheetView>
  </sheetViews>
  <sheetFormatPr defaultColWidth="9.42578125" defaultRowHeight="15.75" x14ac:dyDescent="0.25"/>
  <cols>
    <col min="1" max="1" width="5.42578125" style="107" bestFit="1" customWidth="1"/>
    <col min="2" max="2" width="65.5703125" style="131" customWidth="1"/>
    <col min="3" max="3" width="22" style="107" bestFit="1" customWidth="1"/>
    <col min="4" max="4" width="48.42578125" style="107" customWidth="1"/>
    <col min="5" max="5" width="5.42578125" style="107" bestFit="1" customWidth="1"/>
    <col min="6" max="6" width="2.42578125" style="107" bestFit="1" customWidth="1"/>
    <col min="7" max="16384" width="9.42578125" style="107"/>
  </cols>
  <sheetData>
    <row r="2" spans="1:6" x14ac:dyDescent="0.25">
      <c r="A2" s="970" t="s">
        <v>1</v>
      </c>
      <c r="B2" s="970"/>
      <c r="C2" s="970"/>
      <c r="D2" s="970"/>
      <c r="E2" s="970"/>
    </row>
    <row r="3" spans="1:6" x14ac:dyDescent="0.25">
      <c r="A3" s="970" t="str">
        <f>'WP 7 Wheeling Revenues'!A3:G3</f>
        <v>2027 - TRBAA Rate Filing</v>
      </c>
      <c r="B3" s="970"/>
      <c r="C3" s="970"/>
      <c r="D3" s="970"/>
      <c r="E3" s="970"/>
    </row>
    <row r="4" spans="1:6" x14ac:dyDescent="0.25">
      <c r="A4" s="970" t="s">
        <v>397</v>
      </c>
      <c r="B4" s="970"/>
      <c r="C4" s="970"/>
      <c r="D4" s="970"/>
      <c r="E4" s="970"/>
    </row>
    <row r="5" spans="1:6" ht="16.5" thickBot="1" x14ac:dyDescent="0.3">
      <c r="A5" s="338"/>
      <c r="B5" s="659"/>
      <c r="C5" s="660"/>
      <c r="D5" s="660"/>
      <c r="E5" s="338"/>
    </row>
    <row r="6" spans="1:6" ht="52.5" customHeight="1" thickBot="1" x14ac:dyDescent="0.3">
      <c r="A6" s="661" t="s">
        <v>63</v>
      </c>
      <c r="B6" s="337" t="s">
        <v>381</v>
      </c>
      <c r="C6" s="671" t="s">
        <v>398</v>
      </c>
      <c r="D6" s="587" t="s">
        <v>15</v>
      </c>
      <c r="E6" s="663" t="s">
        <v>63</v>
      </c>
    </row>
    <row r="7" spans="1:6" x14ac:dyDescent="0.25">
      <c r="A7" s="672"/>
      <c r="B7" s="784"/>
      <c r="C7" s="430"/>
      <c r="D7" s="430"/>
      <c r="E7" s="673"/>
    </row>
    <row r="8" spans="1:6" x14ac:dyDescent="0.25">
      <c r="A8" s="334">
        <v>1</v>
      </c>
      <c r="B8" s="108">
        <f>'WP 7 Wheeling Revenues'!B11</f>
        <v>45931</v>
      </c>
      <c r="C8" s="19">
        <f>'WP 5 CAISO Charges'!C16</f>
        <v>-849605.3600000001</v>
      </c>
      <c r="D8" s="23" t="s">
        <v>399</v>
      </c>
      <c r="E8" s="335">
        <f>A8</f>
        <v>1</v>
      </c>
      <c r="F8" s="781"/>
    </row>
    <row r="9" spans="1:6" x14ac:dyDescent="0.25">
      <c r="A9" s="334">
        <f>A8+1</f>
        <v>2</v>
      </c>
      <c r="B9" s="108"/>
      <c r="C9" s="19"/>
      <c r="D9" s="10"/>
      <c r="E9" s="335">
        <f t="shared" ref="E9:E34" si="0">A9</f>
        <v>2</v>
      </c>
      <c r="F9" s="781"/>
    </row>
    <row r="10" spans="1:6" x14ac:dyDescent="0.25">
      <c r="A10" s="334">
        <f t="shared" ref="A10:A35" si="1">A9+1</f>
        <v>3</v>
      </c>
      <c r="B10" s="108">
        <f>'WP 7 Wheeling Revenues'!B13</f>
        <v>45962</v>
      </c>
      <c r="C10" s="31">
        <f>'WP 5 CAISO Charges'!D16</f>
        <v>-48116.040000000052</v>
      </c>
      <c r="D10" s="23" t="str">
        <f>D8</f>
        <v>Work paper No. 5; Page 5.1 and 5.2; Line 10</v>
      </c>
      <c r="E10" s="335">
        <f t="shared" si="0"/>
        <v>3</v>
      </c>
    </row>
    <row r="11" spans="1:6" x14ac:dyDescent="0.25">
      <c r="A11" s="334">
        <f t="shared" si="1"/>
        <v>4</v>
      </c>
      <c r="B11" s="108"/>
      <c r="C11" s="31"/>
      <c r="D11" s="10"/>
      <c r="E11" s="335">
        <f t="shared" si="0"/>
        <v>4</v>
      </c>
    </row>
    <row r="12" spans="1:6" ht="16.5" thickBot="1" x14ac:dyDescent="0.3">
      <c r="A12" s="336">
        <f t="shared" si="1"/>
        <v>5</v>
      </c>
      <c r="B12" s="109">
        <f>'WP 7 Wheeling Revenues'!B15</f>
        <v>45992</v>
      </c>
      <c r="C12" s="58">
        <f>'WP 5 CAISO Charges'!E16</f>
        <v>71552.929999999964</v>
      </c>
      <c r="D12" s="645" t="str">
        <f>D8</f>
        <v>Work paper No. 5; Page 5.1 and 5.2; Line 10</v>
      </c>
      <c r="E12" s="339">
        <f t="shared" si="0"/>
        <v>5</v>
      </c>
    </row>
    <row r="13" spans="1:6" x14ac:dyDescent="0.25">
      <c r="A13" s="334">
        <f t="shared" si="1"/>
        <v>6</v>
      </c>
      <c r="B13" s="108"/>
      <c r="C13" s="31"/>
      <c r="D13" s="23"/>
      <c r="E13" s="335">
        <f t="shared" si="0"/>
        <v>6</v>
      </c>
    </row>
    <row r="14" spans="1:6" x14ac:dyDescent="0.25">
      <c r="A14" s="334">
        <f t="shared" si="1"/>
        <v>7</v>
      </c>
      <c r="B14" s="108">
        <f>'WP 7 Wheeling Revenues'!B17</f>
        <v>46023</v>
      </c>
      <c r="C14" s="31">
        <f>'WP 5 CAISO Charges'!F16</f>
        <v>75403.47</v>
      </c>
      <c r="D14" s="23" t="str">
        <f>D8</f>
        <v>Work paper No. 5; Page 5.1 and 5.2; Line 10</v>
      </c>
      <c r="E14" s="335">
        <f t="shared" si="0"/>
        <v>7</v>
      </c>
    </row>
    <row r="15" spans="1:6" x14ac:dyDescent="0.25">
      <c r="A15" s="334">
        <f t="shared" si="1"/>
        <v>8</v>
      </c>
      <c r="B15" s="108"/>
      <c r="C15" s="31"/>
      <c r="D15" s="10"/>
      <c r="E15" s="335">
        <f t="shared" si="0"/>
        <v>8</v>
      </c>
    </row>
    <row r="16" spans="1:6" x14ac:dyDescent="0.25">
      <c r="A16" s="334">
        <f t="shared" si="1"/>
        <v>9</v>
      </c>
      <c r="B16" s="108">
        <f>'WP 7 Wheeling Revenues'!B19</f>
        <v>46054</v>
      </c>
      <c r="C16" s="31">
        <f>'WP 5 CAISO Charges'!G16</f>
        <v>91378.789999999906</v>
      </c>
      <c r="D16" s="23" t="str">
        <f>D8</f>
        <v>Work paper No. 5; Page 5.1 and 5.2; Line 10</v>
      </c>
      <c r="E16" s="335">
        <f t="shared" si="0"/>
        <v>9</v>
      </c>
    </row>
    <row r="17" spans="1:5" x14ac:dyDescent="0.25">
      <c r="A17" s="334">
        <f t="shared" si="1"/>
        <v>10</v>
      </c>
      <c r="B17" s="108"/>
      <c r="C17" s="31"/>
      <c r="D17" s="10"/>
      <c r="E17" s="335">
        <f t="shared" si="0"/>
        <v>10</v>
      </c>
    </row>
    <row r="18" spans="1:5" ht="16.5" thickBot="1" x14ac:dyDescent="0.3">
      <c r="A18" s="336">
        <f t="shared" si="1"/>
        <v>11</v>
      </c>
      <c r="B18" s="109">
        <f>'WP 7 Wheeling Revenues'!B21</f>
        <v>46082</v>
      </c>
      <c r="C18" s="58">
        <f>'WP 5 CAISO Charges'!H16</f>
        <v>7763.6499999999342</v>
      </c>
      <c r="D18" s="645" t="str">
        <f>D8</f>
        <v>Work paper No. 5; Page 5.1 and 5.2; Line 10</v>
      </c>
      <c r="E18" s="339">
        <f t="shared" si="0"/>
        <v>11</v>
      </c>
    </row>
    <row r="19" spans="1:5" x14ac:dyDescent="0.25">
      <c r="A19" s="334">
        <f t="shared" si="1"/>
        <v>12</v>
      </c>
      <c r="B19" s="108"/>
      <c r="C19" s="31"/>
      <c r="D19" s="10"/>
      <c r="E19" s="335">
        <f t="shared" si="0"/>
        <v>12</v>
      </c>
    </row>
    <row r="20" spans="1:5" x14ac:dyDescent="0.25">
      <c r="A20" s="334">
        <f t="shared" si="1"/>
        <v>13</v>
      </c>
      <c r="B20" s="108">
        <f>'WP 7 Wheeling Revenues'!B23</f>
        <v>46113</v>
      </c>
      <c r="C20" s="31">
        <f>'WP 5 CAISO Charges'!I16</f>
        <v>18147.450000000073</v>
      </c>
      <c r="D20" s="23" t="str">
        <f>D8</f>
        <v>Work paper No. 5; Page 5.1 and 5.2; Line 10</v>
      </c>
      <c r="E20" s="335">
        <f t="shared" si="0"/>
        <v>13</v>
      </c>
    </row>
    <row r="21" spans="1:5" x14ac:dyDescent="0.25">
      <c r="A21" s="334">
        <f t="shared" si="1"/>
        <v>14</v>
      </c>
      <c r="B21" s="108"/>
      <c r="C21" s="31"/>
      <c r="D21" s="10"/>
      <c r="E21" s="335">
        <f t="shared" si="0"/>
        <v>14</v>
      </c>
    </row>
    <row r="22" spans="1:5" x14ac:dyDescent="0.25">
      <c r="A22" s="334">
        <f t="shared" si="1"/>
        <v>15</v>
      </c>
      <c r="B22" s="108">
        <f>'WP 7 Wheeling Revenues'!B25</f>
        <v>46143</v>
      </c>
      <c r="C22" s="31">
        <f>'WP 5 CAISO Charges'!J16</f>
        <v>83699.37</v>
      </c>
      <c r="D22" s="23" t="str">
        <f>D8</f>
        <v>Work paper No. 5; Page 5.1 and 5.2; Line 10</v>
      </c>
      <c r="E22" s="335">
        <f t="shared" si="0"/>
        <v>15</v>
      </c>
    </row>
    <row r="23" spans="1:5" x14ac:dyDescent="0.25">
      <c r="A23" s="334">
        <f t="shared" si="1"/>
        <v>16</v>
      </c>
      <c r="B23" s="108"/>
      <c r="C23" s="31"/>
      <c r="D23" s="10"/>
      <c r="E23" s="335">
        <f t="shared" si="0"/>
        <v>16</v>
      </c>
    </row>
    <row r="24" spans="1:5" ht="16.5" thickBot="1" x14ac:dyDescent="0.3">
      <c r="A24" s="336">
        <f t="shared" si="1"/>
        <v>17</v>
      </c>
      <c r="B24" s="109">
        <f>'WP 7 Wheeling Revenues'!B27</f>
        <v>46174</v>
      </c>
      <c r="C24" s="58">
        <f>'WP 5 CAISO Charges'!K16</f>
        <v>102512.79000000001</v>
      </c>
      <c r="D24" s="645" t="str">
        <f>D8</f>
        <v>Work paper No. 5; Page 5.1 and 5.2; Line 10</v>
      </c>
      <c r="E24" s="339">
        <f t="shared" si="0"/>
        <v>17</v>
      </c>
    </row>
    <row r="25" spans="1:5" x14ac:dyDescent="0.25">
      <c r="A25" s="334">
        <f t="shared" si="1"/>
        <v>18</v>
      </c>
      <c r="B25" s="108"/>
      <c r="C25" s="31"/>
      <c r="D25" s="10"/>
      <c r="E25" s="335">
        <f t="shared" si="0"/>
        <v>18</v>
      </c>
    </row>
    <row r="26" spans="1:5" x14ac:dyDescent="0.25">
      <c r="A26" s="334">
        <f t="shared" si="1"/>
        <v>19</v>
      </c>
      <c r="B26" s="108">
        <f>'WP 7 Wheeling Revenues'!B29</f>
        <v>46204</v>
      </c>
      <c r="C26" s="31">
        <f>'WP 5 CAISO Charges'!L16</f>
        <v>53320.55000000009</v>
      </c>
      <c r="D26" s="23" t="str">
        <f>D8</f>
        <v>Work paper No. 5; Page 5.1 and 5.2; Line 10</v>
      </c>
      <c r="E26" s="335">
        <f t="shared" si="0"/>
        <v>19</v>
      </c>
    </row>
    <row r="27" spans="1:5" x14ac:dyDescent="0.25">
      <c r="A27" s="334">
        <f t="shared" si="1"/>
        <v>20</v>
      </c>
      <c r="B27" s="108"/>
      <c r="C27" s="31"/>
      <c r="D27" s="10"/>
      <c r="E27" s="335">
        <f t="shared" si="0"/>
        <v>20</v>
      </c>
    </row>
    <row r="28" spans="1:5" x14ac:dyDescent="0.25">
      <c r="A28" s="334">
        <f t="shared" si="1"/>
        <v>21</v>
      </c>
      <c r="B28" s="108">
        <f>'WP 7 Wheeling Revenues'!B31</f>
        <v>46235</v>
      </c>
      <c r="C28" s="31">
        <f>'WP 5 CAISO Charges'!M16</f>
        <v>38491.419999999984</v>
      </c>
      <c r="D28" s="23" t="str">
        <f>D8</f>
        <v>Work paper No. 5; Page 5.1 and 5.2; Line 10</v>
      </c>
      <c r="E28" s="335">
        <f t="shared" si="0"/>
        <v>21</v>
      </c>
    </row>
    <row r="29" spans="1:5" x14ac:dyDescent="0.25">
      <c r="A29" s="334">
        <f t="shared" si="1"/>
        <v>22</v>
      </c>
      <c r="B29" s="108"/>
      <c r="C29" s="31"/>
      <c r="D29" s="10"/>
      <c r="E29" s="335">
        <f t="shared" si="0"/>
        <v>22</v>
      </c>
    </row>
    <row r="30" spans="1:5" ht="16.5" thickBot="1" x14ac:dyDescent="0.3">
      <c r="A30" s="336">
        <f t="shared" si="1"/>
        <v>23</v>
      </c>
      <c r="B30" s="109">
        <f>'WP 7 Wheeling Revenues'!B33</f>
        <v>46266</v>
      </c>
      <c r="C30" s="82">
        <f>'WP 5 CAISO Charges'!N16</f>
        <v>-200901.73246000017</v>
      </c>
      <c r="D30" s="645" t="str">
        <f>D8</f>
        <v>Work paper No. 5; Page 5.1 and 5.2; Line 10</v>
      </c>
      <c r="E30" s="339">
        <f t="shared" si="0"/>
        <v>23</v>
      </c>
    </row>
    <row r="31" spans="1:5" x14ac:dyDescent="0.25">
      <c r="A31" s="334">
        <f t="shared" si="1"/>
        <v>24</v>
      </c>
      <c r="B31" s="108"/>
      <c r="C31" s="44"/>
      <c r="D31" s="23"/>
      <c r="E31" s="335">
        <f t="shared" si="0"/>
        <v>24</v>
      </c>
    </row>
    <row r="32" spans="1:5" ht="16.5" thickBot="1" x14ac:dyDescent="0.3">
      <c r="A32" s="334">
        <f t="shared" si="1"/>
        <v>25</v>
      </c>
      <c r="B32" s="132" t="s">
        <v>385</v>
      </c>
      <c r="C32" s="73">
        <f>SUM(C8:C30)</f>
        <v>-556352.71246000042</v>
      </c>
      <c r="D32" s="29" t="s">
        <v>386</v>
      </c>
      <c r="E32" s="335">
        <f t="shared" si="0"/>
        <v>25</v>
      </c>
    </row>
    <row r="33" spans="1:5" ht="16.5" thickTop="1" x14ac:dyDescent="0.25">
      <c r="A33" s="334">
        <f t="shared" si="1"/>
        <v>26</v>
      </c>
      <c r="B33" s="10"/>
      <c r="C33" s="19"/>
      <c r="E33" s="335">
        <f t="shared" si="0"/>
        <v>26</v>
      </c>
    </row>
    <row r="34" spans="1:5" ht="35.85" customHeight="1" thickBot="1" x14ac:dyDescent="0.3">
      <c r="A34" s="667">
        <f t="shared" si="1"/>
        <v>27</v>
      </c>
      <c r="B34" s="674" t="s">
        <v>397</v>
      </c>
      <c r="C34" s="192">
        <f>C32</f>
        <v>-556352.71246000042</v>
      </c>
      <c r="D34" s="29" t="s">
        <v>388</v>
      </c>
      <c r="E34" s="669">
        <f t="shared" si="0"/>
        <v>27</v>
      </c>
    </row>
    <row r="35" spans="1:5" ht="17.25" thickTop="1" thickBot="1" x14ac:dyDescent="0.3">
      <c r="A35" s="336">
        <f t="shared" si="1"/>
        <v>28</v>
      </c>
      <c r="B35" s="362"/>
      <c r="C35" s="782"/>
      <c r="D35" s="248"/>
      <c r="E35" s="339">
        <f t="shared" ref="E35" si="2">E34+1</f>
        <v>28</v>
      </c>
    </row>
    <row r="36" spans="1:5" x14ac:dyDescent="0.25">
      <c r="B36" s="333"/>
      <c r="C36" s="72"/>
      <c r="D36" s="72"/>
    </row>
    <row r="37" spans="1:5" ht="18.75" x14ac:dyDescent="0.25">
      <c r="A37" s="675"/>
      <c r="B37" s="107"/>
      <c r="C37" s="28"/>
      <c r="D37" s="110"/>
    </row>
    <row r="38" spans="1:5" ht="12.75" customHeight="1" x14ac:dyDescent="0.25">
      <c r="A38" s="675"/>
      <c r="B38" s="107"/>
      <c r="C38" s="110"/>
      <c r="D38" s="110"/>
    </row>
    <row r="39" spans="1:5" ht="18.75" x14ac:dyDescent="0.25">
      <c r="A39" s="675"/>
      <c r="B39" s="133"/>
    </row>
    <row r="40" spans="1:5" x14ac:dyDescent="0.25">
      <c r="B40" s="129"/>
      <c r="C40" s="129"/>
      <c r="D40" s="129"/>
    </row>
    <row r="41" spans="1:5" x14ac:dyDescent="0.25">
      <c r="B41" s="129"/>
      <c r="C41" s="129"/>
      <c r="D41" s="129"/>
    </row>
    <row r="42" spans="1:5" x14ac:dyDescent="0.25">
      <c r="B42" s="129"/>
      <c r="C42" s="129"/>
      <c r="D42" s="129"/>
    </row>
    <row r="43" spans="1:5" x14ac:dyDescent="0.25">
      <c r="C43" s="113"/>
      <c r="D43" s="113"/>
    </row>
  </sheetData>
  <mergeCells count="3">
    <mergeCell ref="A2:E2"/>
    <mergeCell ref="A3:E3"/>
    <mergeCell ref="A4:E4"/>
  </mergeCells>
  <printOptions horizontalCentered="1"/>
  <pageMargins left="0" right="0" top="0.5" bottom="0.5" header="0.25" footer="0.25"/>
  <pageSetup scale="76" orientation="landscape" r:id="rId1"/>
  <headerFooter alignWithMargins="0">
    <oddFooter>&amp;L&amp;"Times New Roman,Regular"&amp;12&amp;F&amp;C&amp;"Times New Roman,Regular"&amp;12Page 9.1&amp;R&amp;"Times New Roman,Regular"&amp;12&amp;A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T106"/>
  <sheetViews>
    <sheetView zoomScale="80" zoomScaleNormal="80" zoomScaleSheetLayoutView="70" workbookViewId="0">
      <pane xSplit="3" ySplit="3" topLeftCell="D4" activePane="bottomRight" state="frozen"/>
      <selection pane="topRight"/>
      <selection pane="bottomLeft"/>
      <selection pane="bottomRight" activeCell="D6" sqref="D6"/>
    </sheetView>
  </sheetViews>
  <sheetFormatPr defaultColWidth="9.42578125" defaultRowHeight="12.75" x14ac:dyDescent="0.2"/>
  <cols>
    <col min="1" max="1" width="5.5703125" style="242" customWidth="1"/>
    <col min="2" max="2" width="9.28515625" style="242" bestFit="1" customWidth="1"/>
    <col min="3" max="3" width="64.42578125" style="242" customWidth="1"/>
    <col min="4" max="14" width="13.5703125" style="373" customWidth="1"/>
    <col min="15" max="15" width="14.42578125" style="373" customWidth="1"/>
    <col min="16" max="16" width="15.5703125" style="373" customWidth="1"/>
    <col min="17" max="17" width="5.5703125" style="242" customWidth="1"/>
    <col min="18" max="18" width="9.7109375" style="242" bestFit="1" customWidth="1"/>
    <col min="19" max="19" width="11.28515625" style="242" bestFit="1" customWidth="1"/>
    <col min="20" max="16384" width="9.42578125" style="242"/>
  </cols>
  <sheetData>
    <row r="2" spans="1:20" ht="16.5" thickBot="1" x14ac:dyDescent="0.3">
      <c r="A2" s="55"/>
      <c r="B2" s="309"/>
      <c r="C2" s="78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"/>
    </row>
    <row r="3" spans="1:20" ht="38.25" customHeight="1" thickBot="1" x14ac:dyDescent="0.3">
      <c r="A3" s="849" t="s">
        <v>63</v>
      </c>
      <c r="B3" s="314" t="s">
        <v>400</v>
      </c>
      <c r="C3" s="536" t="s">
        <v>401</v>
      </c>
      <c r="D3" s="365">
        <f>'WP 1.1 Recorded Sales'!C5</f>
        <v>45931</v>
      </c>
      <c r="E3" s="536">
        <f>'WP 1.1 Recorded Sales'!D5</f>
        <v>45962</v>
      </c>
      <c r="F3" s="365">
        <f>'WP 1.1 Recorded Sales'!E5</f>
        <v>45992</v>
      </c>
      <c r="G3" s="536">
        <f>'WP 1.1 Recorded Sales'!F5</f>
        <v>46023</v>
      </c>
      <c r="H3" s="365">
        <f>'WP 1.1 Recorded Sales'!G5</f>
        <v>46054</v>
      </c>
      <c r="I3" s="536">
        <f>'WP 1.1 Recorded Sales'!H5</f>
        <v>46082</v>
      </c>
      <c r="J3" s="365">
        <f>'WP 1.1 Recorded Sales'!I5</f>
        <v>46113</v>
      </c>
      <c r="K3" s="536">
        <f>'WP 1.1 Recorded Sales'!J5</f>
        <v>46143</v>
      </c>
      <c r="L3" s="365">
        <f>'WP 1.1 Recorded Sales'!K5</f>
        <v>46174</v>
      </c>
      <c r="M3" s="536">
        <f>'WP 1.1 Recorded Sales'!L5</f>
        <v>46204</v>
      </c>
      <c r="N3" s="365">
        <f>'WP 1.1 Recorded Sales'!M5</f>
        <v>46235</v>
      </c>
      <c r="O3" s="536">
        <f>'WP 1.1 Recorded Sales'!N5</f>
        <v>46266</v>
      </c>
      <c r="P3" s="365" t="s">
        <v>17</v>
      </c>
      <c r="Q3" s="314" t="s">
        <v>63</v>
      </c>
    </row>
    <row r="4" spans="1:20" ht="16.5" thickBot="1" x14ac:dyDescent="0.3">
      <c r="A4" s="918"/>
      <c r="B4" s="906"/>
      <c r="C4" s="931" t="s">
        <v>80</v>
      </c>
      <c r="D4" s="919"/>
      <c r="E4" s="907"/>
      <c r="F4" s="921"/>
      <c r="G4" s="908"/>
      <c r="H4" s="919"/>
      <c r="I4" s="908"/>
      <c r="J4" s="919"/>
      <c r="K4" s="908"/>
      <c r="L4" s="919"/>
      <c r="M4" s="908"/>
      <c r="N4" s="919"/>
      <c r="O4" s="907"/>
      <c r="P4" s="921"/>
      <c r="Q4" s="906"/>
    </row>
    <row r="5" spans="1:20" ht="15.75" x14ac:dyDescent="0.25">
      <c r="A5" s="187">
        <v>1</v>
      </c>
      <c r="B5" s="965">
        <v>1592</v>
      </c>
      <c r="C5" s="125" t="s">
        <v>402</v>
      </c>
      <c r="D5" s="340">
        <f>0-'WP 12 PTO'!D5</f>
        <v>0</v>
      </c>
      <c r="E5" s="465">
        <f>0-'WP 12 PTO'!E5</f>
        <v>0</v>
      </c>
      <c r="F5" s="327">
        <f>0-'WP 12 PTO'!F5</f>
        <v>0</v>
      </c>
      <c r="G5" s="900">
        <f>0-'WP 12 PTO'!G5</f>
        <v>0</v>
      </c>
      <c r="H5" s="340">
        <f>0-'WP 12 PTO'!H5</f>
        <v>0</v>
      </c>
      <c r="I5" s="900">
        <f>0-'WP 12 PTO'!I5</f>
        <v>0</v>
      </c>
      <c r="J5" s="340">
        <f>0-'WP 12 PTO'!J5</f>
        <v>0</v>
      </c>
      <c r="K5" s="900">
        <f>0-'WP 12 PTO'!K5</f>
        <v>0</v>
      </c>
      <c r="L5" s="340">
        <f>0-'WP 12 PTO'!L5</f>
        <v>0</v>
      </c>
      <c r="M5" s="900">
        <f>0-'WP 12 PTO'!M5</f>
        <v>0</v>
      </c>
      <c r="N5" s="340">
        <f>0-'WP 12 PTO'!N5</f>
        <v>0</v>
      </c>
      <c r="O5" s="465">
        <f>0-'WP 12 PTO'!O5</f>
        <v>0</v>
      </c>
      <c r="P5" s="327">
        <f t="shared" ref="P5:P28" si="0">SUM(D5:O5)</f>
        <v>0</v>
      </c>
      <c r="Q5" s="120">
        <f>A5</f>
        <v>1</v>
      </c>
      <c r="R5" s="22"/>
    </row>
    <row r="6" spans="1:20" ht="15.75" x14ac:dyDescent="0.25">
      <c r="A6" s="187">
        <f>A5+1</f>
        <v>2</v>
      </c>
      <c r="B6" s="120">
        <v>6011</v>
      </c>
      <c r="C6" s="125" t="s">
        <v>403</v>
      </c>
      <c r="D6" s="93">
        <v>31948.57</v>
      </c>
      <c r="E6" s="148">
        <v>-49265.530000000006</v>
      </c>
      <c r="F6" s="93">
        <v>34247.869999999995</v>
      </c>
      <c r="G6" s="148">
        <v>50976</v>
      </c>
      <c r="H6" s="93">
        <v>52619.58</v>
      </c>
      <c r="I6" s="148">
        <v>-10085.749999999998</v>
      </c>
      <c r="J6" s="93">
        <v>38370.15</v>
      </c>
      <c r="K6" s="148">
        <v>-140334.72999999998</v>
      </c>
      <c r="L6" s="93">
        <v>9911.75</v>
      </c>
      <c r="M6" s="148">
        <v>83996.3</v>
      </c>
      <c r="N6" s="93">
        <v>106836.50000000001</v>
      </c>
      <c r="O6" s="148">
        <v>58479.139999999992</v>
      </c>
      <c r="P6" s="93">
        <f t="shared" si="0"/>
        <v>267699.85000000003</v>
      </c>
      <c r="Q6" s="120">
        <f t="shared" ref="Q6:Q67" si="1">A6</f>
        <v>2</v>
      </c>
      <c r="R6" s="22"/>
    </row>
    <row r="7" spans="1:20" ht="15.75" x14ac:dyDescent="0.25">
      <c r="A7" s="187">
        <f>A6+1</f>
        <v>3</v>
      </c>
      <c r="B7" s="120">
        <v>6090</v>
      </c>
      <c r="C7" s="125" t="s">
        <v>404</v>
      </c>
      <c r="D7" s="93">
        <v>-0.06</v>
      </c>
      <c r="E7" s="148">
        <v>0</v>
      </c>
      <c r="F7" s="93">
        <v>0</v>
      </c>
      <c r="G7" s="148">
        <v>0</v>
      </c>
      <c r="H7" s="93">
        <v>0</v>
      </c>
      <c r="I7" s="148">
        <v>0</v>
      </c>
      <c r="J7" s="93">
        <v>-1.34</v>
      </c>
      <c r="K7" s="148">
        <v>-0.04</v>
      </c>
      <c r="L7" s="93">
        <v>-0.05</v>
      </c>
      <c r="M7" s="148">
        <v>-0.21</v>
      </c>
      <c r="N7" s="93">
        <v>0</v>
      </c>
      <c r="O7" s="148">
        <v>0.08</v>
      </c>
      <c r="P7" s="93">
        <f t="shared" si="0"/>
        <v>-1.62</v>
      </c>
      <c r="Q7" s="120">
        <f t="shared" si="1"/>
        <v>3</v>
      </c>
      <c r="R7" s="22"/>
    </row>
    <row r="8" spans="1:20" ht="15.75" x14ac:dyDescent="0.25">
      <c r="A8" s="187">
        <f t="shared" ref="A8:A67" si="2">A7+1</f>
        <v>4</v>
      </c>
      <c r="B8" s="120">
        <v>6194</v>
      </c>
      <c r="C8" s="125" t="s">
        <v>405</v>
      </c>
      <c r="D8" s="93">
        <v>-9.879999999999999</v>
      </c>
      <c r="E8" s="148">
        <v>-14.93</v>
      </c>
      <c r="F8" s="93">
        <v>-2.83</v>
      </c>
      <c r="G8" s="148">
        <v>5.9999999999999991E-2</v>
      </c>
      <c r="H8" s="93">
        <v>-0.16999999999999998</v>
      </c>
      <c r="I8" s="148">
        <v>-11.969999999999999</v>
      </c>
      <c r="J8" s="93">
        <v>-5.12</v>
      </c>
      <c r="K8" s="148">
        <v>-6.58</v>
      </c>
      <c r="L8" s="93">
        <v>-0.66000000000000014</v>
      </c>
      <c r="M8" s="148">
        <v>-0.79</v>
      </c>
      <c r="N8" s="93">
        <v>-18.96</v>
      </c>
      <c r="O8" s="148">
        <v>-5.76</v>
      </c>
      <c r="P8" s="93">
        <f t="shared" si="0"/>
        <v>-77.59</v>
      </c>
      <c r="Q8" s="120">
        <f t="shared" si="1"/>
        <v>4</v>
      </c>
      <c r="R8" s="22"/>
    </row>
    <row r="9" spans="1:20" ht="16.5" thickBot="1" x14ac:dyDescent="0.3">
      <c r="A9" s="636">
        <f t="shared" si="2"/>
        <v>5</v>
      </c>
      <c r="B9" s="121">
        <v>6294</v>
      </c>
      <c r="C9" s="126" t="s">
        <v>406</v>
      </c>
      <c r="D9" s="911">
        <v>-36.89</v>
      </c>
      <c r="E9" s="715">
        <v>-52.54</v>
      </c>
      <c r="F9" s="911">
        <v>-10.17</v>
      </c>
      <c r="G9" s="715">
        <v>-0.02</v>
      </c>
      <c r="H9" s="911">
        <v>-1.7000000000000002</v>
      </c>
      <c r="I9" s="715">
        <v>-48.18</v>
      </c>
      <c r="J9" s="911">
        <v>-18.010000000000002</v>
      </c>
      <c r="K9" s="715">
        <v>-20.420000000000002</v>
      </c>
      <c r="L9" s="911">
        <v>-5.36</v>
      </c>
      <c r="M9" s="715">
        <v>-2.78</v>
      </c>
      <c r="N9" s="911">
        <v>-69.91</v>
      </c>
      <c r="O9" s="715">
        <v>-21.75</v>
      </c>
      <c r="P9" s="911">
        <f t="shared" si="0"/>
        <v>-287.73</v>
      </c>
      <c r="Q9" s="121">
        <f t="shared" si="1"/>
        <v>5</v>
      </c>
      <c r="R9" s="22"/>
    </row>
    <row r="10" spans="1:20" ht="15.75" x14ac:dyDescent="0.25">
      <c r="A10" s="187">
        <f>A9+1</f>
        <v>6</v>
      </c>
      <c r="B10" s="120">
        <v>6458</v>
      </c>
      <c r="C10" s="149" t="s">
        <v>407</v>
      </c>
      <c r="D10" s="93">
        <v>-3005.72</v>
      </c>
      <c r="E10" s="148">
        <v>-1978.3300000000002</v>
      </c>
      <c r="F10" s="93">
        <v>-1690.87</v>
      </c>
      <c r="G10" s="148">
        <v>-1099.24</v>
      </c>
      <c r="H10" s="93">
        <v>-1668.6200000000001</v>
      </c>
      <c r="I10" s="148">
        <v>-2043.96</v>
      </c>
      <c r="J10" s="93">
        <v>-2561.6999999999998</v>
      </c>
      <c r="K10" s="148">
        <v>-1610.11</v>
      </c>
      <c r="L10" s="93">
        <v>-15.849999999999998</v>
      </c>
      <c r="M10" s="148">
        <v>62.19</v>
      </c>
      <c r="N10" s="93">
        <v>1646.72</v>
      </c>
      <c r="O10" s="148">
        <v>-4.66</v>
      </c>
      <c r="P10" s="93">
        <f t="shared" si="0"/>
        <v>-13970.150000000003</v>
      </c>
      <c r="Q10" s="120">
        <f t="shared" si="1"/>
        <v>6</v>
      </c>
      <c r="R10" s="22"/>
    </row>
    <row r="11" spans="1:20" ht="15.75" x14ac:dyDescent="0.25">
      <c r="A11" s="187">
        <f t="shared" si="2"/>
        <v>7</v>
      </c>
      <c r="B11" s="120">
        <v>6478</v>
      </c>
      <c r="C11" s="149" t="s">
        <v>408</v>
      </c>
      <c r="D11" s="93">
        <v>-214.26999999999998</v>
      </c>
      <c r="E11" s="148">
        <v>-33.33</v>
      </c>
      <c r="F11" s="93">
        <v>264.31</v>
      </c>
      <c r="G11" s="148">
        <v>46.699999999999996</v>
      </c>
      <c r="H11" s="93">
        <v>-50.980000000000004</v>
      </c>
      <c r="I11" s="148">
        <v>13.73</v>
      </c>
      <c r="J11" s="93">
        <v>37.369999999999997</v>
      </c>
      <c r="K11" s="148">
        <v>-282.71000000000004</v>
      </c>
      <c r="L11" s="93">
        <v>-858.20999999999992</v>
      </c>
      <c r="M11" s="148">
        <v>-1585.56</v>
      </c>
      <c r="N11" s="93">
        <v>1052</v>
      </c>
      <c r="O11" s="148">
        <v>3728.65</v>
      </c>
      <c r="P11" s="93">
        <f t="shared" si="0"/>
        <v>2117.7000000000003</v>
      </c>
      <c r="Q11" s="120">
        <f t="shared" si="1"/>
        <v>7</v>
      </c>
      <c r="R11" s="22"/>
    </row>
    <row r="12" spans="1:20" ht="15.75" x14ac:dyDescent="0.25">
      <c r="A12" s="120">
        <f t="shared" si="2"/>
        <v>8</v>
      </c>
      <c r="B12" s="349">
        <v>6479</v>
      </c>
      <c r="C12" s="149" t="s">
        <v>461</v>
      </c>
      <c r="D12" s="93">
        <v>-59.5</v>
      </c>
      <c r="E12" s="148">
        <v>-732.31000000000006</v>
      </c>
      <c r="F12" s="93">
        <v>-55.739999999999995</v>
      </c>
      <c r="G12" s="148">
        <v>-188.53</v>
      </c>
      <c r="H12" s="93">
        <v>-33.51</v>
      </c>
      <c r="I12" s="148">
        <v>-209.16000000000003</v>
      </c>
      <c r="J12" s="93">
        <v>-36.06</v>
      </c>
      <c r="K12" s="148">
        <v>-0.14000000000000001</v>
      </c>
      <c r="L12" s="93">
        <v>-90.970000000000013</v>
      </c>
      <c r="M12" s="148">
        <v>0.46</v>
      </c>
      <c r="N12" s="93">
        <v>0</v>
      </c>
      <c r="O12" s="148">
        <v>5.69</v>
      </c>
      <c r="P12" s="93">
        <f t="shared" si="0"/>
        <v>-1399.7700000000002</v>
      </c>
      <c r="Q12" s="120">
        <f t="shared" si="1"/>
        <v>8</v>
      </c>
      <c r="R12" s="22"/>
    </row>
    <row r="13" spans="1:20" ht="15.75" x14ac:dyDescent="0.25">
      <c r="A13" s="120">
        <f t="shared" si="2"/>
        <v>9</v>
      </c>
      <c r="B13" s="349">
        <v>6620</v>
      </c>
      <c r="C13" s="149" t="s">
        <v>470</v>
      </c>
      <c r="D13" s="93">
        <v>0</v>
      </c>
      <c r="E13" s="148">
        <v>0</v>
      </c>
      <c r="F13" s="93">
        <v>0</v>
      </c>
      <c r="G13" s="148">
        <v>0</v>
      </c>
      <c r="H13" s="93">
        <v>0</v>
      </c>
      <c r="I13" s="148">
        <v>0</v>
      </c>
      <c r="J13" s="93">
        <v>0</v>
      </c>
      <c r="K13" s="148">
        <v>-202.1</v>
      </c>
      <c r="L13" s="93">
        <v>0</v>
      </c>
      <c r="M13" s="148">
        <v>0</v>
      </c>
      <c r="N13" s="93">
        <v>202.1</v>
      </c>
      <c r="O13" s="148">
        <v>0</v>
      </c>
      <c r="P13" s="93">
        <f t="shared" si="0"/>
        <v>0</v>
      </c>
      <c r="Q13" s="120">
        <f t="shared" si="1"/>
        <v>9</v>
      </c>
      <c r="R13" s="22"/>
      <c r="S13"/>
      <c r="T13"/>
    </row>
    <row r="14" spans="1:20" ht="16.5" thickBot="1" x14ac:dyDescent="0.3">
      <c r="A14" s="121">
        <f t="shared" si="2"/>
        <v>10</v>
      </c>
      <c r="B14" s="463">
        <v>6706</v>
      </c>
      <c r="C14" s="126" t="s">
        <v>409</v>
      </c>
      <c r="D14" s="911">
        <v>-23606.41</v>
      </c>
      <c r="E14" s="715">
        <v>-14149.75</v>
      </c>
      <c r="F14" s="911">
        <v>-2023.88</v>
      </c>
      <c r="G14" s="715">
        <v>-9285.5300000000007</v>
      </c>
      <c r="H14" s="911">
        <v>-20049.14</v>
      </c>
      <c r="I14" s="715">
        <v>-10236.92</v>
      </c>
      <c r="J14" s="911">
        <v>-36054</v>
      </c>
      <c r="K14" s="715">
        <v>-13695.460000000001</v>
      </c>
      <c r="L14" s="911">
        <v>-382.87</v>
      </c>
      <c r="M14" s="715">
        <v>227.56</v>
      </c>
      <c r="N14" s="911">
        <v>13371.33</v>
      </c>
      <c r="O14" s="715">
        <v>100.09</v>
      </c>
      <c r="P14" s="911">
        <f t="shared" si="0"/>
        <v>-115784.98</v>
      </c>
      <c r="Q14" s="121">
        <f t="shared" si="1"/>
        <v>10</v>
      </c>
      <c r="R14" s="22"/>
      <c r="S14"/>
    </row>
    <row r="15" spans="1:20" ht="15.75" x14ac:dyDescent="0.25">
      <c r="A15" s="120">
        <f t="shared" si="2"/>
        <v>11</v>
      </c>
      <c r="B15" s="961">
        <v>6788</v>
      </c>
      <c r="C15" s="125" t="s">
        <v>410</v>
      </c>
      <c r="D15" s="93">
        <v>-969343.40999999992</v>
      </c>
      <c r="E15" s="148">
        <v>-57331.88</v>
      </c>
      <c r="F15" s="93">
        <v>-21937.66</v>
      </c>
      <c r="G15" s="148">
        <v>20271.260000000002</v>
      </c>
      <c r="H15" s="93">
        <v>62170.65</v>
      </c>
      <c r="I15" s="148">
        <v>-12144.510000000002</v>
      </c>
      <c r="J15" s="93">
        <v>-92413.84</v>
      </c>
      <c r="K15" s="148">
        <v>117.35</v>
      </c>
      <c r="L15" s="93">
        <v>-15135.77</v>
      </c>
      <c r="M15" s="148">
        <v>-517.31999999999994</v>
      </c>
      <c r="N15" s="93">
        <v>-3159.19</v>
      </c>
      <c r="O15" s="148">
        <v>782.82</v>
      </c>
      <c r="P15" s="93">
        <f t="shared" si="0"/>
        <v>-1088641.4999999998</v>
      </c>
      <c r="Q15" s="120">
        <f t="shared" si="1"/>
        <v>11</v>
      </c>
      <c r="R15" s="22"/>
    </row>
    <row r="16" spans="1:20" ht="15.75" x14ac:dyDescent="0.25">
      <c r="A16" s="120">
        <f t="shared" si="2"/>
        <v>12</v>
      </c>
      <c r="B16" s="349">
        <v>6791</v>
      </c>
      <c r="C16" s="149" t="s">
        <v>411</v>
      </c>
      <c r="D16" s="93">
        <v>-222.55</v>
      </c>
      <c r="E16" s="148">
        <v>-433.71</v>
      </c>
      <c r="F16" s="93">
        <v>-118.87</v>
      </c>
      <c r="G16" s="148">
        <v>-508.97</v>
      </c>
      <c r="H16" s="93">
        <v>-50.92</v>
      </c>
      <c r="I16" s="148">
        <v>-60.82</v>
      </c>
      <c r="J16" s="93">
        <v>-89.88</v>
      </c>
      <c r="K16" s="148">
        <v>-64.81</v>
      </c>
      <c r="L16" s="93">
        <v>-0.38</v>
      </c>
      <c r="M16" s="148">
        <v>0.57999999999999996</v>
      </c>
      <c r="N16" s="93">
        <v>60.239999999999995</v>
      </c>
      <c r="O16" s="148">
        <v>-1.67</v>
      </c>
      <c r="P16" s="93">
        <f t="shared" si="0"/>
        <v>-1491.76</v>
      </c>
      <c r="Q16" s="120">
        <f t="shared" si="1"/>
        <v>12</v>
      </c>
      <c r="R16" s="22"/>
    </row>
    <row r="17" spans="1:18" s="528" customFormat="1" ht="15.75" x14ac:dyDescent="0.25">
      <c r="A17" s="120">
        <f t="shared" si="2"/>
        <v>13</v>
      </c>
      <c r="B17" s="959">
        <v>6947</v>
      </c>
      <c r="C17" s="932" t="s">
        <v>412</v>
      </c>
      <c r="D17" s="920">
        <v>-169880.6</v>
      </c>
      <c r="E17" s="956">
        <v>-100630.52</v>
      </c>
      <c r="F17" s="920">
        <v>-117962.57</v>
      </c>
      <c r="G17" s="956">
        <v>-86228</v>
      </c>
      <c r="H17" s="920">
        <v>-90772.29</v>
      </c>
      <c r="I17" s="956">
        <v>-95678.13</v>
      </c>
      <c r="J17" s="920">
        <v>-75071.92</v>
      </c>
      <c r="K17" s="956">
        <v>-59051.07</v>
      </c>
      <c r="L17" s="920">
        <v>-247244.44</v>
      </c>
      <c r="M17" s="957">
        <v>942.6</v>
      </c>
      <c r="N17" s="920">
        <v>22438.280000000002</v>
      </c>
      <c r="O17" s="956">
        <v>10.92</v>
      </c>
      <c r="P17" s="920">
        <f t="shared" si="0"/>
        <v>-1019127.74</v>
      </c>
      <c r="Q17" s="120">
        <f t="shared" si="1"/>
        <v>13</v>
      </c>
      <c r="R17" s="193"/>
    </row>
    <row r="18" spans="1:18" ht="31.5" x14ac:dyDescent="0.25">
      <c r="A18" s="120">
        <f t="shared" si="2"/>
        <v>14</v>
      </c>
      <c r="B18" s="959">
        <v>6977</v>
      </c>
      <c r="C18" s="933" t="s">
        <v>413</v>
      </c>
      <c r="D18" s="93">
        <v>-2917.8199999999997</v>
      </c>
      <c r="E18" s="148">
        <v>-1109.73</v>
      </c>
      <c r="F18" s="93">
        <v>-1869.3600000000001</v>
      </c>
      <c r="G18" s="148">
        <v>-3158.35</v>
      </c>
      <c r="H18" s="93">
        <v>-4014.42</v>
      </c>
      <c r="I18" s="148">
        <v>-3158.48</v>
      </c>
      <c r="J18" s="93">
        <v>-3574.52</v>
      </c>
      <c r="K18" s="148">
        <v>-1044.7900000000002</v>
      </c>
      <c r="L18" s="93">
        <v>-30.41</v>
      </c>
      <c r="M18" s="148">
        <v>41.140000000000008</v>
      </c>
      <c r="N18" s="93">
        <v>1065.99</v>
      </c>
      <c r="O18" s="148">
        <v>0.66999999999999993</v>
      </c>
      <c r="P18" s="93">
        <f t="shared" si="0"/>
        <v>-19770.080000000002</v>
      </c>
      <c r="Q18" s="120">
        <f t="shared" si="1"/>
        <v>14</v>
      </c>
      <c r="R18" s="22"/>
    </row>
    <row r="19" spans="1:18" ht="16.5" thickBot="1" x14ac:dyDescent="0.3">
      <c r="A19" s="121">
        <f t="shared" si="2"/>
        <v>15</v>
      </c>
      <c r="B19" s="463">
        <v>7070</v>
      </c>
      <c r="C19" s="962" t="s">
        <v>414</v>
      </c>
      <c r="D19" s="911">
        <v>-4823.47</v>
      </c>
      <c r="E19" s="715">
        <v>0</v>
      </c>
      <c r="F19" s="911">
        <v>0</v>
      </c>
      <c r="G19" s="715">
        <v>-44.03</v>
      </c>
      <c r="H19" s="911">
        <v>0</v>
      </c>
      <c r="I19" s="715">
        <v>0</v>
      </c>
      <c r="J19" s="911">
        <v>-15.93</v>
      </c>
      <c r="K19" s="715">
        <v>1291.79</v>
      </c>
      <c r="L19" s="911">
        <v>0</v>
      </c>
      <c r="M19" s="715">
        <v>0</v>
      </c>
      <c r="N19" s="911">
        <v>-1012.24</v>
      </c>
      <c r="O19" s="715">
        <v>-826.41</v>
      </c>
      <c r="P19" s="911">
        <f t="shared" si="0"/>
        <v>-5430.29</v>
      </c>
      <c r="Q19" s="121">
        <f t="shared" si="1"/>
        <v>15</v>
      </c>
      <c r="R19" s="22"/>
    </row>
    <row r="20" spans="1:18" ht="15.75" x14ac:dyDescent="0.25">
      <c r="A20" s="120">
        <f t="shared" si="2"/>
        <v>16</v>
      </c>
      <c r="B20" s="120">
        <v>7078</v>
      </c>
      <c r="C20" s="125" t="s">
        <v>415</v>
      </c>
      <c r="D20" s="93">
        <v>-4.3499999999999996</v>
      </c>
      <c r="E20" s="148">
        <v>2.78</v>
      </c>
      <c r="F20" s="93">
        <v>0.17</v>
      </c>
      <c r="G20" s="148">
        <v>0.5</v>
      </c>
      <c r="H20" s="93">
        <v>-0.03</v>
      </c>
      <c r="I20" s="148">
        <v>-2.27</v>
      </c>
      <c r="J20" s="93">
        <v>-54.91</v>
      </c>
      <c r="K20" s="148">
        <v>17.97</v>
      </c>
      <c r="L20" s="93">
        <v>-6.25</v>
      </c>
      <c r="M20" s="148">
        <v>0.71</v>
      </c>
      <c r="N20" s="93">
        <v>-15.14</v>
      </c>
      <c r="O20" s="148">
        <v>6.42</v>
      </c>
      <c r="P20" s="93">
        <f t="shared" si="0"/>
        <v>-54.4</v>
      </c>
      <c r="Q20" s="120">
        <f t="shared" si="1"/>
        <v>16</v>
      </c>
      <c r="R20" s="22"/>
    </row>
    <row r="21" spans="1:18" ht="15.75" x14ac:dyDescent="0.25">
      <c r="A21" s="120">
        <f t="shared" si="2"/>
        <v>17</v>
      </c>
      <c r="B21" s="349">
        <v>7989</v>
      </c>
      <c r="C21" s="125" t="s">
        <v>416</v>
      </c>
      <c r="D21" s="93">
        <f>-431332.87-'WP 12 PTO'!D7</f>
        <v>-3838.0800000000163</v>
      </c>
      <c r="E21" s="148">
        <f>-901333.05-'WP 12 PTO'!E7</f>
        <v>-844.55000000004657</v>
      </c>
      <c r="F21" s="93">
        <f>-536752.28-'WP 12 PTO'!F7</f>
        <v>-290.1600000000326</v>
      </c>
      <c r="G21" s="148">
        <f>-779878.15-'WP 12 PTO'!G7</f>
        <v>-163.36999999999534</v>
      </c>
      <c r="H21" s="93">
        <f>-577861.28-'WP 12 PTO'!H7</f>
        <v>-174.21000000007916</v>
      </c>
      <c r="I21" s="148">
        <f>-684504.89-'WP 12 PTO'!I7</f>
        <v>-338.81000000005588</v>
      </c>
      <c r="J21" s="93">
        <f>-713992.84-'WP 12 PTO'!J7</f>
        <v>-817.07999999995809</v>
      </c>
      <c r="K21" s="148">
        <f>-444817.14-'WP 12 PTO'!K7</f>
        <v>-358</v>
      </c>
      <c r="L21" s="93">
        <f>-421572.84-'WP 12 PTO'!L7</f>
        <v>-1510.070000000007</v>
      </c>
      <c r="M21" s="148">
        <f>-526131.25-'WP 12 PTO'!M7</f>
        <v>-1260.6899999999441</v>
      </c>
      <c r="N21" s="93">
        <f>-368534.61-'WP 12 PTO'!N7</f>
        <v>-133.36999999999534</v>
      </c>
      <c r="O21" s="148">
        <f>-393863.42-'WP 12 PTO'!O7</f>
        <v>-24002.969999999972</v>
      </c>
      <c r="P21" s="93">
        <f t="shared" si="0"/>
        <v>-33731.360000000102</v>
      </c>
      <c r="Q21" s="120">
        <f t="shared" si="1"/>
        <v>17</v>
      </c>
      <c r="R21" s="22"/>
    </row>
    <row r="22" spans="1:18" ht="15.75" x14ac:dyDescent="0.25">
      <c r="A22" s="120">
        <f t="shared" si="2"/>
        <v>18</v>
      </c>
      <c r="B22" s="349">
        <v>8011</v>
      </c>
      <c r="C22" s="125" t="s">
        <v>471</v>
      </c>
      <c r="D22" s="93">
        <v>0</v>
      </c>
      <c r="E22" s="148">
        <v>0</v>
      </c>
      <c r="F22" s="93">
        <v>0</v>
      </c>
      <c r="G22" s="148">
        <v>0</v>
      </c>
      <c r="H22" s="93">
        <v>0</v>
      </c>
      <c r="I22" s="148">
        <v>0</v>
      </c>
      <c r="J22" s="93">
        <v>0</v>
      </c>
      <c r="K22" s="148">
        <v>-368.71</v>
      </c>
      <c r="L22" s="93">
        <v>-1718.72</v>
      </c>
      <c r="M22" s="148">
        <v>-993.23</v>
      </c>
      <c r="N22" s="93">
        <v>-1505.0100000000002</v>
      </c>
      <c r="O22" s="148">
        <v>-3024.21</v>
      </c>
      <c r="P22" s="93">
        <f t="shared" si="0"/>
        <v>-7609.88</v>
      </c>
      <c r="Q22" s="120">
        <f t="shared" si="1"/>
        <v>18</v>
      </c>
      <c r="R22" s="22"/>
    </row>
    <row r="23" spans="1:18" ht="15.75" x14ac:dyDescent="0.25">
      <c r="A23" s="120">
        <f t="shared" si="2"/>
        <v>19</v>
      </c>
      <c r="B23" s="349">
        <v>8411</v>
      </c>
      <c r="C23" s="125" t="s">
        <v>472</v>
      </c>
      <c r="D23" s="93">
        <v>0</v>
      </c>
      <c r="E23" s="148">
        <v>0</v>
      </c>
      <c r="F23" s="93">
        <v>0</v>
      </c>
      <c r="G23" s="148">
        <v>0</v>
      </c>
      <c r="H23" s="93">
        <v>0</v>
      </c>
      <c r="I23" s="148">
        <v>0</v>
      </c>
      <c r="J23" s="93">
        <v>0</v>
      </c>
      <c r="K23" s="148">
        <v>0</v>
      </c>
      <c r="L23" s="93">
        <v>-87.21</v>
      </c>
      <c r="M23" s="148">
        <v>0</v>
      </c>
      <c r="N23" s="93">
        <v>0</v>
      </c>
      <c r="O23" s="148">
        <v>-2.65</v>
      </c>
      <c r="P23" s="93">
        <f t="shared" si="0"/>
        <v>-89.86</v>
      </c>
      <c r="Q23" s="120">
        <f t="shared" si="1"/>
        <v>19</v>
      </c>
      <c r="R23" s="22"/>
    </row>
    <row r="24" spans="1:18" ht="16.5" thickBot="1" x14ac:dyDescent="0.3">
      <c r="A24" s="121">
        <f t="shared" si="2"/>
        <v>20</v>
      </c>
      <c r="B24" s="463">
        <v>8470</v>
      </c>
      <c r="C24" s="126" t="s">
        <v>473</v>
      </c>
      <c r="D24" s="911">
        <v>0</v>
      </c>
      <c r="E24" s="715">
        <v>0</v>
      </c>
      <c r="F24" s="911">
        <v>0</v>
      </c>
      <c r="G24" s="715">
        <v>0</v>
      </c>
      <c r="H24" s="911">
        <v>0</v>
      </c>
      <c r="I24" s="715">
        <v>0</v>
      </c>
      <c r="J24" s="911">
        <v>0</v>
      </c>
      <c r="K24" s="715">
        <v>0</v>
      </c>
      <c r="L24" s="911">
        <v>-61.92</v>
      </c>
      <c r="M24" s="715">
        <v>0.01</v>
      </c>
      <c r="N24" s="911">
        <v>0</v>
      </c>
      <c r="O24" s="715">
        <v>-5.68</v>
      </c>
      <c r="P24" s="911">
        <f t="shared" si="0"/>
        <v>-67.59</v>
      </c>
      <c r="Q24" s="121">
        <f t="shared" si="1"/>
        <v>20</v>
      </c>
      <c r="R24" s="22"/>
    </row>
    <row r="25" spans="1:18" ht="15.75" x14ac:dyDescent="0.25">
      <c r="A25" s="120">
        <f t="shared" si="2"/>
        <v>21</v>
      </c>
      <c r="B25" s="349">
        <v>8526</v>
      </c>
      <c r="C25" s="125" t="s">
        <v>417</v>
      </c>
      <c r="D25" s="93">
        <f>0-'WP 12 PTO'!D11</f>
        <v>0</v>
      </c>
      <c r="E25" s="148">
        <f>0-'WP 12 PTO'!E11</f>
        <v>0</v>
      </c>
      <c r="F25" s="93">
        <f>0-'WP 12 PTO'!F11</f>
        <v>0</v>
      </c>
      <c r="G25" s="148">
        <f>0-'WP 12 PTO'!G11</f>
        <v>0</v>
      </c>
      <c r="H25" s="93">
        <f>0-'WP 12 PTO'!H11</f>
        <v>0</v>
      </c>
      <c r="I25" s="148">
        <f>0-'WP 12 PTO'!I11</f>
        <v>0</v>
      </c>
      <c r="J25" s="93">
        <f>0-'WP 12 PTO'!J11</f>
        <v>0</v>
      </c>
      <c r="K25" s="148">
        <f>0-'WP 12 PTO'!K11</f>
        <v>0</v>
      </c>
      <c r="L25" s="93">
        <f>0-'WP 12 PTO'!L11</f>
        <v>0</v>
      </c>
      <c r="M25" s="148">
        <f>-308.44-'WP 12 PTO'!M11</f>
        <v>-302.3</v>
      </c>
      <c r="N25" s="93">
        <f>0-'WP 12 PTO'!N11</f>
        <v>0</v>
      </c>
      <c r="O25" s="148">
        <f>-6124058.53-'WP 12 PTO'!O11</f>
        <v>-2.460000105202198E-3</v>
      </c>
      <c r="P25" s="93">
        <f t="shared" si="0"/>
        <v>-302.30246000010521</v>
      </c>
      <c r="Q25" s="120">
        <f t="shared" si="1"/>
        <v>21</v>
      </c>
      <c r="R25" s="22"/>
    </row>
    <row r="26" spans="1:18" ht="15.75" x14ac:dyDescent="0.25">
      <c r="A26" s="120">
        <f t="shared" si="2"/>
        <v>22</v>
      </c>
      <c r="B26" s="349">
        <v>8811</v>
      </c>
      <c r="C26" s="125" t="s">
        <v>474</v>
      </c>
      <c r="D26" s="93">
        <v>0</v>
      </c>
      <c r="E26" s="148">
        <v>0</v>
      </c>
      <c r="F26" s="93">
        <v>0</v>
      </c>
      <c r="G26" s="148">
        <v>0</v>
      </c>
      <c r="H26" s="93">
        <v>0</v>
      </c>
      <c r="I26" s="148">
        <v>0</v>
      </c>
      <c r="J26" s="93">
        <v>0</v>
      </c>
      <c r="K26" s="148">
        <v>-139.13999999999999</v>
      </c>
      <c r="L26" s="93">
        <v>858.48</v>
      </c>
      <c r="M26" s="148">
        <v>-653.32999999999993</v>
      </c>
      <c r="N26" s="93">
        <v>-1483.96</v>
      </c>
      <c r="O26" s="148">
        <v>-2412.81</v>
      </c>
      <c r="P26" s="93">
        <f t="shared" si="0"/>
        <v>-3830.7599999999998</v>
      </c>
      <c r="Q26" s="120">
        <f t="shared" si="1"/>
        <v>22</v>
      </c>
      <c r="R26" s="22"/>
    </row>
    <row r="27" spans="1:18" ht="15.75" x14ac:dyDescent="0.25">
      <c r="A27" s="120">
        <f t="shared" si="2"/>
        <v>23</v>
      </c>
      <c r="B27" s="349">
        <v>8989</v>
      </c>
      <c r="C27" s="125" t="s">
        <v>449</v>
      </c>
      <c r="D27" s="93">
        <f>0-'WP 12 PTO'!D13</f>
        <v>0</v>
      </c>
      <c r="E27" s="148">
        <f>0-'WP 12 PTO'!E13</f>
        <v>0</v>
      </c>
      <c r="F27" s="93">
        <f>0-'WP 12 PTO'!F13</f>
        <v>0</v>
      </c>
      <c r="G27" s="148">
        <f>0-'WP 12 PTO'!G13</f>
        <v>0</v>
      </c>
      <c r="H27" s="93">
        <f>0-'WP 12 PTO'!H13</f>
        <v>0</v>
      </c>
      <c r="I27" s="148">
        <f>0-'WP 12 PTO'!I13</f>
        <v>0</v>
      </c>
      <c r="J27" s="93">
        <f>0-'WP 12 PTO'!J13</f>
        <v>0</v>
      </c>
      <c r="K27" s="148">
        <f>0-'WP 12 PTO'!K13</f>
        <v>0</v>
      </c>
      <c r="L27" s="93">
        <f>0-'WP 12 PTO'!L13</f>
        <v>0</v>
      </c>
      <c r="M27" s="148">
        <f>-15.79-'WP 12 PTO'!M13</f>
        <v>-15.79</v>
      </c>
      <c r="N27" s="93">
        <f>0-'WP 12 PTO'!N13</f>
        <v>0</v>
      </c>
      <c r="O27" s="148">
        <f>-0.67-'WP 12 PTO'!O13</f>
        <v>-0.67</v>
      </c>
      <c r="P27" s="93">
        <f t="shared" si="0"/>
        <v>-16.46</v>
      </c>
      <c r="Q27" s="120">
        <f t="shared" si="1"/>
        <v>23</v>
      </c>
      <c r="R27" s="22"/>
    </row>
    <row r="28" spans="1:18" ht="15.75" x14ac:dyDescent="0.25">
      <c r="A28" s="120">
        <f t="shared" si="2"/>
        <v>24</v>
      </c>
      <c r="B28" s="349">
        <v>8999</v>
      </c>
      <c r="C28" s="125" t="s">
        <v>448</v>
      </c>
      <c r="D28" s="93">
        <f>0-'WP 12 PTO'!D15</f>
        <v>0</v>
      </c>
      <c r="E28" s="148">
        <f>0-'WP 12 PTO'!E15</f>
        <v>0</v>
      </c>
      <c r="F28" s="93">
        <f>0-'WP 12 PTO'!F15</f>
        <v>0</v>
      </c>
      <c r="G28" s="148">
        <f>0-'WP 12 PTO'!G15</f>
        <v>0</v>
      </c>
      <c r="H28" s="93">
        <f>0-'WP 12 PTO'!H15</f>
        <v>0</v>
      </c>
      <c r="I28" s="148">
        <f>0-'WP 12 PTO'!I15</f>
        <v>0</v>
      </c>
      <c r="J28" s="93">
        <f>0-'WP 12 PTO'!J15</f>
        <v>0</v>
      </c>
      <c r="K28" s="148">
        <f>0-'WP 12 PTO'!K15</f>
        <v>0</v>
      </c>
      <c r="L28" s="93">
        <f>0-'WP 12 PTO'!L15</f>
        <v>0</v>
      </c>
      <c r="M28" s="148">
        <f>0-'WP 12 PTO'!M15</f>
        <v>0</v>
      </c>
      <c r="N28" s="93">
        <f>0-'WP 12 PTO'!N15</f>
        <v>0</v>
      </c>
      <c r="O28" s="148">
        <f>0-'WP 12 PTO'!O15</f>
        <v>0</v>
      </c>
      <c r="P28" s="93">
        <f t="shared" si="0"/>
        <v>0</v>
      </c>
      <c r="Q28" s="120">
        <f t="shared" si="1"/>
        <v>24</v>
      </c>
      <c r="R28" s="22"/>
    </row>
    <row r="29" spans="1:18" ht="16.5" thickBot="1" x14ac:dyDescent="0.3">
      <c r="A29" s="120">
        <f t="shared" si="2"/>
        <v>25</v>
      </c>
      <c r="B29" s="349"/>
      <c r="C29" s="125"/>
      <c r="D29" s="911"/>
      <c r="E29" s="715"/>
      <c r="F29" s="911"/>
      <c r="G29" s="715"/>
      <c r="H29" s="911"/>
      <c r="I29" s="715"/>
      <c r="J29" s="911"/>
      <c r="K29" s="148"/>
      <c r="L29" s="93"/>
      <c r="M29" s="148"/>
      <c r="N29" s="93"/>
      <c r="O29" s="148"/>
      <c r="P29" s="911"/>
      <c r="Q29" s="120">
        <f t="shared" si="1"/>
        <v>25</v>
      </c>
      <c r="R29" s="22"/>
    </row>
    <row r="30" spans="1:18" ht="16.5" thickBot="1" x14ac:dyDescent="0.3">
      <c r="A30" s="937">
        <f t="shared" si="2"/>
        <v>26</v>
      </c>
      <c r="B30" s="960"/>
      <c r="C30" s="931" t="s">
        <v>418</v>
      </c>
      <c r="D30" s="921"/>
      <c r="E30" s="907"/>
      <c r="F30" s="921"/>
      <c r="G30" s="907"/>
      <c r="H30" s="921"/>
      <c r="I30" s="907"/>
      <c r="J30" s="921"/>
      <c r="K30" s="907"/>
      <c r="L30" s="930"/>
      <c r="M30" s="907"/>
      <c r="N30" s="921"/>
      <c r="O30" s="907"/>
      <c r="P30" s="936"/>
      <c r="Q30" s="937">
        <f t="shared" si="1"/>
        <v>26</v>
      </c>
    </row>
    <row r="31" spans="1:18" ht="15.75" x14ac:dyDescent="0.25">
      <c r="A31" s="120">
        <f t="shared" si="2"/>
        <v>27</v>
      </c>
      <c r="B31" s="949" t="s">
        <v>463</v>
      </c>
      <c r="C31" s="948" t="s">
        <v>464</v>
      </c>
      <c r="D31" s="197">
        <v>0</v>
      </c>
      <c r="E31" s="148">
        <v>0</v>
      </c>
      <c r="F31" s="197">
        <v>0</v>
      </c>
      <c r="G31" s="148">
        <v>0</v>
      </c>
      <c r="H31" s="197">
        <v>0</v>
      </c>
      <c r="I31" s="148">
        <v>0</v>
      </c>
      <c r="J31" s="197">
        <v>0</v>
      </c>
      <c r="K31" s="148">
        <v>0</v>
      </c>
      <c r="L31" s="197">
        <v>0</v>
      </c>
      <c r="M31" s="148">
        <v>0</v>
      </c>
      <c r="N31" s="197">
        <v>-4127.3900000000003</v>
      </c>
      <c r="O31" s="148">
        <v>0</v>
      </c>
      <c r="P31" s="140">
        <f>SUM(D31:O31)</f>
        <v>-4127.3900000000003</v>
      </c>
      <c r="Q31" s="120">
        <f t="shared" si="1"/>
        <v>27</v>
      </c>
    </row>
    <row r="32" spans="1:18" ht="15.75" x14ac:dyDescent="0.25">
      <c r="A32" s="120">
        <f t="shared" si="2"/>
        <v>28</v>
      </c>
      <c r="B32" s="949" t="s">
        <v>419</v>
      </c>
      <c r="C32" s="125" t="s">
        <v>420</v>
      </c>
      <c r="D32" s="93">
        <v>7471.9</v>
      </c>
      <c r="E32" s="148">
        <v>7308</v>
      </c>
      <c r="F32" s="93">
        <v>3022.33</v>
      </c>
      <c r="G32" s="148">
        <v>4601.04</v>
      </c>
      <c r="H32" s="93">
        <v>4670.58</v>
      </c>
      <c r="I32" s="148">
        <v>5678.29</v>
      </c>
      <c r="J32" s="93">
        <v>6534.4</v>
      </c>
      <c r="K32" s="148">
        <v>3501.78</v>
      </c>
      <c r="L32" s="93">
        <v>49.54</v>
      </c>
      <c r="M32" s="148">
        <v>3.37</v>
      </c>
      <c r="N32" s="93">
        <v>-3401.19</v>
      </c>
      <c r="O32" s="148">
        <v>0</v>
      </c>
      <c r="P32" s="93">
        <f t="shared" ref="P32:P58" si="3">SUM(D32:O32)</f>
        <v>39440.04</v>
      </c>
      <c r="Q32" s="120">
        <f t="shared" si="1"/>
        <v>28</v>
      </c>
      <c r="R32" s="22"/>
    </row>
    <row r="33" spans="1:18" ht="15.75" x14ac:dyDescent="0.25">
      <c r="A33" s="120">
        <f t="shared" si="2"/>
        <v>29</v>
      </c>
      <c r="B33" s="949">
        <v>1303</v>
      </c>
      <c r="C33" s="125" t="s">
        <v>475</v>
      </c>
      <c r="D33" s="93">
        <v>0</v>
      </c>
      <c r="E33" s="148">
        <v>15.54</v>
      </c>
      <c r="F33" s="93">
        <v>2362.3500000000004</v>
      </c>
      <c r="G33" s="148">
        <v>0</v>
      </c>
      <c r="H33" s="93">
        <v>22.88</v>
      </c>
      <c r="I33" s="148">
        <v>55.629999999999995</v>
      </c>
      <c r="J33" s="93">
        <v>0</v>
      </c>
      <c r="K33" s="148">
        <v>53.95</v>
      </c>
      <c r="L33" s="93">
        <v>0.22</v>
      </c>
      <c r="M33" s="148">
        <v>0</v>
      </c>
      <c r="N33" s="93">
        <v>-0.26</v>
      </c>
      <c r="O33" s="148">
        <v>0</v>
      </c>
      <c r="P33" s="93">
        <f t="shared" si="3"/>
        <v>2510.31</v>
      </c>
      <c r="Q33" s="120">
        <f t="shared" si="1"/>
        <v>29</v>
      </c>
      <c r="R33" s="22"/>
    </row>
    <row r="34" spans="1:18" ht="15.75" x14ac:dyDescent="0.25">
      <c r="A34" s="120">
        <f t="shared" si="2"/>
        <v>30</v>
      </c>
      <c r="B34" s="949">
        <v>4515</v>
      </c>
      <c r="C34" s="125" t="s">
        <v>421</v>
      </c>
      <c r="D34" s="93">
        <v>65.36</v>
      </c>
      <c r="E34" s="148">
        <v>52.03</v>
      </c>
      <c r="F34" s="93">
        <v>56.16</v>
      </c>
      <c r="G34" s="148">
        <v>37.24</v>
      </c>
      <c r="H34" s="93">
        <v>40.72</v>
      </c>
      <c r="I34" s="148">
        <v>65.69</v>
      </c>
      <c r="J34" s="93">
        <v>43.68</v>
      </c>
      <c r="K34" s="148">
        <v>65.52</v>
      </c>
      <c r="L34" s="93">
        <v>55.519999999999996</v>
      </c>
      <c r="M34" s="148">
        <v>42.6</v>
      </c>
      <c r="N34" s="93">
        <v>36.82</v>
      </c>
      <c r="O34" s="148">
        <v>52.8</v>
      </c>
      <c r="P34" s="93">
        <f t="shared" si="3"/>
        <v>614.14</v>
      </c>
      <c r="Q34" s="120">
        <f t="shared" si="1"/>
        <v>30</v>
      </c>
      <c r="R34" s="22"/>
    </row>
    <row r="35" spans="1:18" ht="16.5" thickBot="1" x14ac:dyDescent="0.3">
      <c r="A35" s="121">
        <f t="shared" si="2"/>
        <v>31</v>
      </c>
      <c r="B35" s="463">
        <v>4560</v>
      </c>
      <c r="C35" s="126" t="s">
        <v>422</v>
      </c>
      <c r="D35" s="911">
        <v>63243.049999999996</v>
      </c>
      <c r="E35" s="715">
        <v>48109.43</v>
      </c>
      <c r="F35" s="911">
        <v>33138.83</v>
      </c>
      <c r="G35" s="715">
        <v>34086.19</v>
      </c>
      <c r="H35" s="911">
        <v>28141.47</v>
      </c>
      <c r="I35" s="715">
        <v>55363.59</v>
      </c>
      <c r="J35" s="911">
        <v>31073.32</v>
      </c>
      <c r="K35" s="715">
        <v>9040.7699999999986</v>
      </c>
      <c r="L35" s="911">
        <v>4084.9700000000003</v>
      </c>
      <c r="M35" s="715">
        <v>1629.72</v>
      </c>
      <c r="N35" s="911">
        <v>-6365.3999999999987</v>
      </c>
      <c r="O35" s="715">
        <v>-366.43999999999994</v>
      </c>
      <c r="P35" s="911">
        <f t="shared" si="3"/>
        <v>301179.49999999994</v>
      </c>
      <c r="Q35" s="121">
        <f t="shared" si="1"/>
        <v>31</v>
      </c>
      <c r="R35" s="22"/>
    </row>
    <row r="36" spans="1:18" ht="15.75" x14ac:dyDescent="0.25">
      <c r="A36" s="120">
        <f t="shared" si="2"/>
        <v>32</v>
      </c>
      <c r="B36" s="120">
        <v>4561</v>
      </c>
      <c r="C36" s="125" t="s">
        <v>423</v>
      </c>
      <c r="D36" s="93">
        <v>30698.85</v>
      </c>
      <c r="E36" s="148">
        <v>24275.39</v>
      </c>
      <c r="F36" s="93">
        <v>16599.739999999998</v>
      </c>
      <c r="G36" s="148">
        <v>17130.02</v>
      </c>
      <c r="H36" s="93">
        <v>15826.27</v>
      </c>
      <c r="I36" s="148">
        <v>31635.159999999996</v>
      </c>
      <c r="J36" s="93">
        <v>17322.73</v>
      </c>
      <c r="K36" s="148">
        <v>-3340.46</v>
      </c>
      <c r="L36" s="93">
        <v>-31603.599999999999</v>
      </c>
      <c r="M36" s="148">
        <v>-17314.96</v>
      </c>
      <c r="N36" s="93">
        <v>-114.77000000000001</v>
      </c>
      <c r="O36" s="148">
        <v>0</v>
      </c>
      <c r="P36" s="93">
        <f t="shared" si="3"/>
        <v>101114.37000000001</v>
      </c>
      <c r="Q36" s="120">
        <f t="shared" si="1"/>
        <v>32</v>
      </c>
      <c r="R36" s="22"/>
    </row>
    <row r="37" spans="1:18" ht="15.75" x14ac:dyDescent="0.25">
      <c r="A37" s="120">
        <f t="shared" si="2"/>
        <v>33</v>
      </c>
      <c r="B37" s="349">
        <v>4563</v>
      </c>
      <c r="C37" s="125" t="s">
        <v>424</v>
      </c>
      <c r="D37" s="93">
        <v>59493.54</v>
      </c>
      <c r="E37" s="148">
        <v>36843.14</v>
      </c>
      <c r="F37" s="93">
        <v>45873.75</v>
      </c>
      <c r="G37" s="148">
        <v>36005.86</v>
      </c>
      <c r="H37" s="93">
        <v>36654.639999999999</v>
      </c>
      <c r="I37" s="148">
        <v>47096.41</v>
      </c>
      <c r="J37" s="93">
        <v>54284.84</v>
      </c>
      <c r="K37" s="148">
        <v>52102.21</v>
      </c>
      <c r="L37" s="93">
        <v>79895.94</v>
      </c>
      <c r="M37" s="148">
        <v>70338.880000000005</v>
      </c>
      <c r="N37" s="93">
        <v>100901.56</v>
      </c>
      <c r="O37" s="148">
        <v>109492.38999999998</v>
      </c>
      <c r="P37" s="93">
        <f t="shared" si="3"/>
        <v>728983.16</v>
      </c>
      <c r="Q37" s="120">
        <f t="shared" si="1"/>
        <v>33</v>
      </c>
      <c r="R37" s="22"/>
    </row>
    <row r="38" spans="1:18" ht="15.75" x14ac:dyDescent="0.25">
      <c r="A38" s="120">
        <f t="shared" si="2"/>
        <v>34</v>
      </c>
      <c r="B38" s="349">
        <v>4566</v>
      </c>
      <c r="C38" s="125" t="s">
        <v>476</v>
      </c>
      <c r="D38" s="93">
        <v>0</v>
      </c>
      <c r="E38" s="148"/>
      <c r="F38" s="93">
        <v>0</v>
      </c>
      <c r="G38" s="148">
        <v>0</v>
      </c>
      <c r="H38" s="93">
        <v>0</v>
      </c>
      <c r="I38" s="148">
        <v>0</v>
      </c>
      <c r="J38" s="93">
        <v>0</v>
      </c>
      <c r="K38" s="148">
        <v>5890.47</v>
      </c>
      <c r="L38" s="93">
        <v>18061.689999999999</v>
      </c>
      <c r="M38" s="148">
        <v>9867.0300000000025</v>
      </c>
      <c r="N38" s="93">
        <v>-3516.93</v>
      </c>
      <c r="O38" s="148">
        <v>47.46</v>
      </c>
      <c r="P38" s="93">
        <f t="shared" si="3"/>
        <v>30349.72</v>
      </c>
      <c r="Q38" s="120">
        <f t="shared" si="1"/>
        <v>34</v>
      </c>
      <c r="R38" s="22"/>
    </row>
    <row r="39" spans="1:18" ht="15.75" x14ac:dyDescent="0.25">
      <c r="A39" s="120">
        <f t="shared" si="2"/>
        <v>35</v>
      </c>
      <c r="B39" s="349">
        <v>4567</v>
      </c>
      <c r="C39" s="125" t="s">
        <v>477</v>
      </c>
      <c r="D39" s="93">
        <v>0</v>
      </c>
      <c r="E39" s="148">
        <v>0</v>
      </c>
      <c r="F39" s="93">
        <v>0</v>
      </c>
      <c r="G39" s="148">
        <v>0</v>
      </c>
      <c r="H39" s="93">
        <v>0</v>
      </c>
      <c r="I39" s="148">
        <v>0</v>
      </c>
      <c r="J39" s="93">
        <v>0</v>
      </c>
      <c r="K39" s="148">
        <v>3913.94</v>
      </c>
      <c r="L39" s="93">
        <v>12001.16</v>
      </c>
      <c r="M39" s="148">
        <v>6556.19</v>
      </c>
      <c r="N39" s="93">
        <v>-2336.8300000000004</v>
      </c>
      <c r="O39" s="148">
        <v>31.53</v>
      </c>
      <c r="P39" s="93">
        <f t="shared" si="3"/>
        <v>20165.989999999998</v>
      </c>
      <c r="Q39" s="120">
        <f t="shared" si="1"/>
        <v>35</v>
      </c>
      <c r="R39" s="22"/>
    </row>
    <row r="40" spans="1:18" ht="16.5" thickBot="1" x14ac:dyDescent="0.3">
      <c r="A40" s="121">
        <f t="shared" si="2"/>
        <v>36</v>
      </c>
      <c r="B40" s="463">
        <v>4575</v>
      </c>
      <c r="C40" s="126" t="s">
        <v>425</v>
      </c>
      <c r="D40" s="911">
        <v>1500</v>
      </c>
      <c r="E40" s="715">
        <v>1500</v>
      </c>
      <c r="F40" s="911">
        <v>1500</v>
      </c>
      <c r="G40" s="715">
        <v>1500</v>
      </c>
      <c r="H40" s="911">
        <v>1500</v>
      </c>
      <c r="I40" s="715">
        <v>1500</v>
      </c>
      <c r="J40" s="911">
        <v>1500</v>
      </c>
      <c r="K40" s="715">
        <v>1500</v>
      </c>
      <c r="L40" s="911">
        <v>1500</v>
      </c>
      <c r="M40" s="715">
        <v>1500</v>
      </c>
      <c r="N40" s="911">
        <v>1500</v>
      </c>
      <c r="O40" s="715">
        <v>1500</v>
      </c>
      <c r="P40" s="911">
        <f t="shared" si="3"/>
        <v>18000</v>
      </c>
      <c r="Q40" s="121">
        <f t="shared" si="1"/>
        <v>36</v>
      </c>
      <c r="R40" s="22"/>
    </row>
    <row r="41" spans="1:18" ht="15.75" x14ac:dyDescent="0.25">
      <c r="A41" s="120">
        <f t="shared" si="2"/>
        <v>37</v>
      </c>
      <c r="B41" s="349">
        <v>4999</v>
      </c>
      <c r="C41" s="125" t="s">
        <v>448</v>
      </c>
      <c r="D41" s="93">
        <v>0</v>
      </c>
      <c r="E41" s="148">
        <v>0</v>
      </c>
      <c r="F41" s="93">
        <v>0</v>
      </c>
      <c r="G41" s="148">
        <v>0</v>
      </c>
      <c r="H41" s="93">
        <v>0</v>
      </c>
      <c r="I41" s="148">
        <v>0</v>
      </c>
      <c r="J41" s="93">
        <v>0</v>
      </c>
      <c r="K41" s="148">
        <v>-9.94</v>
      </c>
      <c r="L41" s="93">
        <v>0.08</v>
      </c>
      <c r="M41" s="148">
        <v>0</v>
      </c>
      <c r="N41" s="93">
        <v>9.67</v>
      </c>
      <c r="O41" s="148">
        <v>-0.1</v>
      </c>
      <c r="P41" s="93">
        <f t="shared" si="3"/>
        <v>-0.28999999999999948</v>
      </c>
      <c r="Q41" s="120">
        <f t="shared" si="1"/>
        <v>37</v>
      </c>
      <c r="R41" s="22"/>
    </row>
    <row r="42" spans="1:18" ht="17.25" customHeight="1" x14ac:dyDescent="0.25">
      <c r="A42" s="120">
        <f t="shared" si="2"/>
        <v>38</v>
      </c>
      <c r="B42" s="949">
        <v>6196</v>
      </c>
      <c r="C42" s="125" t="s">
        <v>426</v>
      </c>
      <c r="D42" s="93">
        <v>-1.64</v>
      </c>
      <c r="E42" s="148">
        <v>0</v>
      </c>
      <c r="F42" s="93">
        <v>0</v>
      </c>
      <c r="G42" s="148">
        <v>0</v>
      </c>
      <c r="H42" s="93">
        <v>0</v>
      </c>
      <c r="I42" s="148">
        <v>0</v>
      </c>
      <c r="J42" s="93">
        <v>0.18</v>
      </c>
      <c r="K42" s="148">
        <v>0</v>
      </c>
      <c r="L42" s="93">
        <v>0.47</v>
      </c>
      <c r="M42" s="148">
        <v>0</v>
      </c>
      <c r="N42" s="93">
        <v>0</v>
      </c>
      <c r="O42" s="148">
        <v>0</v>
      </c>
      <c r="P42" s="93">
        <f t="shared" si="3"/>
        <v>-0.99</v>
      </c>
      <c r="Q42" s="120">
        <f t="shared" si="1"/>
        <v>38</v>
      </c>
      <c r="R42" s="22"/>
    </row>
    <row r="43" spans="1:18" ht="15.75" x14ac:dyDescent="0.25">
      <c r="A43" s="120">
        <f t="shared" si="2"/>
        <v>39</v>
      </c>
      <c r="B43" s="349">
        <v>6296</v>
      </c>
      <c r="C43" s="125" t="s">
        <v>427</v>
      </c>
      <c r="D43" s="93">
        <v>-6.1</v>
      </c>
      <c r="E43" s="148">
        <v>0</v>
      </c>
      <c r="F43" s="93">
        <v>0</v>
      </c>
      <c r="G43" s="148">
        <v>0</v>
      </c>
      <c r="H43" s="93">
        <v>0</v>
      </c>
      <c r="I43" s="148">
        <v>0</v>
      </c>
      <c r="J43" s="93">
        <v>0.11</v>
      </c>
      <c r="K43" s="148">
        <v>0</v>
      </c>
      <c r="L43" s="93">
        <v>0.92</v>
      </c>
      <c r="M43" s="148">
        <v>0</v>
      </c>
      <c r="N43" s="93">
        <v>0</v>
      </c>
      <c r="O43" s="148">
        <v>0.03</v>
      </c>
      <c r="P43" s="93">
        <f t="shared" si="3"/>
        <v>-5.0399999999999991</v>
      </c>
      <c r="Q43" s="120">
        <f t="shared" si="1"/>
        <v>39</v>
      </c>
      <c r="R43" s="22"/>
    </row>
    <row r="44" spans="1:18" ht="15.75" x14ac:dyDescent="0.25">
      <c r="A44" s="120">
        <f t="shared" si="2"/>
        <v>40</v>
      </c>
      <c r="B44" s="120">
        <v>6456</v>
      </c>
      <c r="C44" s="125" t="s">
        <v>428</v>
      </c>
      <c r="D44" s="93">
        <v>28185.96</v>
      </c>
      <c r="E44" s="148">
        <v>6029.67</v>
      </c>
      <c r="F44" s="93">
        <v>31518.52</v>
      </c>
      <c r="G44" s="148">
        <v>7854.51</v>
      </c>
      <c r="H44" s="93">
        <v>1072.26</v>
      </c>
      <c r="I44" s="148">
        <v>2665.5</v>
      </c>
      <c r="J44" s="93">
        <v>0</v>
      </c>
      <c r="K44" s="148">
        <v>39333.660000000003</v>
      </c>
      <c r="L44" s="93">
        <v>195820.77000000002</v>
      </c>
      <c r="M44" s="148">
        <v>24.71</v>
      </c>
      <c r="N44" s="93">
        <v>220769.09</v>
      </c>
      <c r="O44" s="148">
        <v>-13036.86</v>
      </c>
      <c r="P44" s="93">
        <f t="shared" si="3"/>
        <v>520237.79000000004</v>
      </c>
      <c r="Q44" s="120">
        <f t="shared" si="1"/>
        <v>40</v>
      </c>
      <c r="R44" s="22"/>
    </row>
    <row r="45" spans="1:18" ht="16.5" thickBot="1" x14ac:dyDescent="0.3">
      <c r="A45" s="121">
        <f t="shared" si="2"/>
        <v>41</v>
      </c>
      <c r="B45" s="958">
        <v>6460</v>
      </c>
      <c r="C45" s="126" t="s">
        <v>429</v>
      </c>
      <c r="D45" s="911">
        <v>-3718.38</v>
      </c>
      <c r="E45" s="715">
        <v>157.91</v>
      </c>
      <c r="F45" s="911">
        <v>558.65</v>
      </c>
      <c r="G45" s="715">
        <v>422.18</v>
      </c>
      <c r="H45" s="911">
        <v>-0.86000000000000298</v>
      </c>
      <c r="I45" s="715">
        <v>-145.23999999999998</v>
      </c>
      <c r="J45" s="911">
        <v>-363.36</v>
      </c>
      <c r="K45" s="715">
        <v>-1063.43</v>
      </c>
      <c r="L45" s="911">
        <v>13329.76</v>
      </c>
      <c r="M45" s="715">
        <v>-61473.83</v>
      </c>
      <c r="N45" s="911">
        <v>1898.21</v>
      </c>
      <c r="O45" s="715">
        <v>-2824.6899999999996</v>
      </c>
      <c r="P45" s="911">
        <f t="shared" si="3"/>
        <v>-53223.080000000009</v>
      </c>
      <c r="Q45" s="121">
        <f t="shared" si="1"/>
        <v>41</v>
      </c>
      <c r="R45" s="22"/>
    </row>
    <row r="46" spans="1:18" ht="15.75" x14ac:dyDescent="0.25">
      <c r="A46" s="120">
        <f t="shared" si="2"/>
        <v>42</v>
      </c>
      <c r="B46" s="349">
        <v>6470</v>
      </c>
      <c r="C46" s="125" t="s">
        <v>430</v>
      </c>
      <c r="D46" s="93">
        <v>6315.2</v>
      </c>
      <c r="E46" s="148">
        <v>-54.730000000000004</v>
      </c>
      <c r="F46" s="93">
        <v>0</v>
      </c>
      <c r="G46" s="148">
        <v>-109.56</v>
      </c>
      <c r="H46" s="93">
        <v>-103.74000000000001</v>
      </c>
      <c r="I46" s="148">
        <v>78.919999999999987</v>
      </c>
      <c r="J46" s="93">
        <v>-224.76</v>
      </c>
      <c r="K46" s="148">
        <v>911.26</v>
      </c>
      <c r="L46" s="93">
        <v>889.75000000000011</v>
      </c>
      <c r="M46" s="148">
        <v>-896.54000000000008</v>
      </c>
      <c r="N46" s="93">
        <v>488.34</v>
      </c>
      <c r="O46" s="148">
        <v>1264.1500000000001</v>
      </c>
      <c r="P46" s="93">
        <f t="shared" si="3"/>
        <v>8558.2900000000009</v>
      </c>
      <c r="Q46" s="120">
        <f t="shared" si="1"/>
        <v>42</v>
      </c>
      <c r="R46" s="22"/>
    </row>
    <row r="47" spans="1:18" ht="15.75" x14ac:dyDescent="0.25">
      <c r="A47" s="120">
        <f t="shared" si="2"/>
        <v>43</v>
      </c>
      <c r="B47" s="349">
        <v>6477</v>
      </c>
      <c r="C47" s="125" t="s">
        <v>431</v>
      </c>
      <c r="D47" s="93">
        <v>-14734.75</v>
      </c>
      <c r="E47" s="148">
        <v>-6713.95</v>
      </c>
      <c r="F47" s="93">
        <v>-4535.49</v>
      </c>
      <c r="G47" s="148">
        <v>17547.559999999998</v>
      </c>
      <c r="H47" s="93">
        <v>-2000.7100000000007</v>
      </c>
      <c r="I47" s="148">
        <v>297.31999999999994</v>
      </c>
      <c r="J47" s="93">
        <v>6386.37</v>
      </c>
      <c r="K47" s="148">
        <v>17586.310000000001</v>
      </c>
      <c r="L47" s="93">
        <v>94631.680000000008</v>
      </c>
      <c r="M47" s="148">
        <v>-5752.74</v>
      </c>
      <c r="N47" s="93">
        <v>-16721.45</v>
      </c>
      <c r="O47" s="148">
        <v>1247.98</v>
      </c>
      <c r="P47" s="93">
        <f t="shared" si="3"/>
        <v>87238.12999999999</v>
      </c>
      <c r="Q47" s="120">
        <f t="shared" si="1"/>
        <v>43</v>
      </c>
      <c r="R47" s="22"/>
    </row>
    <row r="48" spans="1:18" ht="15.75" x14ac:dyDescent="0.25">
      <c r="A48" s="120">
        <f t="shared" si="2"/>
        <v>44</v>
      </c>
      <c r="B48" s="349">
        <v>6480</v>
      </c>
      <c r="C48" s="125" t="s">
        <v>478</v>
      </c>
      <c r="D48" s="93">
        <v>0</v>
      </c>
      <c r="E48" s="148">
        <v>0</v>
      </c>
      <c r="F48" s="93">
        <v>0</v>
      </c>
      <c r="G48" s="148">
        <v>0</v>
      </c>
      <c r="H48" s="93">
        <v>0</v>
      </c>
      <c r="I48" s="148">
        <v>0</v>
      </c>
      <c r="J48" s="93">
        <v>0</v>
      </c>
      <c r="K48" s="148">
        <v>0</v>
      </c>
      <c r="L48" s="93">
        <v>0</v>
      </c>
      <c r="M48" s="148">
        <v>9.51</v>
      </c>
      <c r="N48" s="93">
        <v>0</v>
      </c>
      <c r="O48" s="148">
        <v>0</v>
      </c>
      <c r="P48" s="93">
        <f t="shared" si="3"/>
        <v>9.51</v>
      </c>
      <c r="Q48" s="120">
        <f t="shared" si="1"/>
        <v>44</v>
      </c>
      <c r="R48" s="22"/>
    </row>
    <row r="49" spans="1:19" ht="15.75" x14ac:dyDescent="0.25">
      <c r="A49" s="120">
        <f t="shared" si="2"/>
        <v>45</v>
      </c>
      <c r="B49" s="349">
        <v>6636</v>
      </c>
      <c r="C49" s="125" t="s">
        <v>479</v>
      </c>
      <c r="D49" s="93">
        <v>0</v>
      </c>
      <c r="E49" s="148">
        <v>0</v>
      </c>
      <c r="F49" s="93">
        <v>0</v>
      </c>
      <c r="G49" s="148">
        <v>0</v>
      </c>
      <c r="H49" s="93">
        <v>0</v>
      </c>
      <c r="I49" s="148">
        <v>0</v>
      </c>
      <c r="J49" s="93">
        <v>0</v>
      </c>
      <c r="K49" s="148">
        <v>0</v>
      </c>
      <c r="L49" s="93">
        <v>0</v>
      </c>
      <c r="M49" s="148">
        <v>194.24</v>
      </c>
      <c r="N49" s="93">
        <v>0</v>
      </c>
      <c r="O49" s="148">
        <v>0</v>
      </c>
      <c r="P49" s="93">
        <f t="shared" si="3"/>
        <v>194.24</v>
      </c>
      <c r="Q49" s="120">
        <f t="shared" si="1"/>
        <v>45</v>
      </c>
      <c r="R49" s="22"/>
    </row>
    <row r="50" spans="1:19" ht="16.5" thickBot="1" x14ac:dyDescent="0.3">
      <c r="A50" s="121">
        <f t="shared" si="2"/>
        <v>46</v>
      </c>
      <c r="B50" s="463">
        <v>6678</v>
      </c>
      <c r="C50" s="126" t="s">
        <v>432</v>
      </c>
      <c r="D50" s="911">
        <v>13133.869999999999</v>
      </c>
      <c r="E50" s="715">
        <v>14014.31</v>
      </c>
      <c r="F50" s="911">
        <v>7958.33</v>
      </c>
      <c r="G50" s="715">
        <v>4310.7999999999993</v>
      </c>
      <c r="H50" s="911">
        <v>3534.33</v>
      </c>
      <c r="I50" s="715">
        <v>8677.61</v>
      </c>
      <c r="J50" s="911">
        <v>5511.97</v>
      </c>
      <c r="K50" s="715">
        <v>11015.59</v>
      </c>
      <c r="L50" s="911">
        <v>96.309999999999988</v>
      </c>
      <c r="M50" s="715">
        <v>218.29999999999995</v>
      </c>
      <c r="N50" s="911">
        <v>-10753.05</v>
      </c>
      <c r="O50" s="715">
        <v>-62.570000000000007</v>
      </c>
      <c r="P50" s="911">
        <f t="shared" si="3"/>
        <v>57655.799999999996</v>
      </c>
      <c r="Q50" s="121">
        <f t="shared" si="1"/>
        <v>46</v>
      </c>
      <c r="R50" s="22"/>
    </row>
    <row r="51" spans="1:19" ht="15.75" x14ac:dyDescent="0.25">
      <c r="A51" s="120">
        <f t="shared" si="2"/>
        <v>47</v>
      </c>
      <c r="B51" s="120">
        <v>6774</v>
      </c>
      <c r="C51" s="125" t="s">
        <v>433</v>
      </c>
      <c r="D51" s="93">
        <v>73611.539999999994</v>
      </c>
      <c r="E51" s="148">
        <v>43293.380000000005</v>
      </c>
      <c r="F51" s="93">
        <v>20042.439999999999</v>
      </c>
      <c r="G51" s="148">
        <v>-17110.86</v>
      </c>
      <c r="H51" s="93">
        <v>11318.55</v>
      </c>
      <c r="I51" s="148">
        <v>13219.65</v>
      </c>
      <c r="J51" s="93">
        <v>71882.33</v>
      </c>
      <c r="K51" s="148">
        <v>147130.18</v>
      </c>
      <c r="L51" s="93">
        <v>-9922.6</v>
      </c>
      <c r="M51" s="148">
        <v>-3794.79</v>
      </c>
      <c r="N51" s="93">
        <v>-147613.80000000002</v>
      </c>
      <c r="O51" s="148">
        <v>-661.8</v>
      </c>
      <c r="P51" s="93">
        <f t="shared" si="3"/>
        <v>201394.22</v>
      </c>
      <c r="Q51" s="120">
        <f t="shared" si="1"/>
        <v>47</v>
      </c>
      <c r="R51" s="22"/>
    </row>
    <row r="52" spans="1:19" ht="17.25" customHeight="1" x14ac:dyDescent="0.25">
      <c r="A52" s="120">
        <f t="shared" si="2"/>
        <v>48</v>
      </c>
      <c r="B52" s="349">
        <v>6790</v>
      </c>
      <c r="C52" s="125" t="s">
        <v>434</v>
      </c>
      <c r="D52" s="93">
        <v>-6735.54</v>
      </c>
      <c r="E52" s="148">
        <v>-11747.27</v>
      </c>
      <c r="F52" s="93">
        <v>-10232.029999999999</v>
      </c>
      <c r="G52" s="148">
        <v>-11885.97</v>
      </c>
      <c r="H52" s="93">
        <v>-14873.849999999999</v>
      </c>
      <c r="I52" s="148">
        <v>-23295.589999999997</v>
      </c>
      <c r="J52" s="93">
        <v>-7817.98</v>
      </c>
      <c r="K52" s="148">
        <v>-2774.2000000000003</v>
      </c>
      <c r="L52" s="93">
        <v>14639.92</v>
      </c>
      <c r="M52" s="148">
        <v>62.639999999999993</v>
      </c>
      <c r="N52" s="93">
        <v>3434.91</v>
      </c>
      <c r="O52" s="148">
        <v>391.19</v>
      </c>
      <c r="P52" s="93">
        <f t="shared" si="3"/>
        <v>-70833.76999999999</v>
      </c>
      <c r="Q52" s="120">
        <f t="shared" si="1"/>
        <v>48</v>
      </c>
      <c r="R52" s="22"/>
    </row>
    <row r="53" spans="1:19" ht="15.75" x14ac:dyDescent="0.25">
      <c r="A53" s="120">
        <f t="shared" si="2"/>
        <v>49</v>
      </c>
      <c r="B53" s="349">
        <v>6985</v>
      </c>
      <c r="C53" s="125" t="s">
        <v>435</v>
      </c>
      <c r="D53" s="93">
        <v>37836.76</v>
      </c>
      <c r="E53" s="148">
        <v>15375.050000000001</v>
      </c>
      <c r="F53" s="93">
        <v>35110.229999999996</v>
      </c>
      <c r="G53" s="148">
        <v>10389.439999999999</v>
      </c>
      <c r="H53" s="93">
        <v>7598.08</v>
      </c>
      <c r="I53" s="148">
        <v>-1157.03</v>
      </c>
      <c r="J53" s="93">
        <v>4263.18</v>
      </c>
      <c r="K53" s="148">
        <v>3902.75</v>
      </c>
      <c r="L53" s="93">
        <v>-957.01999999999953</v>
      </c>
      <c r="M53" s="148">
        <v>25363.51</v>
      </c>
      <c r="N53" s="93">
        <v>48919.810000000005</v>
      </c>
      <c r="O53" s="148">
        <v>53450.090000000004</v>
      </c>
      <c r="P53" s="93">
        <f t="shared" si="3"/>
        <v>240094.85</v>
      </c>
      <c r="Q53" s="120">
        <f t="shared" si="1"/>
        <v>49</v>
      </c>
      <c r="R53" s="22"/>
    </row>
    <row r="54" spans="1:19" ht="15.75" x14ac:dyDescent="0.25">
      <c r="A54" s="120">
        <f t="shared" si="2"/>
        <v>50</v>
      </c>
      <c r="B54" s="949">
        <v>7077</v>
      </c>
      <c r="C54" s="125" t="s">
        <v>436</v>
      </c>
      <c r="D54" s="93">
        <v>0</v>
      </c>
      <c r="E54" s="148">
        <v>-2.83</v>
      </c>
      <c r="F54" s="93">
        <v>0</v>
      </c>
      <c r="G54" s="148">
        <v>0.16</v>
      </c>
      <c r="H54" s="93">
        <v>2.83</v>
      </c>
      <c r="I54" s="148">
        <v>0</v>
      </c>
      <c r="J54" s="93">
        <v>53.11</v>
      </c>
      <c r="K54" s="148">
        <v>-17.36</v>
      </c>
      <c r="L54" s="93">
        <v>0.09</v>
      </c>
      <c r="M54" s="148">
        <v>0</v>
      </c>
      <c r="N54" s="93">
        <v>17.38</v>
      </c>
      <c r="O54" s="148">
        <v>0.02</v>
      </c>
      <c r="P54" s="93">
        <f t="shared" si="3"/>
        <v>53.4</v>
      </c>
      <c r="Q54" s="120">
        <f t="shared" si="1"/>
        <v>50</v>
      </c>
      <c r="R54" s="22"/>
    </row>
    <row r="55" spans="1:19" ht="16.5" thickBot="1" x14ac:dyDescent="0.3">
      <c r="A55" s="121">
        <f t="shared" si="2"/>
        <v>51</v>
      </c>
      <c r="B55" s="463">
        <v>7087</v>
      </c>
      <c r="C55" s="126" t="s">
        <v>437</v>
      </c>
      <c r="D55" s="911">
        <v>0</v>
      </c>
      <c r="E55" s="715">
        <v>-1.04</v>
      </c>
      <c r="F55" s="911">
        <v>0</v>
      </c>
      <c r="G55" s="715">
        <v>0</v>
      </c>
      <c r="H55" s="911">
        <v>1.04</v>
      </c>
      <c r="I55" s="715">
        <v>-0.01</v>
      </c>
      <c r="J55" s="911">
        <v>2.88</v>
      </c>
      <c r="K55" s="715">
        <v>-2.58</v>
      </c>
      <c r="L55" s="911">
        <v>0</v>
      </c>
      <c r="M55" s="715">
        <v>-0.03</v>
      </c>
      <c r="N55" s="911">
        <v>2.59</v>
      </c>
      <c r="O55" s="715">
        <v>7.0000000000000007E-2</v>
      </c>
      <c r="P55" s="963">
        <f t="shared" si="3"/>
        <v>2.9199999999999995</v>
      </c>
      <c r="Q55" s="121">
        <f t="shared" si="1"/>
        <v>51</v>
      </c>
      <c r="R55" s="22"/>
    </row>
    <row r="56" spans="1:19" ht="15.75" x14ac:dyDescent="0.25">
      <c r="A56" s="120">
        <f t="shared" si="2"/>
        <v>52</v>
      </c>
      <c r="B56" s="349">
        <v>7088</v>
      </c>
      <c r="C56" s="149" t="s">
        <v>438</v>
      </c>
      <c r="D56" s="93">
        <v>-1.2</v>
      </c>
      <c r="E56" s="148">
        <v>1.1499999999999999</v>
      </c>
      <c r="F56" s="93">
        <v>0</v>
      </c>
      <c r="G56" s="148">
        <v>0.93</v>
      </c>
      <c r="H56" s="93">
        <v>0.06</v>
      </c>
      <c r="I56" s="148">
        <v>-7.0000000000000062E-2</v>
      </c>
      <c r="J56" s="93">
        <v>1.24</v>
      </c>
      <c r="K56" s="148">
        <v>3.15</v>
      </c>
      <c r="L56" s="93">
        <v>1.52</v>
      </c>
      <c r="M56" s="148">
        <v>1.95</v>
      </c>
      <c r="N56" s="93">
        <v>-1.5899999999999999</v>
      </c>
      <c r="O56" s="148">
        <v>-0.3</v>
      </c>
      <c r="P56" s="93">
        <f t="shared" si="3"/>
        <v>6.839999999999999</v>
      </c>
      <c r="Q56" s="120">
        <f t="shared" si="1"/>
        <v>52</v>
      </c>
      <c r="R56" s="22"/>
    </row>
    <row r="57" spans="1:19" ht="15.75" x14ac:dyDescent="0.25">
      <c r="A57" s="120">
        <f t="shared" si="2"/>
        <v>53</v>
      </c>
      <c r="B57" s="349">
        <v>7999</v>
      </c>
      <c r="C57" s="149" t="s">
        <v>439</v>
      </c>
      <c r="D57" s="117">
        <f>50.66-'WP 12 PTO'!D9</f>
        <v>50.66</v>
      </c>
      <c r="E57" s="148">
        <f>213.98-'WP 12 PTO'!E9</f>
        <v>3.1099999999999852</v>
      </c>
      <c r="F57" s="93">
        <f>28.88-'WP 12 PTO'!F9</f>
        <v>28.88</v>
      </c>
      <c r="G57" s="148">
        <f>5.45-'WP 12 PTO'!G9</f>
        <v>5.45</v>
      </c>
      <c r="H57" s="93">
        <f>0-'WP 12 PTO'!H9</f>
        <v>0</v>
      </c>
      <c r="I57" s="148">
        <f>4651.71-'WP 12 PTO'!I9</f>
        <v>33.050000000000182</v>
      </c>
      <c r="J57" s="93">
        <f>13338.99-'WP 12 PTO'!J9</f>
        <v>0</v>
      </c>
      <c r="K57" s="148">
        <f>4551.65-'WP 12 PTO'!K9</f>
        <v>24.739999999999782</v>
      </c>
      <c r="L57" s="93">
        <f>1987.99-'WP 12 PTO'!L9</f>
        <v>1987.99</v>
      </c>
      <c r="M57" s="148">
        <f>19855.49-'WP 12 PTO'!M9</f>
        <v>19855.490000000002</v>
      </c>
      <c r="N57" s="93">
        <f>2221.81-'WP 12 PTO'!N9</f>
        <v>137.94999999999982</v>
      </c>
      <c r="O57" s="148">
        <f>43356.03-'WP 12 PTO'!O9</f>
        <v>31.44999999999709</v>
      </c>
      <c r="P57" s="119">
        <f t="shared" si="3"/>
        <v>22158.77</v>
      </c>
      <c r="Q57" s="120">
        <f t="shared" si="1"/>
        <v>53</v>
      </c>
      <c r="R57" s="928"/>
      <c r="S57" s="929"/>
    </row>
    <row r="58" spans="1:19" ht="15.75" x14ac:dyDescent="0.25">
      <c r="A58" s="120">
        <f t="shared" si="2"/>
        <v>54</v>
      </c>
      <c r="B58" s="349">
        <v>8076</v>
      </c>
      <c r="C58" s="149" t="s">
        <v>480</v>
      </c>
      <c r="D58" s="93">
        <v>0</v>
      </c>
      <c r="E58" s="148">
        <v>0</v>
      </c>
      <c r="F58" s="93">
        <v>0</v>
      </c>
      <c r="G58" s="148">
        <v>0</v>
      </c>
      <c r="H58" s="93">
        <v>0</v>
      </c>
      <c r="I58" s="148">
        <v>0</v>
      </c>
      <c r="J58" s="93">
        <v>0</v>
      </c>
      <c r="K58" s="148">
        <v>14515.88</v>
      </c>
      <c r="L58" s="93">
        <v>45918.25</v>
      </c>
      <c r="M58" s="148">
        <v>29925.510000000002</v>
      </c>
      <c r="N58" s="93">
        <v>-6094.78</v>
      </c>
      <c r="O58" s="148">
        <v>-40162.949999999997</v>
      </c>
      <c r="P58" s="119">
        <f t="shared" si="3"/>
        <v>44101.91</v>
      </c>
      <c r="Q58" s="120">
        <f t="shared" si="1"/>
        <v>54</v>
      </c>
      <c r="R58" s="928"/>
      <c r="S58" s="929"/>
    </row>
    <row r="59" spans="1:19" ht="15.75" x14ac:dyDescent="0.25">
      <c r="A59" s="120">
        <f t="shared" si="2"/>
        <v>55</v>
      </c>
      <c r="B59" s="349">
        <v>8086</v>
      </c>
      <c r="C59" s="149" t="s">
        <v>481</v>
      </c>
      <c r="D59" s="93">
        <v>0</v>
      </c>
      <c r="E59" s="148">
        <v>0</v>
      </c>
      <c r="F59" s="93">
        <v>0</v>
      </c>
      <c r="G59" s="148">
        <v>0</v>
      </c>
      <c r="H59" s="93">
        <v>0</v>
      </c>
      <c r="I59" s="148">
        <v>0</v>
      </c>
      <c r="J59" s="93">
        <v>0</v>
      </c>
      <c r="K59" s="148">
        <v>809.37</v>
      </c>
      <c r="L59" s="93">
        <v>1077.3599999999999</v>
      </c>
      <c r="M59" s="148">
        <v>535.24</v>
      </c>
      <c r="N59" s="93">
        <v>556.51</v>
      </c>
      <c r="O59" s="148">
        <v>1569.29</v>
      </c>
      <c r="P59" s="119">
        <f>SUM(D59:O59)</f>
        <v>4547.7700000000004</v>
      </c>
      <c r="Q59" s="120">
        <f t="shared" si="1"/>
        <v>55</v>
      </c>
      <c r="R59" s="928"/>
      <c r="S59" s="929"/>
    </row>
    <row r="60" spans="1:19" ht="15.75" x14ac:dyDescent="0.25">
      <c r="A60" s="120">
        <f t="shared" si="2"/>
        <v>56</v>
      </c>
      <c r="B60" s="349">
        <v>8404</v>
      </c>
      <c r="C60" s="149" t="s">
        <v>482</v>
      </c>
      <c r="D60" s="93">
        <v>0</v>
      </c>
      <c r="E60" s="148">
        <v>0</v>
      </c>
      <c r="F60" s="93">
        <v>0</v>
      </c>
      <c r="G60" s="148">
        <v>0</v>
      </c>
      <c r="H60" s="93">
        <v>0</v>
      </c>
      <c r="I60" s="148">
        <v>0</v>
      </c>
      <c r="J60" s="93">
        <v>0</v>
      </c>
      <c r="K60" s="148">
        <v>-4642.49</v>
      </c>
      <c r="L60" s="93">
        <v>-82668.989999999991</v>
      </c>
      <c r="M60" s="148">
        <v>-103514.99999999999</v>
      </c>
      <c r="N60" s="93">
        <v>-278409.36</v>
      </c>
      <c r="O60" s="148">
        <v>-345669.71</v>
      </c>
      <c r="P60" s="119">
        <f>SUM(D60:O60)</f>
        <v>-814905.55</v>
      </c>
      <c r="Q60" s="120">
        <f t="shared" si="1"/>
        <v>56</v>
      </c>
      <c r="R60" s="928"/>
      <c r="S60" s="929"/>
    </row>
    <row r="61" spans="1:19" ht="15.75" x14ac:dyDescent="0.25">
      <c r="A61" s="120">
        <f t="shared" si="2"/>
        <v>57</v>
      </c>
      <c r="B61" s="349"/>
      <c r="C61" s="125"/>
      <c r="D61" s="482"/>
      <c r="E61" s="486"/>
      <c r="F61" s="484"/>
      <c r="G61" s="486"/>
      <c r="H61" s="484"/>
      <c r="I61" s="486"/>
      <c r="J61" s="484"/>
      <c r="K61" s="486"/>
      <c r="L61" s="484"/>
      <c r="M61" s="486"/>
      <c r="N61" s="484"/>
      <c r="O61" s="486"/>
      <c r="P61" s="483"/>
      <c r="Q61" s="120">
        <f t="shared" si="1"/>
        <v>57</v>
      </c>
      <c r="R61" s="22"/>
    </row>
    <row r="62" spans="1:19" ht="16.5" thickBot="1" x14ac:dyDescent="0.3">
      <c r="A62" s="120">
        <f t="shared" si="2"/>
        <v>58</v>
      </c>
      <c r="B62" s="699"/>
      <c r="C62" s="353" t="s">
        <v>440</v>
      </c>
      <c r="D62" s="485">
        <f t="shared" ref="D62:P62" si="4">SUM(D4:D60)</f>
        <v>-849605.3600000001</v>
      </c>
      <c r="E62" s="487">
        <f t="shared" si="4"/>
        <v>-48116.040000000052</v>
      </c>
      <c r="F62" s="485">
        <f t="shared" si="4"/>
        <v>71552.929999999964</v>
      </c>
      <c r="G62" s="487">
        <f t="shared" si="4"/>
        <v>75403.47</v>
      </c>
      <c r="H62" s="485">
        <f t="shared" si="4"/>
        <v>91378.789999999906</v>
      </c>
      <c r="I62" s="487">
        <f t="shared" si="4"/>
        <v>7763.6499999999342</v>
      </c>
      <c r="J62" s="485">
        <f t="shared" si="4"/>
        <v>18147.450000000073</v>
      </c>
      <c r="K62" s="487">
        <f t="shared" si="4"/>
        <v>83699.37</v>
      </c>
      <c r="L62" s="485">
        <f t="shared" si="4"/>
        <v>102512.79000000001</v>
      </c>
      <c r="M62" s="487">
        <f t="shared" si="4"/>
        <v>53320.55000000009</v>
      </c>
      <c r="N62" s="485">
        <f t="shared" si="4"/>
        <v>38491.419999999984</v>
      </c>
      <c r="O62" s="487">
        <f t="shared" si="4"/>
        <v>-200901.73246000017</v>
      </c>
      <c r="P62" s="485">
        <f t="shared" si="4"/>
        <v>-556352.71245999984</v>
      </c>
      <c r="Q62" s="120">
        <f t="shared" si="1"/>
        <v>58</v>
      </c>
      <c r="R62" s="22"/>
    </row>
    <row r="63" spans="1:19" ht="17.25" thickTop="1" thickBot="1" x14ac:dyDescent="0.3">
      <c r="A63" s="121">
        <f t="shared" si="2"/>
        <v>59</v>
      </c>
      <c r="B63" s="124"/>
      <c r="C63" s="934"/>
      <c r="D63" s="922"/>
      <c r="E63" s="901"/>
      <c r="F63" s="922"/>
      <c r="G63" s="901"/>
      <c r="H63" s="922"/>
      <c r="I63" s="901"/>
      <c r="J63" s="317"/>
      <c r="K63" s="451"/>
      <c r="L63" s="317"/>
      <c r="M63" s="901"/>
      <c r="N63" s="922"/>
      <c r="O63" s="901"/>
      <c r="P63" s="317"/>
      <c r="Q63" s="121">
        <f t="shared" si="1"/>
        <v>59</v>
      </c>
      <c r="R63" s="22"/>
      <c r="S63" s="372"/>
    </row>
    <row r="64" spans="1:19" ht="15.75" x14ac:dyDescent="0.25">
      <c r="A64" s="120">
        <f t="shared" si="2"/>
        <v>60</v>
      </c>
      <c r="B64" s="122"/>
      <c r="C64" s="935"/>
      <c r="D64" s="926"/>
      <c r="E64" s="902"/>
      <c r="F64" s="926"/>
      <c r="G64" s="716"/>
      <c r="H64" s="78"/>
      <c r="I64" s="716"/>
      <c r="J64" s="926"/>
      <c r="K64" s="902"/>
      <c r="L64" s="926"/>
      <c r="M64" s="902"/>
      <c r="N64" s="926"/>
      <c r="O64" s="902"/>
      <c r="P64" s="78"/>
      <c r="Q64" s="120">
        <f t="shared" si="1"/>
        <v>60</v>
      </c>
      <c r="R64" s="22"/>
      <c r="S64" s="372"/>
    </row>
    <row r="65" spans="1:18" ht="15.75" x14ac:dyDescent="0.25">
      <c r="A65" s="120">
        <f t="shared" si="2"/>
        <v>61</v>
      </c>
      <c r="B65" s="123"/>
      <c r="C65" s="125" t="s">
        <v>466</v>
      </c>
      <c r="D65" s="923">
        <f t="shared" ref="D65:P65" si="5">D62</f>
        <v>-849605.3600000001</v>
      </c>
      <c r="E65" s="717">
        <f t="shared" si="5"/>
        <v>-48116.040000000052</v>
      </c>
      <c r="F65" s="923">
        <f t="shared" si="5"/>
        <v>71552.929999999964</v>
      </c>
      <c r="G65" s="717">
        <f t="shared" si="5"/>
        <v>75403.47</v>
      </c>
      <c r="H65" s="923">
        <f t="shared" si="5"/>
        <v>91378.789999999906</v>
      </c>
      <c r="I65" s="717">
        <f t="shared" si="5"/>
        <v>7763.6499999999342</v>
      </c>
      <c r="J65" s="923">
        <f t="shared" si="5"/>
        <v>18147.450000000073</v>
      </c>
      <c r="K65" s="717">
        <f t="shared" si="5"/>
        <v>83699.37</v>
      </c>
      <c r="L65" s="923">
        <f t="shared" si="5"/>
        <v>102512.79000000001</v>
      </c>
      <c r="M65" s="717">
        <f t="shared" si="5"/>
        <v>53320.55000000009</v>
      </c>
      <c r="N65" s="923">
        <f t="shared" si="5"/>
        <v>38491.419999999984</v>
      </c>
      <c r="O65" s="717">
        <f t="shared" si="5"/>
        <v>-200901.73246000017</v>
      </c>
      <c r="P65" s="923">
        <f t="shared" si="5"/>
        <v>-556352.71245999984</v>
      </c>
      <c r="Q65" s="120">
        <f t="shared" si="1"/>
        <v>61</v>
      </c>
      <c r="R65" s="22"/>
    </row>
    <row r="66" spans="1:18" ht="15.75" x14ac:dyDescent="0.25">
      <c r="A66" s="120">
        <f t="shared" si="2"/>
        <v>62</v>
      </c>
      <c r="B66" s="123"/>
      <c r="C66" s="125" t="s">
        <v>441</v>
      </c>
      <c r="D66" s="924">
        <f>'WP 4 Monthly TRBAA '!C19</f>
        <v>-849605.3600000001</v>
      </c>
      <c r="E66" s="718">
        <f>'WP 4 Monthly TRBAA '!D19</f>
        <v>-48116.040000000052</v>
      </c>
      <c r="F66" s="924">
        <f>'WP 4 Monthly TRBAA '!E19</f>
        <v>71552.929999999964</v>
      </c>
      <c r="G66" s="718">
        <f>'WP 4 Monthly TRBAA '!F19</f>
        <v>75403.47</v>
      </c>
      <c r="H66" s="924">
        <f>'WP 4 Monthly TRBAA '!G19</f>
        <v>91378.789999999906</v>
      </c>
      <c r="I66" s="718">
        <f>'WP 4 Monthly TRBAA '!H19</f>
        <v>7763.6499999999342</v>
      </c>
      <c r="J66" s="924">
        <f>'WP 4 Monthly TRBAA '!I19</f>
        <v>18147.450000000073</v>
      </c>
      <c r="K66" s="718">
        <f>'WP 4 Monthly TRBAA '!J19</f>
        <v>83699.37</v>
      </c>
      <c r="L66" s="924">
        <f>'WP 4 Monthly TRBAA '!K19</f>
        <v>102512.79000000001</v>
      </c>
      <c r="M66" s="904">
        <f>'WP 4 Monthly TRBAA '!L19</f>
        <v>53320.55000000009</v>
      </c>
      <c r="N66" s="924">
        <f>'WP 4 Monthly TRBAA '!M19</f>
        <v>38491.419999999984</v>
      </c>
      <c r="O66" s="718">
        <f>'WP 4 Monthly TRBAA '!N19</f>
        <v>-200901.73246000017</v>
      </c>
      <c r="P66" s="924">
        <f>SUM(D66:O66)</f>
        <v>-556352.71246000042</v>
      </c>
      <c r="Q66" s="120">
        <f t="shared" si="1"/>
        <v>62</v>
      </c>
      <c r="R66" s="22"/>
    </row>
    <row r="67" spans="1:18" ht="16.5" thickBot="1" x14ac:dyDescent="0.3">
      <c r="A67" s="121">
        <f t="shared" si="2"/>
        <v>63</v>
      </c>
      <c r="B67" s="124"/>
      <c r="C67" s="126" t="s">
        <v>69</v>
      </c>
      <c r="D67" s="925">
        <f>D65-D66</f>
        <v>0</v>
      </c>
      <c r="E67" s="905">
        <f t="shared" ref="E67:P67" si="6">E65-E66</f>
        <v>0</v>
      </c>
      <c r="F67" s="927">
        <f t="shared" si="6"/>
        <v>0</v>
      </c>
      <c r="G67" s="720">
        <f t="shared" si="6"/>
        <v>0</v>
      </c>
      <c r="H67" s="925">
        <f t="shared" si="6"/>
        <v>0</v>
      </c>
      <c r="I67" s="720">
        <f t="shared" si="6"/>
        <v>0</v>
      </c>
      <c r="J67" s="925">
        <f t="shared" si="6"/>
        <v>0</v>
      </c>
      <c r="K67" s="720">
        <f t="shared" si="6"/>
        <v>0</v>
      </c>
      <c r="L67" s="925">
        <f t="shared" si="6"/>
        <v>0</v>
      </c>
      <c r="M67" s="903">
        <f t="shared" si="6"/>
        <v>0</v>
      </c>
      <c r="N67" s="925">
        <f t="shared" si="6"/>
        <v>0</v>
      </c>
      <c r="O67" s="720">
        <f t="shared" si="6"/>
        <v>0</v>
      </c>
      <c r="P67" s="925">
        <f t="shared" si="6"/>
        <v>0</v>
      </c>
      <c r="Q67" s="121">
        <f t="shared" si="1"/>
        <v>63</v>
      </c>
      <c r="R67" s="22"/>
    </row>
    <row r="68" spans="1:18" ht="15.75" x14ac:dyDescent="0.25">
      <c r="B68" s="22"/>
      <c r="C68" s="22"/>
      <c r="D68" s="78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40"/>
    </row>
    <row r="69" spans="1:18" ht="15.75" x14ac:dyDescent="0.25">
      <c r="B69" s="22"/>
      <c r="C69" s="22"/>
      <c r="D69" s="305"/>
      <c r="E69" s="306"/>
      <c r="F69" s="306"/>
      <c r="G69" s="306"/>
      <c r="H69" s="306"/>
      <c r="I69" s="306"/>
      <c r="J69" s="306"/>
      <c r="K69" s="306"/>
      <c r="L69" s="306"/>
      <c r="M69" s="306"/>
      <c r="N69" s="306"/>
      <c r="O69" s="306"/>
      <c r="P69" s="151"/>
    </row>
    <row r="70" spans="1:18" ht="15.75" x14ac:dyDescent="0.25">
      <c r="B70" s="22"/>
      <c r="C70" s="22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</row>
    <row r="71" spans="1:18" ht="15.75" x14ac:dyDescent="0.25">
      <c r="B71" s="22"/>
      <c r="C71" s="22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</row>
    <row r="72" spans="1:18" ht="15.75" x14ac:dyDescent="0.25">
      <c r="B72" s="22"/>
      <c r="C72" s="22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</row>
    <row r="73" spans="1:18" ht="15.75" x14ac:dyDescent="0.25">
      <c r="B73" s="22"/>
      <c r="C73" s="22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</row>
    <row r="74" spans="1:18" ht="15.75" x14ac:dyDescent="0.25">
      <c r="B74" s="22"/>
      <c r="C74" s="22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</row>
    <row r="75" spans="1:18" ht="15.75" x14ac:dyDescent="0.25">
      <c r="B75" s="22"/>
      <c r="C75" s="22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</row>
    <row r="76" spans="1:18" ht="15.75" x14ac:dyDescent="0.25">
      <c r="B76" s="22"/>
      <c r="C76" s="22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</row>
    <row r="77" spans="1:18" ht="15.75" x14ac:dyDescent="0.25">
      <c r="B77" s="22"/>
      <c r="C77" s="22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</row>
    <row r="78" spans="1:18" ht="15.75" x14ac:dyDescent="0.25">
      <c r="B78" s="22"/>
      <c r="C78" s="22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</row>
    <row r="79" spans="1:18" ht="15.75" x14ac:dyDescent="0.25">
      <c r="B79" s="22"/>
      <c r="C79" s="22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</row>
    <row r="80" spans="1:18" ht="15.75" x14ac:dyDescent="0.25">
      <c r="B80" s="22"/>
      <c r="C80" s="22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</row>
    <row r="81" spans="2:16" ht="15.75" x14ac:dyDescent="0.25">
      <c r="B81" s="22"/>
      <c r="C81" s="22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2:16" ht="15.75" x14ac:dyDescent="0.25">
      <c r="B82" s="22"/>
      <c r="C82" s="22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2:16" ht="15.75" x14ac:dyDescent="0.25">
      <c r="B83" s="22"/>
      <c r="C83" s="22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</row>
    <row r="84" spans="2:16" ht="15.75" x14ac:dyDescent="0.25">
      <c r="B84" s="22"/>
      <c r="C84" s="22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2:16" ht="15.75" x14ac:dyDescent="0.25">
      <c r="B85" s="22"/>
      <c r="C85" s="22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2:16" ht="15.75" x14ac:dyDescent="0.25">
      <c r="B86" s="22"/>
      <c r="C86" s="22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2:16" ht="15.75" x14ac:dyDescent="0.25">
      <c r="B87" s="22"/>
      <c r="C87" s="22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</row>
    <row r="88" spans="2:16" ht="15.75" x14ac:dyDescent="0.25">
      <c r="B88" s="22"/>
      <c r="C88" s="22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</row>
    <row r="89" spans="2:16" ht="15.75" x14ac:dyDescent="0.25">
      <c r="B89" s="22"/>
      <c r="C89" s="22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</row>
    <row r="90" spans="2:16" ht="15.75" x14ac:dyDescent="0.25">
      <c r="B90" s="22"/>
      <c r="C90" s="22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</row>
    <row r="91" spans="2:16" ht="15.75" x14ac:dyDescent="0.25">
      <c r="B91" s="22"/>
      <c r="C91" s="22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</row>
    <row r="92" spans="2:16" ht="15.75" x14ac:dyDescent="0.25">
      <c r="B92" s="22"/>
      <c r="C92" s="22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</row>
    <row r="93" spans="2:16" ht="15.75" x14ac:dyDescent="0.25">
      <c r="B93" s="22"/>
      <c r="C93" s="22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</row>
    <row r="94" spans="2:16" ht="15.75" x14ac:dyDescent="0.25">
      <c r="B94" s="22"/>
      <c r="C94" s="22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</row>
    <row r="95" spans="2:16" ht="15.75" x14ac:dyDescent="0.25">
      <c r="B95" s="22"/>
      <c r="C95" s="22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</row>
    <row r="96" spans="2:16" ht="15.75" x14ac:dyDescent="0.25">
      <c r="B96" s="22"/>
      <c r="C96" s="22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</row>
    <row r="97" spans="2:16" ht="15.75" x14ac:dyDescent="0.25">
      <c r="B97" s="22"/>
      <c r="C97" s="22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</row>
    <row r="98" spans="2:16" ht="15.75" x14ac:dyDescent="0.25">
      <c r="B98" s="22"/>
      <c r="C98" s="22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</row>
    <row r="99" spans="2:16" ht="15.75" x14ac:dyDescent="0.25">
      <c r="B99" s="22"/>
      <c r="C99" s="22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</row>
    <row r="100" spans="2:16" ht="15.75" x14ac:dyDescent="0.25">
      <c r="B100" s="22"/>
      <c r="C100" s="22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</row>
    <row r="101" spans="2:16" ht="15.75" x14ac:dyDescent="0.25">
      <c r="B101" s="22"/>
      <c r="C101" s="22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</row>
    <row r="102" spans="2:16" ht="15.75" x14ac:dyDescent="0.25">
      <c r="B102" s="22"/>
      <c r="C102" s="22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</row>
    <row r="103" spans="2:16" ht="15.75" x14ac:dyDescent="0.25">
      <c r="B103" s="22"/>
      <c r="C103" s="22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</row>
    <row r="104" spans="2:16" ht="15.75" x14ac:dyDescent="0.25">
      <c r="B104" s="22"/>
      <c r="C104" s="22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</row>
    <row r="105" spans="2:16" ht="15.75" x14ac:dyDescent="0.25">
      <c r="B105" s="22"/>
      <c r="C105" s="22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</row>
    <row r="106" spans="2:16" ht="15.75" x14ac:dyDescent="0.25">
      <c r="B106" s="22"/>
      <c r="C106" s="22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</row>
  </sheetData>
  <printOptions horizontalCentered="1"/>
  <pageMargins left="0" right="0" top="1.25" bottom="0.5" header="0.5" footer="0.25"/>
  <pageSetup scale="61" fitToWidth="2" fitToHeight="2" orientation="portrait" r:id="rId1"/>
  <headerFooter alignWithMargins="0">
    <oddHeader>&amp;C&amp;"Times New Roman,Bold"&amp;14San Diego Gas &amp;&amp; Electric Company
2027 TRBAA Rate Filing
Details of Monthly ETC Cost Differentials</oddHeader>
    <oddFooter>&amp;L&amp;"Times New Roman,Regular"&amp;12&amp;F&amp;C&amp;"Times New Roman,Regular"&amp;12Page - 10.&amp;P&amp;R&amp;"Times New Roman,Regular"&amp;12&amp;A</oddFooter>
  </headerFooter>
  <colBreaks count="2" manualBreakCount="2">
    <brk id="7" min="2" max="66" man="1"/>
    <brk id="11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F48"/>
  <sheetViews>
    <sheetView zoomScale="80" zoomScaleNormal="80" workbookViewId="0">
      <selection activeCell="J29" sqref="J29"/>
    </sheetView>
  </sheetViews>
  <sheetFormatPr defaultColWidth="9.42578125" defaultRowHeight="15.75" x14ac:dyDescent="0.25"/>
  <cols>
    <col min="1" max="1" width="5.42578125" style="107" bestFit="1" customWidth="1"/>
    <col min="2" max="2" width="38.5703125" style="131" bestFit="1" customWidth="1"/>
    <col min="3" max="3" width="28.7109375" style="107" bestFit="1" customWidth="1"/>
    <col min="4" max="4" width="47.7109375" style="107" customWidth="1"/>
    <col min="5" max="5" width="5.42578125" style="107" bestFit="1" customWidth="1"/>
    <col min="6" max="6" width="2.42578125" style="107" bestFit="1" customWidth="1"/>
    <col min="7" max="11" width="9.42578125" style="107"/>
    <col min="12" max="12" width="10.5703125" style="107" bestFit="1" customWidth="1"/>
    <col min="13" max="16384" width="9.42578125" style="107"/>
  </cols>
  <sheetData>
    <row r="2" spans="1:6" x14ac:dyDescent="0.25">
      <c r="A2" s="970" t="s">
        <v>1</v>
      </c>
      <c r="B2" s="970"/>
      <c r="C2" s="970"/>
      <c r="D2" s="970"/>
      <c r="E2" s="970"/>
    </row>
    <row r="3" spans="1:6" x14ac:dyDescent="0.25">
      <c r="A3" s="970" t="str">
        <f>'WP 8 CT4575'!A3:E3</f>
        <v>2027 - TRBAA Rate Filing</v>
      </c>
      <c r="B3" s="970"/>
      <c r="C3" s="970"/>
      <c r="D3" s="970"/>
      <c r="E3" s="970"/>
    </row>
    <row r="4" spans="1:6" x14ac:dyDescent="0.25">
      <c r="A4" s="970" t="s">
        <v>442</v>
      </c>
      <c r="B4" s="970"/>
      <c r="C4" s="970"/>
      <c r="D4" s="970"/>
      <c r="E4" s="970"/>
    </row>
    <row r="5" spans="1:6" ht="16.5" thickBot="1" x14ac:dyDescent="0.3">
      <c r="A5" s="338"/>
      <c r="B5" s="659"/>
      <c r="C5" s="660"/>
      <c r="D5" s="338"/>
      <c r="E5" s="338"/>
    </row>
    <row r="6" spans="1:6" ht="39.75" customHeight="1" thickBot="1" x14ac:dyDescent="0.3">
      <c r="A6" s="661" t="s">
        <v>63</v>
      </c>
      <c r="B6" s="337" t="s">
        <v>381</v>
      </c>
      <c r="C6" s="676" t="s">
        <v>443</v>
      </c>
      <c r="D6" s="587" t="s">
        <v>15</v>
      </c>
      <c r="E6" s="663" t="s">
        <v>63</v>
      </c>
    </row>
    <row r="7" spans="1:6" x14ac:dyDescent="0.25">
      <c r="A7" s="453"/>
      <c r="B7" s="780"/>
      <c r="C7" s="431"/>
      <c r="D7" s="430"/>
      <c r="E7" s="454"/>
    </row>
    <row r="8" spans="1:6" x14ac:dyDescent="0.25">
      <c r="A8" s="334">
        <v>1</v>
      </c>
      <c r="B8" s="108">
        <f>'WP 7 Wheeling Revenues'!B11</f>
        <v>45931</v>
      </c>
      <c r="C8" s="19">
        <f>'WP 5 CAISO Charges'!C19</f>
        <v>-427494.79</v>
      </c>
      <c r="D8" s="23" t="s">
        <v>444</v>
      </c>
      <c r="E8" s="335">
        <f>A8</f>
        <v>1</v>
      </c>
      <c r="F8" s="781"/>
    </row>
    <row r="9" spans="1:6" x14ac:dyDescent="0.25">
      <c r="A9" s="334">
        <f>A8+1</f>
        <v>2</v>
      </c>
      <c r="B9" s="108"/>
      <c r="C9" s="19"/>
      <c r="D9" s="10"/>
      <c r="E9" s="335">
        <f t="shared" ref="E9:E33" si="0">A9</f>
        <v>2</v>
      </c>
      <c r="F9" s="781"/>
    </row>
    <row r="10" spans="1:6" x14ac:dyDescent="0.25">
      <c r="A10" s="334">
        <f t="shared" ref="A10:A32" si="1">A9+1</f>
        <v>3</v>
      </c>
      <c r="B10" s="108">
        <f>'WP 7 Wheeling Revenues'!B13</f>
        <v>45962</v>
      </c>
      <c r="C10" s="31">
        <f>'WP 5 CAISO Charges'!D19</f>
        <v>-900277.63</v>
      </c>
      <c r="D10" s="23" t="str">
        <f>D8</f>
        <v>Work paper No. 5; Page 5.1 and 5.2; Line 13</v>
      </c>
      <c r="E10" s="335">
        <f t="shared" si="0"/>
        <v>3</v>
      </c>
    </row>
    <row r="11" spans="1:6" x14ac:dyDescent="0.25">
      <c r="A11" s="334">
        <f t="shared" si="1"/>
        <v>4</v>
      </c>
      <c r="B11" s="108"/>
      <c r="C11" s="31"/>
      <c r="D11" s="10"/>
      <c r="E11" s="335">
        <f t="shared" si="0"/>
        <v>4</v>
      </c>
    </row>
    <row r="12" spans="1:6" ht="16.5" thickBot="1" x14ac:dyDescent="0.3">
      <c r="A12" s="336">
        <f t="shared" si="1"/>
        <v>5</v>
      </c>
      <c r="B12" s="109">
        <f>'WP 7 Wheeling Revenues'!B15</f>
        <v>45992</v>
      </c>
      <c r="C12" s="58">
        <f>'WP 5 CAISO Charges'!E19</f>
        <v>-536462.12</v>
      </c>
      <c r="D12" s="645" t="str">
        <f>D8</f>
        <v>Work paper No. 5; Page 5.1 and 5.2; Line 13</v>
      </c>
      <c r="E12" s="339">
        <f t="shared" si="0"/>
        <v>5</v>
      </c>
    </row>
    <row r="13" spans="1:6" x14ac:dyDescent="0.25">
      <c r="A13" s="334">
        <f t="shared" si="1"/>
        <v>6</v>
      </c>
      <c r="B13" s="108"/>
      <c r="C13" s="31"/>
      <c r="D13" s="23"/>
      <c r="E13" s="335">
        <f t="shared" si="0"/>
        <v>6</v>
      </c>
    </row>
    <row r="14" spans="1:6" x14ac:dyDescent="0.25">
      <c r="A14" s="334">
        <f t="shared" si="1"/>
        <v>7</v>
      </c>
      <c r="B14" s="108">
        <f>'WP 7 Wheeling Revenues'!B17</f>
        <v>46023</v>
      </c>
      <c r="C14" s="31">
        <f>'WP 5 CAISO Charges'!F19</f>
        <v>-779714.78</v>
      </c>
      <c r="D14" s="23" t="str">
        <f>D8</f>
        <v>Work paper No. 5; Page 5.1 and 5.2; Line 13</v>
      </c>
      <c r="E14" s="335">
        <f t="shared" si="0"/>
        <v>7</v>
      </c>
    </row>
    <row r="15" spans="1:6" x14ac:dyDescent="0.25">
      <c r="A15" s="334">
        <f t="shared" si="1"/>
        <v>8</v>
      </c>
      <c r="B15" s="108"/>
      <c r="C15" s="31"/>
      <c r="D15" s="10"/>
      <c r="E15" s="335">
        <f t="shared" si="0"/>
        <v>8</v>
      </c>
    </row>
    <row r="16" spans="1:6" x14ac:dyDescent="0.25">
      <c r="A16" s="334">
        <f t="shared" si="1"/>
        <v>9</v>
      </c>
      <c r="B16" s="108">
        <f>'WP 7 Wheeling Revenues'!B19</f>
        <v>46054</v>
      </c>
      <c r="C16" s="31">
        <f>'WP 5 CAISO Charges'!G19</f>
        <v>-577687.06999999995</v>
      </c>
      <c r="D16" s="23" t="str">
        <f>D8</f>
        <v>Work paper No. 5; Page 5.1 and 5.2; Line 13</v>
      </c>
      <c r="E16" s="335">
        <f t="shared" si="0"/>
        <v>9</v>
      </c>
    </row>
    <row r="17" spans="1:5" x14ac:dyDescent="0.25">
      <c r="A17" s="334">
        <f t="shared" si="1"/>
        <v>10</v>
      </c>
      <c r="B17" s="108"/>
      <c r="C17" s="31"/>
      <c r="D17" s="10"/>
      <c r="E17" s="335">
        <f t="shared" si="0"/>
        <v>10</v>
      </c>
    </row>
    <row r="18" spans="1:5" ht="16.5" thickBot="1" x14ac:dyDescent="0.3">
      <c r="A18" s="336">
        <f t="shared" si="1"/>
        <v>11</v>
      </c>
      <c r="B18" s="109">
        <f>'WP 7 Wheeling Revenues'!B21</f>
        <v>46082</v>
      </c>
      <c r="C18" s="58">
        <f>'WP 5 CAISO Charges'!H19</f>
        <v>-679547.41999999993</v>
      </c>
      <c r="D18" s="645" t="str">
        <f>D8</f>
        <v>Work paper No. 5; Page 5.1 and 5.2; Line 13</v>
      </c>
      <c r="E18" s="339">
        <f t="shared" si="0"/>
        <v>11</v>
      </c>
    </row>
    <row r="19" spans="1:5" x14ac:dyDescent="0.25">
      <c r="A19" s="334">
        <f t="shared" si="1"/>
        <v>12</v>
      </c>
      <c r="B19" s="108"/>
      <c r="C19" s="31"/>
      <c r="D19" s="10"/>
      <c r="E19" s="335">
        <f t="shared" si="0"/>
        <v>12</v>
      </c>
    </row>
    <row r="20" spans="1:5" x14ac:dyDescent="0.25">
      <c r="A20" s="334">
        <f t="shared" si="1"/>
        <v>13</v>
      </c>
      <c r="B20" s="108">
        <f>'WP 7 Wheeling Revenues'!B23</f>
        <v>46113</v>
      </c>
      <c r="C20" s="31">
        <f>'WP 5 CAISO Charges'!I19</f>
        <v>-699836.77</v>
      </c>
      <c r="D20" s="23" t="str">
        <f>D8</f>
        <v>Work paper No. 5; Page 5.1 and 5.2; Line 13</v>
      </c>
      <c r="E20" s="335">
        <f t="shared" si="0"/>
        <v>13</v>
      </c>
    </row>
    <row r="21" spans="1:5" x14ac:dyDescent="0.25">
      <c r="A21" s="334">
        <f t="shared" si="1"/>
        <v>14</v>
      </c>
      <c r="B21" s="108"/>
      <c r="C21" s="31"/>
      <c r="D21" s="10"/>
      <c r="E21" s="335">
        <f t="shared" si="0"/>
        <v>14</v>
      </c>
    </row>
    <row r="22" spans="1:5" x14ac:dyDescent="0.25">
      <c r="A22" s="334">
        <f t="shared" si="1"/>
        <v>15</v>
      </c>
      <c r="B22" s="108">
        <f>'WP 7 Wheeling Revenues'!B25</f>
        <v>46143</v>
      </c>
      <c r="C22" s="31">
        <f>'WP 5 CAISO Charges'!J19</f>
        <v>-439932.23000000004</v>
      </c>
      <c r="D22" s="23" t="str">
        <f>D8</f>
        <v>Work paper No. 5; Page 5.1 and 5.2; Line 13</v>
      </c>
      <c r="E22" s="335">
        <f t="shared" si="0"/>
        <v>15</v>
      </c>
    </row>
    <row r="23" spans="1:5" x14ac:dyDescent="0.25">
      <c r="A23" s="334">
        <f t="shared" si="1"/>
        <v>16</v>
      </c>
      <c r="B23" s="108"/>
      <c r="C23" s="31"/>
      <c r="D23" s="10"/>
      <c r="E23" s="335">
        <f t="shared" si="0"/>
        <v>16</v>
      </c>
    </row>
    <row r="24" spans="1:5" ht="16.5" thickBot="1" x14ac:dyDescent="0.3">
      <c r="A24" s="336">
        <f t="shared" si="1"/>
        <v>17</v>
      </c>
      <c r="B24" s="109">
        <f>'WP 7 Wheeling Revenues'!B27</f>
        <v>46174</v>
      </c>
      <c r="C24" s="58">
        <f>'WP 5 CAISO Charges'!K19</f>
        <v>-420062.77</v>
      </c>
      <c r="D24" s="645" t="str">
        <f>D8</f>
        <v>Work paper No. 5; Page 5.1 and 5.2; Line 13</v>
      </c>
      <c r="E24" s="339">
        <f t="shared" si="0"/>
        <v>17</v>
      </c>
    </row>
    <row r="25" spans="1:5" x14ac:dyDescent="0.25">
      <c r="A25" s="334">
        <f t="shared" si="1"/>
        <v>18</v>
      </c>
      <c r="B25" s="108"/>
      <c r="C25" s="31"/>
      <c r="D25" s="10"/>
      <c r="E25" s="335">
        <f t="shared" si="0"/>
        <v>18</v>
      </c>
    </row>
    <row r="26" spans="1:5" x14ac:dyDescent="0.25">
      <c r="A26" s="334">
        <f t="shared" si="1"/>
        <v>19</v>
      </c>
      <c r="B26" s="108">
        <f>'WP 7 Wheeling Revenues'!B29</f>
        <v>46204</v>
      </c>
      <c r="C26" s="31">
        <f>'WP 5 CAISO Charges'!L19</f>
        <v>-524876.70000000007</v>
      </c>
      <c r="D26" s="23" t="str">
        <f>D8</f>
        <v>Work paper No. 5; Page 5.1 and 5.2; Line 13</v>
      </c>
      <c r="E26" s="335">
        <f t="shared" si="0"/>
        <v>19</v>
      </c>
    </row>
    <row r="27" spans="1:5" x14ac:dyDescent="0.25">
      <c r="A27" s="334">
        <f t="shared" si="1"/>
        <v>20</v>
      </c>
      <c r="B27" s="108"/>
      <c r="C27" s="31"/>
      <c r="D27" s="10"/>
      <c r="E27" s="335">
        <f t="shared" si="0"/>
        <v>20</v>
      </c>
    </row>
    <row r="28" spans="1:5" x14ac:dyDescent="0.25">
      <c r="A28" s="334">
        <f t="shared" si="1"/>
        <v>21</v>
      </c>
      <c r="B28" s="108">
        <f>'WP 7 Wheeling Revenues'!B31</f>
        <v>46235</v>
      </c>
      <c r="C28" s="31">
        <f>'WP 5 CAISO Charges'!M19</f>
        <v>-366317.38</v>
      </c>
      <c r="D28" s="23" t="str">
        <f>D8</f>
        <v>Work paper No. 5; Page 5.1 and 5.2; Line 13</v>
      </c>
      <c r="E28" s="335">
        <f t="shared" si="0"/>
        <v>21</v>
      </c>
    </row>
    <row r="29" spans="1:5" x14ac:dyDescent="0.25">
      <c r="A29" s="334">
        <f t="shared" si="1"/>
        <v>22</v>
      </c>
      <c r="B29" s="108"/>
      <c r="C29" s="31"/>
      <c r="D29" s="10"/>
      <c r="E29" s="335">
        <f t="shared" si="0"/>
        <v>22</v>
      </c>
    </row>
    <row r="30" spans="1:5" ht="16.5" thickBot="1" x14ac:dyDescent="0.3">
      <c r="A30" s="336">
        <f t="shared" si="1"/>
        <v>23</v>
      </c>
      <c r="B30" s="109">
        <f>'WP 7 Wheeling Revenues'!B33</f>
        <v>46266</v>
      </c>
      <c r="C30" s="82">
        <f>'WP 5 CAISO Charges'!N19</f>
        <v>-6450594.3975400003</v>
      </c>
      <c r="D30" s="645" t="str">
        <f>D8</f>
        <v>Work paper No. 5; Page 5.1 and 5.2; Line 13</v>
      </c>
      <c r="E30" s="339">
        <f t="shared" si="0"/>
        <v>23</v>
      </c>
    </row>
    <row r="31" spans="1:5" x14ac:dyDescent="0.25">
      <c r="A31" s="334">
        <f t="shared" si="1"/>
        <v>24</v>
      </c>
      <c r="B31" s="108"/>
      <c r="C31" s="44"/>
      <c r="D31" s="23"/>
      <c r="E31" s="335">
        <f t="shared" si="0"/>
        <v>24</v>
      </c>
    </row>
    <row r="32" spans="1:5" ht="16.5" thickBot="1" x14ac:dyDescent="0.3">
      <c r="A32" s="334">
        <f t="shared" si="1"/>
        <v>25</v>
      </c>
      <c r="B32" s="132" t="s">
        <v>385</v>
      </c>
      <c r="C32" s="73">
        <f>SUM(C8:C30)</f>
        <v>-12802804.057539999</v>
      </c>
      <c r="D32" s="29" t="s">
        <v>386</v>
      </c>
      <c r="E32" s="335">
        <f t="shared" si="0"/>
        <v>25</v>
      </c>
    </row>
    <row r="33" spans="1:5" ht="16.5" thickTop="1" x14ac:dyDescent="0.25">
      <c r="A33" s="334">
        <f>A32+1</f>
        <v>26</v>
      </c>
      <c r="B33" s="677"/>
      <c r="C33" s="19"/>
      <c r="D33" s="678"/>
      <c r="E33" s="335">
        <f t="shared" si="0"/>
        <v>26</v>
      </c>
    </row>
    <row r="34" spans="1:5" ht="34.35" customHeight="1" thickBot="1" x14ac:dyDescent="0.3">
      <c r="A34" s="667">
        <f>A33+1</f>
        <v>27</v>
      </c>
      <c r="B34" s="674" t="s">
        <v>445</v>
      </c>
      <c r="C34" s="192">
        <f>C32</f>
        <v>-12802804.057539999</v>
      </c>
      <c r="D34" s="29" t="s">
        <v>388</v>
      </c>
      <c r="E34" s="669">
        <f>E33+1</f>
        <v>27</v>
      </c>
    </row>
    <row r="35" spans="1:5" ht="17.25" thickTop="1" thickBot="1" x14ac:dyDescent="0.3">
      <c r="A35" s="336">
        <f>A34+1</f>
        <v>28</v>
      </c>
      <c r="B35" s="337"/>
      <c r="C35" s="782"/>
      <c r="D35" s="679"/>
      <c r="E35" s="339">
        <f>E34+1</f>
        <v>28</v>
      </c>
    </row>
    <row r="36" spans="1:5" x14ac:dyDescent="0.25">
      <c r="B36" s="333"/>
      <c r="C36" s="72"/>
    </row>
    <row r="37" spans="1:5" ht="18.75" x14ac:dyDescent="0.25">
      <c r="A37" s="675"/>
      <c r="B37" s="107"/>
      <c r="C37" s="133"/>
      <c r="D37" s="133"/>
    </row>
    <row r="38" spans="1:5" x14ac:dyDescent="0.25">
      <c r="B38" s="133"/>
      <c r="C38" s="133"/>
      <c r="D38" s="133"/>
    </row>
    <row r="39" spans="1:5" x14ac:dyDescent="0.25">
      <c r="B39" s="133"/>
      <c r="C39" s="133"/>
      <c r="D39" s="133"/>
    </row>
    <row r="40" spans="1:5" x14ac:dyDescent="0.25">
      <c r="A40" s="415"/>
      <c r="B40" s="316"/>
      <c r="C40" s="133"/>
      <c r="D40" s="133"/>
    </row>
    <row r="41" spans="1:5" x14ac:dyDescent="0.25">
      <c r="B41" s="193"/>
      <c r="C41" s="133"/>
      <c r="D41" s="133"/>
    </row>
    <row r="42" spans="1:5" x14ac:dyDescent="0.25">
      <c r="B42" s="193"/>
      <c r="C42" s="133"/>
      <c r="D42" s="133"/>
    </row>
    <row r="43" spans="1:5" x14ac:dyDescent="0.25">
      <c r="B43" s="193"/>
      <c r="C43" s="133"/>
      <c r="D43" s="133"/>
    </row>
    <row r="44" spans="1:5" x14ac:dyDescent="0.25">
      <c r="B44" s="316"/>
      <c r="C44" s="133"/>
      <c r="D44" s="133"/>
    </row>
    <row r="45" spans="1:5" x14ac:dyDescent="0.25">
      <c r="B45" s="133"/>
      <c r="C45" s="133"/>
      <c r="D45" s="133"/>
    </row>
    <row r="46" spans="1:5" x14ac:dyDescent="0.25">
      <c r="B46" s="315"/>
      <c r="C46" s="133"/>
      <c r="D46" s="133"/>
    </row>
    <row r="47" spans="1:5" x14ac:dyDescent="0.25">
      <c r="B47" s="193"/>
      <c r="C47" s="133"/>
      <c r="D47" s="133"/>
    </row>
    <row r="48" spans="1:5" x14ac:dyDescent="0.25">
      <c r="B48" s="133"/>
      <c r="C48" s="133"/>
      <c r="D48" s="133"/>
    </row>
  </sheetData>
  <mergeCells count="3">
    <mergeCell ref="A2:E2"/>
    <mergeCell ref="A3:E3"/>
    <mergeCell ref="A4:E4"/>
  </mergeCells>
  <printOptions horizontalCentered="1"/>
  <pageMargins left="0" right="0" top="0.5" bottom="0.75" header="0.25" footer="0.25"/>
  <pageSetup scale="90" orientation="landscape" r:id="rId1"/>
  <headerFooter alignWithMargins="0">
    <oddFooter>&amp;L&amp;"Times New Roman,Regular"&amp;12&amp;F&amp;C&amp;"Times New Roman,Regular"&amp;12Page 11.1&amp;R&amp;"Times New Roman,Regular"&amp;12&amp;A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S53"/>
  <sheetViews>
    <sheetView topLeftCell="A2" zoomScale="80" zoomScaleNormal="80" zoomScaleSheetLayoutView="75" workbookViewId="0">
      <selection activeCell="L36" sqref="L36"/>
    </sheetView>
  </sheetViews>
  <sheetFormatPr defaultColWidth="9.42578125" defaultRowHeight="12.75" x14ac:dyDescent="0.2"/>
  <cols>
    <col min="1" max="1" width="6.7109375" style="242" customWidth="1"/>
    <col min="2" max="2" width="12.28515625" style="242" bestFit="1" customWidth="1"/>
    <col min="3" max="3" width="61.7109375" style="242" customWidth="1"/>
    <col min="4" max="9" width="14.140625" style="373" customWidth="1"/>
    <col min="10" max="10" width="12.5703125" style="373" customWidth="1"/>
    <col min="11" max="11" width="13.42578125" style="373" customWidth="1"/>
    <col min="12" max="13" width="13.140625" style="373" customWidth="1"/>
    <col min="14" max="14" width="13.85546875" style="373" customWidth="1"/>
    <col min="15" max="16" width="16.42578125" style="373" bestFit="1" customWidth="1"/>
    <col min="17" max="17" width="5.140625" style="242" bestFit="1" customWidth="1"/>
    <col min="18" max="18" width="2.5703125" style="242" bestFit="1" customWidth="1"/>
    <col min="19" max="16384" width="9.42578125" style="242"/>
  </cols>
  <sheetData>
    <row r="2" spans="1:18" ht="16.5" thickBot="1" x14ac:dyDescent="0.3">
      <c r="A2" s="55"/>
      <c r="B2" s="30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55"/>
    </row>
    <row r="3" spans="1:18" ht="38.85" customHeight="1" thickBot="1" x14ac:dyDescent="0.35">
      <c r="A3" s="314" t="s">
        <v>63</v>
      </c>
      <c r="B3" s="314" t="s">
        <v>400</v>
      </c>
      <c r="C3" s="536" t="s">
        <v>446</v>
      </c>
      <c r="D3" s="367">
        <f>'WP 10 ETC Costs'!D3</f>
        <v>45931</v>
      </c>
      <c r="E3" s="366">
        <f>'WP 10 ETC Costs'!E3</f>
        <v>45962</v>
      </c>
      <c r="F3" s="368">
        <f>'WP 10 ETC Costs'!F3</f>
        <v>45992</v>
      </c>
      <c r="G3" s="367">
        <f>'WP 10 ETC Costs'!G3</f>
        <v>46023</v>
      </c>
      <c r="H3" s="366">
        <f>'WP 10 ETC Costs'!H3</f>
        <v>46054</v>
      </c>
      <c r="I3" s="368">
        <f>'WP 10 ETC Costs'!I3</f>
        <v>46082</v>
      </c>
      <c r="J3" s="367">
        <f>'WP 10 ETC Costs'!J3</f>
        <v>46113</v>
      </c>
      <c r="K3" s="366">
        <f>'WP 10 ETC Costs'!K3</f>
        <v>46143</v>
      </c>
      <c r="L3" s="368">
        <f>'WP 10 ETC Costs'!L3</f>
        <v>46174</v>
      </c>
      <c r="M3" s="365">
        <f>'WP 10 ETC Costs'!M3</f>
        <v>46204</v>
      </c>
      <c r="N3" s="366">
        <f>'WP 10 ETC Costs'!N3</f>
        <v>46235</v>
      </c>
      <c r="O3" s="365">
        <f>'WP 10 ETC Costs'!O3</f>
        <v>46266</v>
      </c>
      <c r="P3" s="380" t="s">
        <v>17</v>
      </c>
      <c r="Q3" s="461" t="s">
        <v>63</v>
      </c>
    </row>
    <row r="4" spans="1:18" ht="15.75" x14ac:dyDescent="0.25">
      <c r="A4" s="313"/>
      <c r="B4" s="313"/>
      <c r="C4" s="778"/>
      <c r="D4" s="370"/>
      <c r="E4" s="369"/>
      <c r="F4" s="714"/>
      <c r="G4" s="370"/>
      <c r="H4" s="369"/>
      <c r="I4" s="714"/>
      <c r="J4" s="370"/>
      <c r="K4" s="369"/>
      <c r="L4" s="714"/>
      <c r="M4" s="535"/>
      <c r="N4" s="369"/>
      <c r="O4" s="535"/>
      <c r="P4" s="464"/>
      <c r="Q4" s="462"/>
      <c r="R4" s="3"/>
    </row>
    <row r="5" spans="1:18" ht="15.75" x14ac:dyDescent="0.25">
      <c r="A5" s="728">
        <f>A4+1</f>
        <v>1</v>
      </c>
      <c r="B5" s="728">
        <v>1592</v>
      </c>
      <c r="C5" s="881" t="s">
        <v>402</v>
      </c>
      <c r="D5" s="730">
        <v>0</v>
      </c>
      <c r="E5" s="731">
        <v>0</v>
      </c>
      <c r="F5" s="732">
        <v>0</v>
      </c>
      <c r="G5" s="730">
        <v>0</v>
      </c>
      <c r="H5" s="731">
        <v>0</v>
      </c>
      <c r="I5" s="732">
        <v>0</v>
      </c>
      <c r="J5" s="730">
        <v>0</v>
      </c>
      <c r="K5" s="731">
        <v>0</v>
      </c>
      <c r="L5" s="732">
        <v>0</v>
      </c>
      <c r="M5" s="733">
        <v>0</v>
      </c>
      <c r="N5" s="731">
        <v>0</v>
      </c>
      <c r="O5" s="733">
        <v>0</v>
      </c>
      <c r="P5" s="734">
        <f>SUM(D5:O5)</f>
        <v>0</v>
      </c>
      <c r="Q5" s="729">
        <f>A5</f>
        <v>1</v>
      </c>
      <c r="R5" s="3"/>
    </row>
    <row r="6" spans="1:18" ht="15.75" x14ac:dyDescent="0.25">
      <c r="A6" s="728">
        <f>A5+1</f>
        <v>2</v>
      </c>
      <c r="B6" s="728"/>
      <c r="C6" s="882"/>
      <c r="D6" s="370"/>
      <c r="E6" s="369"/>
      <c r="F6" s="714"/>
      <c r="G6" s="370"/>
      <c r="H6" s="369"/>
      <c r="I6" s="714"/>
      <c r="J6" s="370"/>
      <c r="K6" s="369"/>
      <c r="L6" s="714"/>
      <c r="M6" s="535"/>
      <c r="N6" s="369"/>
      <c r="O6" s="535"/>
      <c r="P6" s="464"/>
      <c r="Q6" s="729">
        <f t="shared" ref="Q6:Q17" si="0">A6</f>
        <v>2</v>
      </c>
      <c r="R6" s="3"/>
    </row>
    <row r="7" spans="1:18" ht="15.75" x14ac:dyDescent="0.25">
      <c r="A7" s="728">
        <f t="shared" ref="A7:A23" si="1">A6+1</f>
        <v>3</v>
      </c>
      <c r="B7" s="120">
        <v>7989</v>
      </c>
      <c r="C7" s="22" t="s">
        <v>416</v>
      </c>
      <c r="D7" s="117">
        <v>-427494.79</v>
      </c>
      <c r="E7" s="44">
        <v>-900488.5</v>
      </c>
      <c r="F7" s="119">
        <v>-536462.12</v>
      </c>
      <c r="G7" s="117">
        <v>-779714.78</v>
      </c>
      <c r="H7" s="44">
        <v>-577687.06999999995</v>
      </c>
      <c r="I7" s="119">
        <v>-684166.08</v>
      </c>
      <c r="J7" s="117">
        <v>-713175.76</v>
      </c>
      <c r="K7" s="44">
        <v>-444459.14</v>
      </c>
      <c r="L7" s="119">
        <v>-420062.77</v>
      </c>
      <c r="M7" s="93">
        <v>-524870.56000000006</v>
      </c>
      <c r="N7" s="44">
        <v>-368401.24</v>
      </c>
      <c r="O7" s="93">
        <v>-369860.45</v>
      </c>
      <c r="P7" s="148">
        <f>SUM(D7:O7)</f>
        <v>-6746843.2600000007</v>
      </c>
      <c r="Q7" s="729">
        <f t="shared" si="0"/>
        <v>3</v>
      </c>
    </row>
    <row r="8" spans="1:18" ht="15.75" x14ac:dyDescent="0.25">
      <c r="A8" s="728">
        <f t="shared" si="1"/>
        <v>4</v>
      </c>
      <c r="B8" s="120"/>
      <c r="C8" s="22"/>
      <c r="D8" s="350"/>
      <c r="E8" s="141"/>
      <c r="F8" s="328"/>
      <c r="G8" s="350"/>
      <c r="H8" s="141"/>
      <c r="I8" s="328"/>
      <c r="J8" s="350"/>
      <c r="K8" s="141"/>
      <c r="L8" s="328"/>
      <c r="M8" s="327"/>
      <c r="N8" s="141"/>
      <c r="O8" s="327"/>
      <c r="P8" s="465"/>
      <c r="Q8" s="729">
        <f t="shared" si="0"/>
        <v>4</v>
      </c>
    </row>
    <row r="9" spans="1:18" ht="15.75" x14ac:dyDescent="0.25">
      <c r="A9" s="728">
        <f t="shared" si="1"/>
        <v>5</v>
      </c>
      <c r="B9" s="120">
        <v>7999</v>
      </c>
      <c r="C9" s="22" t="s">
        <v>439</v>
      </c>
      <c r="D9" s="117">
        <v>0</v>
      </c>
      <c r="E9" s="44">
        <v>210.87</v>
      </c>
      <c r="F9" s="119">
        <v>0</v>
      </c>
      <c r="G9" s="117">
        <v>0</v>
      </c>
      <c r="H9" s="44">
        <v>0</v>
      </c>
      <c r="I9" s="119">
        <v>4618.66</v>
      </c>
      <c r="J9" s="117">
        <v>13338.99</v>
      </c>
      <c r="K9" s="44">
        <v>4526.91</v>
      </c>
      <c r="L9" s="119">
        <v>0</v>
      </c>
      <c r="M9" s="93">
        <v>0</v>
      </c>
      <c r="N9" s="44">
        <v>2083.86</v>
      </c>
      <c r="O9" s="93">
        <v>43324.58</v>
      </c>
      <c r="P9" s="148">
        <f>SUM(D9:O9)</f>
        <v>68103.87</v>
      </c>
      <c r="Q9" s="729">
        <f t="shared" si="0"/>
        <v>5</v>
      </c>
      <c r="R9" s="22"/>
    </row>
    <row r="10" spans="1:18" ht="15.75" x14ac:dyDescent="0.25">
      <c r="A10" s="728">
        <f t="shared" si="1"/>
        <v>6</v>
      </c>
      <c r="B10" s="120"/>
      <c r="C10" s="22"/>
      <c r="D10" s="117"/>
      <c r="E10" s="44"/>
      <c r="F10" s="119"/>
      <c r="G10" s="117"/>
      <c r="H10" s="44"/>
      <c r="I10" s="119"/>
      <c r="J10" s="117"/>
      <c r="K10" s="44"/>
      <c r="L10" s="119"/>
      <c r="M10" s="93"/>
      <c r="N10" s="44"/>
      <c r="O10" s="966" t="s">
        <v>447</v>
      </c>
      <c r="P10" s="148"/>
      <c r="Q10" s="729">
        <f t="shared" si="0"/>
        <v>6</v>
      </c>
      <c r="R10" s="22"/>
    </row>
    <row r="11" spans="1:18" ht="15.75" x14ac:dyDescent="0.25">
      <c r="A11" s="728">
        <f t="shared" si="1"/>
        <v>7</v>
      </c>
      <c r="B11" s="120">
        <v>8526</v>
      </c>
      <c r="C11" s="22" t="s">
        <v>417</v>
      </c>
      <c r="D11" s="117">
        <v>0</v>
      </c>
      <c r="E11" s="44">
        <v>0</v>
      </c>
      <c r="F11" s="119">
        <v>0</v>
      </c>
      <c r="G11" s="117">
        <v>0</v>
      </c>
      <c r="H11" s="44">
        <v>0</v>
      </c>
      <c r="I11" s="119">
        <v>0</v>
      </c>
      <c r="J11" s="117">
        <v>0</v>
      </c>
      <c r="K11" s="44">
        <v>0</v>
      </c>
      <c r="L11" s="119">
        <v>0</v>
      </c>
      <c r="M11" s="93">
        <v>-6.14</v>
      </c>
      <c r="N11" s="44">
        <v>0</v>
      </c>
      <c r="O11" s="93">
        <v>-6124058.5275400002</v>
      </c>
      <c r="P11" s="148">
        <f>SUM(D11:O11)</f>
        <v>-6124064.6675399998</v>
      </c>
      <c r="Q11" s="729">
        <f t="shared" si="0"/>
        <v>7</v>
      </c>
      <c r="R11" s="22"/>
    </row>
    <row r="12" spans="1:18" ht="15.75" x14ac:dyDescent="0.25">
      <c r="A12" s="728">
        <f t="shared" si="1"/>
        <v>8</v>
      </c>
      <c r="B12" s="120"/>
      <c r="C12" s="22"/>
      <c r="D12" s="117"/>
      <c r="E12" s="44"/>
      <c r="F12" s="119"/>
      <c r="G12" s="117"/>
      <c r="H12" s="44"/>
      <c r="I12" s="119"/>
      <c r="J12" s="117"/>
      <c r="K12" s="44"/>
      <c r="L12" s="119"/>
      <c r="M12" s="93"/>
      <c r="N12" s="44"/>
      <c r="O12" s="93"/>
      <c r="P12" s="148"/>
      <c r="Q12" s="729">
        <f t="shared" si="0"/>
        <v>8</v>
      </c>
      <c r="R12" s="22"/>
    </row>
    <row r="13" spans="1:18" ht="15.75" x14ac:dyDescent="0.25">
      <c r="A13" s="728">
        <f t="shared" si="1"/>
        <v>9</v>
      </c>
      <c r="B13" s="120">
        <v>8989</v>
      </c>
      <c r="C13" s="22" t="s">
        <v>449</v>
      </c>
      <c r="D13" s="117">
        <v>0</v>
      </c>
      <c r="E13" s="44">
        <v>0</v>
      </c>
      <c r="F13" s="119">
        <v>0</v>
      </c>
      <c r="G13" s="117">
        <v>0</v>
      </c>
      <c r="H13" s="44">
        <v>0</v>
      </c>
      <c r="I13" s="119">
        <v>0</v>
      </c>
      <c r="J13" s="117">
        <v>0</v>
      </c>
      <c r="K13" s="44">
        <v>0</v>
      </c>
      <c r="L13" s="119">
        <v>0</v>
      </c>
      <c r="M13" s="93">
        <v>0</v>
      </c>
      <c r="N13" s="44">
        <v>0</v>
      </c>
      <c r="O13" s="93">
        <v>0</v>
      </c>
      <c r="P13" s="148">
        <f>SUM(D13:O13)</f>
        <v>0</v>
      </c>
      <c r="Q13" s="729">
        <f t="shared" si="0"/>
        <v>9</v>
      </c>
      <c r="R13" s="22"/>
    </row>
    <row r="14" spans="1:18" ht="15.75" x14ac:dyDescent="0.25">
      <c r="A14" s="728">
        <f t="shared" si="1"/>
        <v>10</v>
      </c>
      <c r="B14" s="120"/>
      <c r="C14" s="22"/>
      <c r="D14" s="117"/>
      <c r="E14" s="44"/>
      <c r="F14" s="119"/>
      <c r="G14" s="117"/>
      <c r="H14" s="44"/>
      <c r="I14" s="119"/>
      <c r="J14" s="117"/>
      <c r="K14" s="44"/>
      <c r="L14" s="119"/>
      <c r="M14" s="93"/>
      <c r="N14" s="44"/>
      <c r="O14" s="93"/>
      <c r="P14" s="148"/>
      <c r="Q14" s="729">
        <f t="shared" si="0"/>
        <v>10</v>
      </c>
      <c r="R14" s="22"/>
    </row>
    <row r="15" spans="1:18" ht="15.75" x14ac:dyDescent="0.25">
      <c r="A15" s="728">
        <f t="shared" si="1"/>
        <v>11</v>
      </c>
      <c r="B15" s="120">
        <v>8999</v>
      </c>
      <c r="C15" s="22" t="s">
        <v>448</v>
      </c>
      <c r="D15" s="117">
        <v>0</v>
      </c>
      <c r="E15" s="44">
        <v>0</v>
      </c>
      <c r="F15" s="119">
        <v>0</v>
      </c>
      <c r="G15" s="117">
        <v>0</v>
      </c>
      <c r="H15" s="44">
        <v>0</v>
      </c>
      <c r="I15" s="119">
        <v>0</v>
      </c>
      <c r="J15" s="117">
        <v>0</v>
      </c>
      <c r="K15" s="44">
        <v>0</v>
      </c>
      <c r="L15" s="119">
        <v>0</v>
      </c>
      <c r="M15" s="93">
        <v>0</v>
      </c>
      <c r="N15" s="44"/>
      <c r="O15" s="93">
        <v>0</v>
      </c>
      <c r="P15" s="148">
        <f>SUM(D15:O15)</f>
        <v>0</v>
      </c>
      <c r="Q15" s="729">
        <f t="shared" si="0"/>
        <v>11</v>
      </c>
      <c r="R15" s="22"/>
    </row>
    <row r="16" spans="1:18" ht="15.75" x14ac:dyDescent="0.25">
      <c r="A16" s="728">
        <f t="shared" si="1"/>
        <v>12</v>
      </c>
      <c r="B16" s="120"/>
      <c r="C16" s="22"/>
      <c r="D16" s="482"/>
      <c r="E16" s="475"/>
      <c r="F16" s="483"/>
      <c r="G16" s="482"/>
      <c r="H16" s="475"/>
      <c r="I16" s="483"/>
      <c r="J16" s="482"/>
      <c r="K16" s="475"/>
      <c r="L16" s="483"/>
      <c r="M16" s="484"/>
      <c r="N16" s="475"/>
      <c r="O16" s="484"/>
      <c r="P16" s="486"/>
      <c r="Q16" s="729">
        <f t="shared" si="0"/>
        <v>12</v>
      </c>
      <c r="R16" s="22"/>
    </row>
    <row r="17" spans="1:19" ht="16.5" thickBot="1" x14ac:dyDescent="0.3">
      <c r="A17" s="728">
        <f t="shared" si="1"/>
        <v>13</v>
      </c>
      <c r="B17" s="186"/>
      <c r="C17" s="3" t="s">
        <v>440</v>
      </c>
      <c r="D17" s="488">
        <f t="shared" ref="D17:P17" si="2">SUM(D5:D15)</f>
        <v>-427494.79</v>
      </c>
      <c r="E17" s="192">
        <f t="shared" si="2"/>
        <v>-900277.63</v>
      </c>
      <c r="F17" s="485">
        <f t="shared" si="2"/>
        <v>-536462.12</v>
      </c>
      <c r="G17" s="488">
        <f t="shared" si="2"/>
        <v>-779714.78</v>
      </c>
      <c r="H17" s="192">
        <f t="shared" si="2"/>
        <v>-577687.06999999995</v>
      </c>
      <c r="I17" s="489">
        <f t="shared" si="2"/>
        <v>-679547.41999999993</v>
      </c>
      <c r="J17" s="488">
        <f t="shared" si="2"/>
        <v>-699836.77</v>
      </c>
      <c r="K17" s="192">
        <f t="shared" si="2"/>
        <v>-439932.23000000004</v>
      </c>
      <c r="L17" s="489">
        <f t="shared" si="2"/>
        <v>-420062.77</v>
      </c>
      <c r="M17" s="488">
        <f t="shared" si="2"/>
        <v>-524876.70000000007</v>
      </c>
      <c r="N17" s="192">
        <f t="shared" si="2"/>
        <v>-366317.38</v>
      </c>
      <c r="O17" s="485">
        <f t="shared" si="2"/>
        <v>-6450594.3975400003</v>
      </c>
      <c r="P17" s="487">
        <f t="shared" si="2"/>
        <v>-12802804.057539999</v>
      </c>
      <c r="Q17" s="729">
        <f t="shared" si="0"/>
        <v>13</v>
      </c>
      <c r="R17" s="22"/>
    </row>
    <row r="18" spans="1:19" ht="17.25" thickTop="1" thickBot="1" x14ac:dyDescent="0.3">
      <c r="A18" s="121">
        <f t="shared" si="1"/>
        <v>14</v>
      </c>
      <c r="B18" s="126"/>
      <c r="C18" s="850"/>
      <c r="D18" s="323"/>
      <c r="E18" s="318"/>
      <c r="F18" s="450"/>
      <c r="G18" s="449"/>
      <c r="H18" s="318"/>
      <c r="I18" s="450"/>
      <c r="J18" s="449"/>
      <c r="K18" s="318"/>
      <c r="L18" s="450"/>
      <c r="M18" s="317"/>
      <c r="N18" s="318"/>
      <c r="O18" s="317"/>
      <c r="P18" s="451"/>
      <c r="Q18" s="463">
        <f t="shared" ref="Q18:Q23" si="3">Q17+1</f>
        <v>14</v>
      </c>
      <c r="R18" s="22"/>
      <c r="S18" s="372"/>
    </row>
    <row r="19" spans="1:19" ht="15.75" x14ac:dyDescent="0.25">
      <c r="A19" s="150">
        <f t="shared" si="1"/>
        <v>15</v>
      </c>
      <c r="B19" s="246"/>
      <c r="C19" s="883"/>
      <c r="D19" s="311"/>
      <c r="E19" s="310"/>
      <c r="F19" s="312"/>
      <c r="G19" s="525"/>
      <c r="H19" s="303"/>
      <c r="I19" s="524"/>
      <c r="J19" s="311"/>
      <c r="K19" s="310"/>
      <c r="L19" s="312"/>
      <c r="M19" s="311"/>
      <c r="N19" s="310"/>
      <c r="O19" s="312"/>
      <c r="P19" s="716"/>
      <c r="Q19" s="459">
        <f t="shared" si="3"/>
        <v>15</v>
      </c>
      <c r="R19" s="22"/>
      <c r="S19" s="372"/>
    </row>
    <row r="20" spans="1:19" s="779" customFormat="1" ht="31.5" x14ac:dyDescent="0.2">
      <c r="A20" s="884">
        <f t="shared" si="1"/>
        <v>16</v>
      </c>
      <c r="B20" s="374"/>
      <c r="C20" s="885" t="s">
        <v>450</v>
      </c>
      <c r="D20" s="375">
        <f t="shared" ref="D20:O20" si="4">D17</f>
        <v>-427494.79</v>
      </c>
      <c r="E20" s="357">
        <f t="shared" si="4"/>
        <v>-900277.63</v>
      </c>
      <c r="F20" s="376">
        <f t="shared" si="4"/>
        <v>-536462.12</v>
      </c>
      <c r="G20" s="375">
        <f t="shared" si="4"/>
        <v>-779714.78</v>
      </c>
      <c r="H20" s="357">
        <f t="shared" si="4"/>
        <v>-577687.06999999995</v>
      </c>
      <c r="I20" s="376">
        <f t="shared" si="4"/>
        <v>-679547.41999999993</v>
      </c>
      <c r="J20" s="375">
        <f t="shared" si="4"/>
        <v>-699836.77</v>
      </c>
      <c r="K20" s="357">
        <f t="shared" si="4"/>
        <v>-439932.23000000004</v>
      </c>
      <c r="L20" s="376">
        <f t="shared" si="4"/>
        <v>-420062.77</v>
      </c>
      <c r="M20" s="375">
        <f t="shared" si="4"/>
        <v>-524876.70000000007</v>
      </c>
      <c r="N20" s="357">
        <f t="shared" si="4"/>
        <v>-366317.38</v>
      </c>
      <c r="O20" s="376">
        <f t="shared" si="4"/>
        <v>-6450594.3975400003</v>
      </c>
      <c r="P20" s="840">
        <f>P17</f>
        <v>-12802804.057539999</v>
      </c>
      <c r="Q20" s="839">
        <f t="shared" si="3"/>
        <v>16</v>
      </c>
      <c r="R20" s="371"/>
    </row>
    <row r="21" spans="1:19" ht="15.75" x14ac:dyDescent="0.25">
      <c r="A21" s="120">
        <f t="shared" si="1"/>
        <v>17</v>
      </c>
      <c r="B21" s="125"/>
      <c r="C21" s="219" t="s">
        <v>451</v>
      </c>
      <c r="D21" s="363">
        <f>'WP 4 Monthly TRBAA '!C20</f>
        <v>-427494.79</v>
      </c>
      <c r="E21" s="154">
        <f>'WP 4 Monthly TRBAA '!D20</f>
        <v>-900277.63</v>
      </c>
      <c r="F21" s="364">
        <f>'WP 4 Monthly TRBAA '!E20</f>
        <v>-536462.12</v>
      </c>
      <c r="G21" s="363">
        <f>'WP 4 Monthly TRBAA '!F20</f>
        <v>-779714.78</v>
      </c>
      <c r="H21" s="154">
        <f>'WP 4 Monthly TRBAA '!G20</f>
        <v>-577687.06999999995</v>
      </c>
      <c r="I21" s="364">
        <f>'WP 4 Monthly TRBAA '!H20</f>
        <v>-679547.41999999993</v>
      </c>
      <c r="J21" s="363">
        <f>'WP 4 Monthly TRBAA '!I20</f>
        <v>-699836.77</v>
      </c>
      <c r="K21" s="154">
        <f>'WP 4 Monthly TRBAA '!J20</f>
        <v>-439932.23000000004</v>
      </c>
      <c r="L21" s="364">
        <f>'WP 4 Monthly TRBAA '!K20</f>
        <v>-420062.77</v>
      </c>
      <c r="M21" s="363">
        <f>'WP 4 Monthly TRBAA '!L20</f>
        <v>-524876.70000000007</v>
      </c>
      <c r="N21" s="154">
        <f>'WP 4 Monthly TRBAA '!M20</f>
        <v>-366317.38</v>
      </c>
      <c r="O21" s="364">
        <f>'WP 4 Monthly TRBAA '!N20</f>
        <v>-6450594.3975400003</v>
      </c>
      <c r="P21" s="718">
        <f>'WP 4 Monthly TRBAA '!O20</f>
        <v>-12802804.057539999</v>
      </c>
      <c r="Q21" s="349">
        <f t="shared" si="3"/>
        <v>17</v>
      </c>
      <c r="R21" s="22"/>
    </row>
    <row r="22" spans="1:19" ht="16.5" thickBot="1" x14ac:dyDescent="0.3">
      <c r="A22" s="120">
        <f t="shared" si="1"/>
        <v>18</v>
      </c>
      <c r="B22" s="125"/>
      <c r="C22" s="219" t="s">
        <v>69</v>
      </c>
      <c r="D22" s="320">
        <f>D20-D21</f>
        <v>0</v>
      </c>
      <c r="E22" s="319">
        <f t="shared" ref="E22:P22" si="5">E20-E21</f>
        <v>0</v>
      </c>
      <c r="F22" s="322">
        <f t="shared" si="5"/>
        <v>0</v>
      </c>
      <c r="G22" s="320">
        <f t="shared" si="5"/>
        <v>0</v>
      </c>
      <c r="H22" s="155">
        <f t="shared" si="5"/>
        <v>0</v>
      </c>
      <c r="I22" s="321">
        <f t="shared" si="5"/>
        <v>0</v>
      </c>
      <c r="J22" s="320">
        <f t="shared" si="5"/>
        <v>0</v>
      </c>
      <c r="K22" s="155">
        <f t="shared" si="5"/>
        <v>0</v>
      </c>
      <c r="L22" s="321">
        <f t="shared" si="5"/>
        <v>0</v>
      </c>
      <c r="M22" s="320">
        <f t="shared" si="5"/>
        <v>0</v>
      </c>
      <c r="N22" s="155">
        <f t="shared" si="5"/>
        <v>0</v>
      </c>
      <c r="O22" s="321">
        <f t="shared" si="5"/>
        <v>0</v>
      </c>
      <c r="P22" s="719">
        <f t="shared" si="5"/>
        <v>0</v>
      </c>
      <c r="Q22" s="349">
        <f t="shared" si="3"/>
        <v>18</v>
      </c>
      <c r="R22" s="22"/>
    </row>
    <row r="23" spans="1:19" ht="17.25" thickTop="1" thickBot="1" x14ac:dyDescent="0.3">
      <c r="A23" s="121">
        <f t="shared" si="1"/>
        <v>19</v>
      </c>
      <c r="B23" s="126"/>
      <c r="C23" s="212"/>
      <c r="D23" s="323"/>
      <c r="E23" s="304"/>
      <c r="F23" s="128"/>
      <c r="G23" s="127"/>
      <c r="H23" s="304"/>
      <c r="I23" s="128"/>
      <c r="J23" s="127"/>
      <c r="K23" s="304"/>
      <c r="L23" s="128"/>
      <c r="M23" s="127"/>
      <c r="N23" s="304"/>
      <c r="O23" s="128"/>
      <c r="P23" s="720"/>
      <c r="Q23" s="463">
        <f t="shared" si="3"/>
        <v>19</v>
      </c>
      <c r="R23" s="22"/>
    </row>
    <row r="24" spans="1:19" ht="15.75" x14ac:dyDescent="0.25">
      <c r="B24" s="22"/>
      <c r="C24" s="22"/>
      <c r="D24" s="78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40"/>
    </row>
    <row r="25" spans="1:19" ht="33" customHeight="1" x14ac:dyDescent="0.25">
      <c r="A25" s="381" t="s">
        <v>393</v>
      </c>
      <c r="B25" s="986" t="s">
        <v>452</v>
      </c>
      <c r="C25" s="986"/>
      <c r="D25" s="986"/>
      <c r="E25" s="986"/>
      <c r="F25" s="986"/>
      <c r="G25" s="986"/>
      <c r="H25" s="986"/>
      <c r="I25" s="986"/>
      <c r="J25" s="986"/>
      <c r="K25" s="306"/>
      <c r="L25" s="306"/>
      <c r="M25" s="306"/>
      <c r="N25" s="306"/>
      <c r="O25" s="306"/>
      <c r="P25" s="151"/>
    </row>
    <row r="26" spans="1:19" ht="15.75" x14ac:dyDescent="0.25">
      <c r="B26" s="22"/>
      <c r="C26" s="22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</row>
    <row r="27" spans="1:19" ht="51.6" customHeight="1" x14ac:dyDescent="0.2">
      <c r="A27" s="886" t="s">
        <v>447</v>
      </c>
      <c r="B27" s="986" t="s">
        <v>527</v>
      </c>
      <c r="C27" s="986"/>
      <c r="D27" s="986"/>
      <c r="E27" s="986"/>
      <c r="F27" s="986"/>
      <c r="G27" s="986"/>
      <c r="H27" s="986"/>
      <c r="I27" s="986"/>
      <c r="J27" s="986"/>
    </row>
    <row r="28" spans="1:19" ht="18.75" x14ac:dyDescent="0.25">
      <c r="A28" s="886"/>
      <c r="B28" s="888"/>
      <c r="C28" s="888"/>
      <c r="D28" s="78"/>
      <c r="E28" s="78"/>
      <c r="F28" s="78"/>
      <c r="G28" s="78"/>
    </row>
    <row r="29" spans="1:19" ht="15.75" x14ac:dyDescent="0.25">
      <c r="B29" s="22" t="s">
        <v>210</v>
      </c>
      <c r="C29" s="887"/>
      <c r="D29" s="78"/>
      <c r="E29" s="78"/>
      <c r="F29" s="78"/>
      <c r="G29" s="78"/>
      <c r="H29" s="78"/>
      <c r="I29" s="78"/>
      <c r="J29" s="899"/>
      <c r="L29" s="78"/>
      <c r="M29" s="78"/>
      <c r="N29" s="78"/>
      <c r="O29" s="967">
        <v>-4170183.76</v>
      </c>
      <c r="P29" s="890">
        <f>SUM(O29)</f>
        <v>-4170183.76</v>
      </c>
    </row>
    <row r="30" spans="1:19" ht="15.75" x14ac:dyDescent="0.25">
      <c r="B30" s="22" t="s">
        <v>211</v>
      </c>
      <c r="C30" s="22"/>
      <c r="D30" s="78"/>
      <c r="E30" s="78"/>
      <c r="F30" s="78"/>
      <c r="G30" s="78"/>
      <c r="H30" s="78"/>
      <c r="I30" s="78"/>
      <c r="J30" s="877"/>
      <c r="L30" s="78"/>
      <c r="M30" s="78"/>
      <c r="N30" s="78"/>
      <c r="O30" s="967">
        <v>-1953874.77</v>
      </c>
      <c r="P30" s="891">
        <f>SUM(O30)</f>
        <v>-1953874.77</v>
      </c>
    </row>
    <row r="31" spans="1:19" ht="16.5" thickBot="1" x14ac:dyDescent="0.3">
      <c r="B31" s="22" t="s">
        <v>17</v>
      </c>
      <c r="C31" s="22"/>
      <c r="D31" s="78"/>
      <c r="E31" s="78"/>
      <c r="F31" s="78"/>
      <c r="G31" s="78"/>
      <c r="H31" s="78"/>
      <c r="I31" s="889"/>
      <c r="J31" s="899"/>
      <c r="L31" s="78"/>
      <c r="M31" s="78"/>
      <c r="N31" s="889" t="s">
        <v>447</v>
      </c>
      <c r="O31" s="892">
        <f>SUM(O29:O30)</f>
        <v>-6124058.5299999993</v>
      </c>
      <c r="P31" s="892">
        <f>SUM(P29:P30)</f>
        <v>-6124058.5299999993</v>
      </c>
    </row>
    <row r="32" spans="1:19" ht="16.5" thickTop="1" x14ac:dyDescent="0.25">
      <c r="B32" s="22"/>
      <c r="C32" s="22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</row>
    <row r="33" spans="2:16" ht="15.75" x14ac:dyDescent="0.25">
      <c r="B33" s="22"/>
      <c r="C33" s="22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</row>
    <row r="34" spans="2:16" ht="15.75" x14ac:dyDescent="0.25">
      <c r="B34" s="22"/>
      <c r="C34" s="22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</row>
    <row r="35" spans="2:16" ht="15.75" x14ac:dyDescent="0.25">
      <c r="B35" s="22"/>
      <c r="C35" s="22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</row>
    <row r="36" spans="2:16" ht="15.75" x14ac:dyDescent="0.25">
      <c r="B36" s="22"/>
      <c r="C36" s="22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</row>
    <row r="37" spans="2:16" ht="15.75" x14ac:dyDescent="0.25">
      <c r="B37" s="22"/>
      <c r="C37" s="22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</row>
    <row r="38" spans="2:16" ht="15.75" x14ac:dyDescent="0.25">
      <c r="B38" s="22"/>
      <c r="C38" s="22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2:16" ht="15.75" x14ac:dyDescent="0.25">
      <c r="B39" s="22"/>
      <c r="C39" s="22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</row>
    <row r="40" spans="2:16" ht="15.75" x14ac:dyDescent="0.25">
      <c r="B40" s="22"/>
      <c r="C40" s="22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</row>
    <row r="41" spans="2:16" ht="15.75" x14ac:dyDescent="0.25">
      <c r="B41" s="22"/>
      <c r="C41" s="22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2:16" ht="15.75" x14ac:dyDescent="0.25">
      <c r="B42" s="22"/>
      <c r="C42" s="22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2:16" ht="15.75" x14ac:dyDescent="0.25">
      <c r="B43" s="22"/>
      <c r="C43" s="22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2:16" ht="15.75" x14ac:dyDescent="0.25">
      <c r="B44" s="22"/>
      <c r="C44" s="22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2:16" ht="15.75" x14ac:dyDescent="0.25">
      <c r="B45" s="22"/>
      <c r="C45" s="22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2:16" ht="15.75" x14ac:dyDescent="0.25">
      <c r="B46" s="22"/>
      <c r="C46" s="22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2:16" ht="15.75" x14ac:dyDescent="0.25">
      <c r="B47" s="22"/>
      <c r="C47" s="22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2:16" ht="15.75" x14ac:dyDescent="0.25">
      <c r="B48" s="22"/>
      <c r="C48" s="22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</row>
    <row r="49" spans="2:16" ht="15.75" x14ac:dyDescent="0.25">
      <c r="B49" s="22"/>
      <c r="C49" s="22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</row>
    <row r="50" spans="2:16" ht="15.75" x14ac:dyDescent="0.25">
      <c r="B50" s="22"/>
      <c r="C50" s="22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</row>
    <row r="51" spans="2:16" ht="15.75" x14ac:dyDescent="0.25">
      <c r="B51" s="22"/>
      <c r="C51" s="22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</row>
    <row r="52" spans="2:16" ht="15.75" x14ac:dyDescent="0.25">
      <c r="B52" s="22"/>
      <c r="C52" s="22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</row>
    <row r="53" spans="2:16" ht="15.75" x14ac:dyDescent="0.25">
      <c r="B53" s="22"/>
      <c r="C53" s="22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</row>
  </sheetData>
  <mergeCells count="2">
    <mergeCell ref="B27:J27"/>
    <mergeCell ref="B25:J25"/>
  </mergeCells>
  <printOptions horizontalCentered="1"/>
  <pageMargins left="0.25" right="0.25" top="0.75" bottom="0.5" header="0.5" footer="0.25"/>
  <pageSetup scale="49" orientation="landscape" r:id="rId1"/>
  <headerFooter alignWithMargins="0">
    <oddHeader xml:space="preserve">&amp;C&amp;"Times New Roman,Bold"&amp;12San Diego Gas &amp;&amp; Electric Company
2026 T&amp;K000000RBAA Rate Filing
Details of Monthly Other PTO Related Revenue (Credits)/Charges
</oddHeader>
    <oddFooter>&amp;L&amp;"Times New Roman,Regular"&amp;16&amp;F&amp;C&amp;"Times New Roman,Regular"&amp;16Page 12.&amp;P&amp;R&amp;"Times New Roman,Regular"&amp;16&amp;A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5CF2B8EB50246BC563305BEF1695D" ma:contentTypeVersion="9" ma:contentTypeDescription="Create a new document." ma:contentTypeScope="" ma:versionID="f611d8ea59d41cd1cce03b1235d21b8f">
  <xsd:schema xmlns:xsd="http://www.w3.org/2001/XMLSchema" xmlns:xs="http://www.w3.org/2001/XMLSchema" xmlns:p="http://schemas.microsoft.com/office/2006/metadata/properties" xmlns:ns2="1ee868c9-5247-4011-927d-9c68ed1e53dd" xmlns:ns3="d3533485-01ac-4c85-a144-d07c02817ce0" targetNamespace="http://schemas.microsoft.com/office/2006/metadata/properties" ma:root="true" ma:fieldsID="76255cd5c23570fa4b62fcf34b658d81" ns2:_="" ns3:_="">
    <xsd:import namespace="1ee868c9-5247-4011-927d-9c68ed1e53dd"/>
    <xsd:import namespace="d3533485-01ac-4c85-a144-d07c0281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868c9-5247-4011-927d-9c68ed1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33485-01ac-4c85-a144-d07c02817ce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f08b38-53a8-4c16-a8c7-e51cb0eca8e8}" ma:internalName="TaxCatchAll" ma:showField="CatchAllData" ma:web="d3533485-01ac-4c85-a144-d07c02817c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e868c9-5247-4011-927d-9c68ed1e53dd" xsi:nil="true"/>
    <TaxCatchAll xmlns="d3533485-01ac-4c85-a144-d07c02817ce0" xsi:nil="true"/>
  </documentManagement>
</p:properties>
</file>

<file path=customXml/itemProps1.xml><?xml version="1.0" encoding="utf-8"?>
<ds:datastoreItem xmlns:ds="http://schemas.openxmlformats.org/officeDocument/2006/customXml" ds:itemID="{19D883E1-D7F1-4B52-B5CA-7803708D19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E5ED95-952B-4953-8AAC-B3737F2EA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868c9-5247-4011-927d-9c68ed1e53dd"/>
    <ds:schemaRef ds:uri="d3533485-01ac-4c85-a144-d07c0281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6297B1-FE97-4212-A05A-D269667DDA0A}">
  <ds:schemaRefs>
    <ds:schemaRef ds:uri="d3533485-01ac-4c85-a144-d07c02817ce0"/>
    <ds:schemaRef ds:uri="http://www.w3.org/XML/1998/namespace"/>
    <ds:schemaRef ds:uri="http://purl.org/dc/terms/"/>
    <ds:schemaRef ds:uri="6fc4548d-ff52-42f9-a254-3bffe5157158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1ee868c9-5247-4011-927d-9c68ed1e53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14</vt:i4>
      </vt:variant>
    </vt:vector>
  </HeadingPairs>
  <TitlesOfParts>
    <vt:vector size="44" baseType="lpstr">
      <vt:lpstr>Stmnt BD - Recorded KWH</vt:lpstr>
      <vt:lpstr>Stmnt BD - Forecast KWH</vt:lpstr>
      <vt:lpstr>Stmnt BD-Forecast MWH@Transm.</vt:lpstr>
      <vt:lpstr>Stmt BD-Forecast Pump Storage</vt:lpstr>
      <vt:lpstr>Stmt BD-Pump Load True Up Adj</vt:lpstr>
      <vt:lpstr>Stmt BG - Page 1</vt:lpstr>
      <vt:lpstr>Stmt BG - Page 2</vt:lpstr>
      <vt:lpstr>Stmt BG - Page 3</vt:lpstr>
      <vt:lpstr>Stmt BG - Page 4</vt:lpstr>
      <vt:lpstr>Stmt BH - Page 1</vt:lpstr>
      <vt:lpstr>Stmt BH - Page 2</vt:lpstr>
      <vt:lpstr>Stmt BH - Page 3</vt:lpstr>
      <vt:lpstr>Stmnt BK1 - TRBAA</vt:lpstr>
      <vt:lpstr>Stmnt BK2 - TRBAA</vt:lpstr>
      <vt:lpstr>Stmnt BL (Non-CAISO) - TRBAA</vt:lpstr>
      <vt:lpstr>Stmnt BL - CAISO WHOLESALE</vt:lpstr>
      <vt:lpstr>WP 1.1 Recorded Sales</vt:lpstr>
      <vt:lpstr>WP 1.2 Forecast Sales</vt:lpstr>
      <vt:lpstr>WP 2 Allocation of TRBAA</vt:lpstr>
      <vt:lpstr>WP 3 Standby Revenues</vt:lpstr>
      <vt:lpstr>WP 4 Monthly TRBAA </vt:lpstr>
      <vt:lpstr>WP 4 Footnotes</vt:lpstr>
      <vt:lpstr>WP 5 CAISO Charges</vt:lpstr>
      <vt:lpstr>WP 6 HV LV Alloc Summary</vt:lpstr>
      <vt:lpstr>WP 7 Wheeling Revenues</vt:lpstr>
      <vt:lpstr>WP 8 CT4575</vt:lpstr>
      <vt:lpstr>WP 9 ETC Cost Diffs</vt:lpstr>
      <vt:lpstr>WP 10 ETC Costs</vt:lpstr>
      <vt:lpstr>WP 11 Other PTO Forecast</vt:lpstr>
      <vt:lpstr>WP 12 PTO</vt:lpstr>
      <vt:lpstr>'Stmt BG - Page 2'!Print_Area</vt:lpstr>
      <vt:lpstr>'Stmt BH - Page 1'!Print_Area</vt:lpstr>
      <vt:lpstr>'Stmt BH - Page 2'!Print_Area</vt:lpstr>
      <vt:lpstr>'Stmt BH - Page 3'!Print_Area</vt:lpstr>
      <vt:lpstr>'WP 1.1 Recorded Sales'!Print_Area</vt:lpstr>
      <vt:lpstr>'WP 1.2 Forecast Sales'!Print_Area</vt:lpstr>
      <vt:lpstr>'WP 10 ETC Costs'!Print_Area</vt:lpstr>
      <vt:lpstr>'WP 3 Standby Revenues'!Print_Area</vt:lpstr>
      <vt:lpstr>'WP 4 Monthly TRBAA '!Print_Area</vt:lpstr>
      <vt:lpstr>'WP 5 CAISO Charges'!Print_Area</vt:lpstr>
      <vt:lpstr>'WP 6 HV LV Alloc Summary'!Print_Area</vt:lpstr>
      <vt:lpstr>'WP 10 ETC Costs'!Print_Titles</vt:lpstr>
      <vt:lpstr>'WP 4 Monthly TRBAA '!Print_Titles</vt:lpstr>
      <vt:lpstr>'WP 5 CAISO Charges'!Print_Titles</vt:lpstr>
    </vt:vector>
  </TitlesOfParts>
  <Manager/>
  <Company>Southern California Edison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Standard Configuration</dc:creator>
  <cp:keywords/>
  <dc:description/>
  <cp:lastModifiedBy>Pham, Jenny L.</cp:lastModifiedBy>
  <cp:revision/>
  <cp:lastPrinted>2026-10-28T21:06:26Z</cp:lastPrinted>
  <dcterms:created xsi:type="dcterms:W3CDTF">2001-12-04T15:42:58Z</dcterms:created>
  <dcterms:modified xsi:type="dcterms:W3CDTF">2026-10-28T21:30:46Z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2016 TRBAA Filing.xlsx</vt:lpwstr>
  </property>
  <property fmtid="{D5CDD505-2E9C-101B-9397-08002B2CF9AE}" pid="3" name="LINKTEK-ID-FILE">
    <vt:lpwstr>0198-58FE-34DB-7A1C</vt:lpwstr>
  </property>
  <property fmtid="{D5CDD505-2E9C-101B-9397-08002B2CF9AE}" pid="4" name="LINKTEK-ID-LINK=1">
    <vt:lpwstr>0199-2CFC-E4E6-C374|/2018/TO5-Cycle 1 Formula Rate Filing/B Statements/BD/TO5 C1 Statement BD.xlsx</vt:lpwstr>
  </property>
  <property fmtid="{D5CDD505-2E9C-101B-9397-08002B2CF9AE}" pid="5" name="LINKTEK-ID-LINK=2">
    <vt:lpwstr>011A-09EA-FF42-DCE9|2019 TRBAA Workpapers.xlsx</vt:lpwstr>
  </property>
  <property fmtid="{D5CDD505-2E9C-101B-9397-08002B2CF9AE}" pid="6" name="ContentTypeId">
    <vt:lpwstr>0x010100A535CF2B8EB50246BC563305BEF1695D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  <property fmtid="{D5CDD505-2E9C-101B-9397-08002B2CF9AE}" pid="9" name="MediaServiceImageTags">
    <vt:lpwstr/>
  </property>
  <property fmtid="{D5CDD505-2E9C-101B-9397-08002B2CF9AE}" pid="10" name="MSIP_Label_cd97076e-e5a9-49b1-9873-62b6e38f493d_Enabled">
    <vt:lpwstr>true</vt:lpwstr>
  </property>
  <property fmtid="{D5CDD505-2E9C-101B-9397-08002B2CF9AE}" pid="11" name="MSIP_Label_cd97076e-e5a9-49b1-9873-62b6e38f493d_SetDate">
    <vt:lpwstr>2026-08-23T07:39:23Z</vt:lpwstr>
  </property>
  <property fmtid="{D5CDD505-2E9C-101B-9397-08002B2CF9AE}" pid="12" name="MSIP_Label_cd97076e-e5a9-49b1-9873-62b6e38f493d_Method">
    <vt:lpwstr>Standard</vt:lpwstr>
  </property>
  <property fmtid="{D5CDD505-2E9C-101B-9397-08002B2CF9AE}" pid="13" name="MSIP_Label_cd97076e-e5a9-49b1-9873-62b6e38f493d_Name">
    <vt:lpwstr>IP-Internal</vt:lpwstr>
  </property>
  <property fmtid="{D5CDD505-2E9C-101B-9397-08002B2CF9AE}" pid="14" name="MSIP_Label_cd97076e-e5a9-49b1-9873-62b6e38f493d_SiteId">
    <vt:lpwstr>a2e7980c-11ea-4838-8f1a-2f497d8c4072</vt:lpwstr>
  </property>
  <property fmtid="{D5CDD505-2E9C-101B-9397-08002B2CF9AE}" pid="15" name="MSIP_Label_cd97076e-e5a9-49b1-9873-62b6e38f493d_ActionId">
    <vt:lpwstr>e32de431-fa4f-41b7-96f3-7d3615081503</vt:lpwstr>
  </property>
  <property fmtid="{D5CDD505-2E9C-101B-9397-08002B2CF9AE}" pid="16" name="MSIP_Label_cd97076e-e5a9-49b1-9873-62b6e38f493d_ContentBits">
    <vt:lpwstr>0</vt:lpwstr>
  </property>
  <property fmtid="{D5CDD505-2E9C-101B-9397-08002B2CF9AE}" pid="17" name="MSIP_Label_cd97076e-e5a9-49b1-9873-62b6e38f493d_Tag">
    <vt:lpwstr>10, 3, 0, 1</vt:lpwstr>
  </property>
</Properties>
</file>